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140\4- Proyectos\A\Aguasol Energy And Sistems, S.L\legFV - Heladería Cafetería Copacabana, S.L\4.- Proyecto\A01 Cálculos\"/>
    </mc:Choice>
  </mc:AlternateContent>
  <xr:revisionPtr revIDLastSave="0" documentId="13_ncr:1_{A81B1078-EC19-406A-B44E-499FABB61D7F}" xr6:coauthVersionLast="47" xr6:coauthVersionMax="47" xr10:uidLastSave="{00000000-0000-0000-0000-000000000000}"/>
  <bookViews>
    <workbookView xWindow="28680" yWindow="-120" windowWidth="29040" windowHeight="15720" tabRatio="959" activeTab="14" xr2:uid="{823A01CF-C42A-4740-9203-6ECC0435C565}"/>
  </bookViews>
  <sheets>
    <sheet name="datos" sheetId="10" r:id="rId1"/>
    <sheet name="ppto" sheetId="20" r:id="rId2"/>
    <sheet name="incentivo" sheetId="3" r:id="rId3"/>
    <sheet name="ppto_desglose" sheetId="43" r:id="rId4"/>
    <sheet name="variables" sheetId="16" state="hidden" r:id="rId5"/>
    <sheet name="Comercial" sheetId="41" state="hidden" r:id="rId6"/>
    <sheet name="TABLA HUAWEI" sheetId="39" state="hidden" r:id="rId7"/>
    <sheet name="TABLA ENPHASE" sheetId="40" state="hidden" r:id="rId8"/>
    <sheet name="cálculos" sheetId="17" state="hidden" r:id="rId9"/>
    <sheet name="finan" sheetId="37" state="hidden" r:id="rId10"/>
    <sheet name="exp0" sheetId="34" r:id="rId11"/>
    <sheet name="exp2" sheetId="14" state="hidden" r:id="rId12"/>
    <sheet name="exp3" sheetId="12" r:id="rId13"/>
    <sheet name="exp4" sheetId="9" r:id="rId14"/>
    <sheet name="exp5" sheetId="31" r:id="rId15"/>
    <sheet name="exp6" sheetId="33" r:id="rId16"/>
    <sheet name="ecov" sheetId="32" state="hidden" r:id="rId17"/>
    <sheet name="t.con" sheetId="15" state="hidden" r:id="rId18"/>
    <sheet name="t.mod" sheetId="27" r:id="rId19"/>
    <sheet name="t.bat" sheetId="25" r:id="rId20"/>
    <sheet name="t.inv" sheetId="23" r:id="rId21"/>
    <sheet name="t.est" sheetId="28" r:id="rId22"/>
    <sheet name="t.opt" sheetId="38" r:id="rId23"/>
    <sheet name="t.met" sheetId="26" r:id="rId24"/>
    <sheet name="t.bms" sheetId="24" r:id="rId25"/>
    <sheet name="t.mon" sheetId="29" r:id="rId26"/>
    <sheet name="t.mar" sheetId="35" r:id="rId27"/>
    <sheet name="t.coi" sheetId="30" r:id="rId28"/>
    <sheet name="t.com" sheetId="21" r:id="rId29"/>
  </sheets>
  <definedNames>
    <definedName name="_xlnm._FilterDatabase" localSheetId="18" hidden="1">t.mod!$A$2:$H$23</definedName>
    <definedName name="adelanto">datos!$B$111</definedName>
    <definedName name="adicionales">datos!$H$111</definedName>
    <definedName name="apellidos">datos!$D$13</definedName>
    <definedName name="_xlnm.Print_Area" localSheetId="0">datos!$A$1:$H$113</definedName>
    <definedName name="_xlnm.Print_Area" localSheetId="3">ppto_desglose!$A$1:$I$49</definedName>
    <definedName name="_xlnm.Print_Area" localSheetId="7">'TABLA ENPHASE'!$A$1:$S$44</definedName>
    <definedName name="_xlnm.Print_Area" localSheetId="6">'TABLA HUAWEI'!$A$1:$S$44</definedName>
    <definedName name="autoconsumo">datos!$B$55</definedName>
    <definedName name="BUSCA">INDEX(FOTO,MATCH(t.est!$H$3,TIPO,0))</definedName>
    <definedName name="c_pmat">variables!$B$12</definedName>
    <definedName name="c_tasas">variables!$B$13</definedName>
    <definedName name="cap_bat">datos!$C$98</definedName>
    <definedName name="catastro">datos!$B$20</definedName>
    <definedName name="coefper">variables!$B$11</definedName>
    <definedName name="comision">datos!$B$113</definedName>
    <definedName name="consumo1">datos!$D$36</definedName>
    <definedName name="consumo2">datos!$B$50</definedName>
    <definedName name="cp">datos!$F$17</definedName>
    <definedName name="crecom">variables!$B$3</definedName>
    <definedName name="cups">datos!$H$11</definedName>
    <definedName name="curva">datos!$B$36</definedName>
    <definedName name="descuento">datos!$D$111</definedName>
    <definedName name="dioxido">variables!$B$7</definedName>
    <definedName name="direccion">datos!$B$17</definedName>
    <definedName name="ecovivienda">#REF!</definedName>
    <definedName name="email">datos!$H$13</definedName>
    <definedName name="empresa">datos!$F$11</definedName>
    <definedName name="estructura">datos!$B$102</definedName>
    <definedName name="fab_inv">datos!$B$72</definedName>
    <definedName name="fab_mod">datos!$B$62</definedName>
    <definedName name="fecha">datos!$D$3</definedName>
    <definedName name="fin120m">variables!$B$10</definedName>
    <definedName name="fin12m">variables!$B$8</definedName>
    <definedName name="fin24m">variables!$B$9</definedName>
    <definedName name="FOTO">t.est!$B$3:$B$11</definedName>
    <definedName name="idea">#REF!</definedName>
    <definedName name="imagentipo">INDEX(#REF!,MATCH(datos!#REF!,#REF!,0))</definedName>
    <definedName name="kwhkwp">variables!$B$2</definedName>
    <definedName name="licencia">datos!$F$113</definedName>
    <definedName name="localidad">datos!$D$17</definedName>
    <definedName name="margen_venta">variables!$B$16</definedName>
    <definedName name="mobateria">variables!$B$15</definedName>
    <definedName name="mod_bat">datos!$B$95</definedName>
    <definedName name="mod_bms">datos!$B$91</definedName>
    <definedName name="mod_inv1">datos!$B$69</definedName>
    <definedName name="mod_inv2">datos!$B$76</definedName>
    <definedName name="mod_meter">datos!$B$87</definedName>
    <definedName name="mod_mod">datos!$B$59</definedName>
    <definedName name="mod_opt">datos!$B$83</definedName>
    <definedName name="nif">datos!$D$11</definedName>
    <definedName name="nombre">datos!$B$13</definedName>
    <definedName name="num_bat">datos!$D$95</definedName>
    <definedName name="num_bms">datos!$D$91</definedName>
    <definedName name="num_cee">datos!$F$111</definedName>
    <definedName name="num_inv1">datos!$D$69</definedName>
    <definedName name="num_inv2">datos!$D$76</definedName>
    <definedName name="num_meter">datos!$D$87</definedName>
    <definedName name="num_mod">datos!$D$59</definedName>
    <definedName name="num_opt">datos!$D$83</definedName>
    <definedName name="p_cee">variables!$B$14</definedName>
    <definedName name="p_contratada">datos!$D$34</definedName>
    <definedName name="p_gen">datos!$C$64</definedName>
    <definedName name="p_mod">datos!$C$63</definedName>
    <definedName name="perfil">datos!$B$11</definedName>
    <definedName name="pot_inv">datos!$H$69</definedName>
    <definedName name="pot_inv1">datos!$F$69</definedName>
    <definedName name="pot_inv2">datos!$D$79</definedName>
    <definedName name="precioexc">variables!$B$6</definedName>
    <definedName name="preciokwh">variables!$B$4</definedName>
    <definedName name="programa">datos!$B$24</definedName>
    <definedName name="provincia">datos!$H$17</definedName>
    <definedName name="sinayuda">#REF!</definedName>
    <definedName name="sistema">datos!$D$55</definedName>
    <definedName name="tamaño">datos!$D$24</definedName>
    <definedName name="tecnico">datos!#REF!</definedName>
    <definedName name="telefono">datos!$F$13</definedName>
    <definedName name="ti">variables!$B$5</definedName>
    <definedName name="TIPO">t.est!$A$3:$A$12</definedName>
    <definedName name="tipo_calculo">datos!$B$34</definedName>
    <definedName name="tipodeinstalac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7" l="1"/>
  <c r="I10" i="27" s="1"/>
  <c r="H6" i="27"/>
  <c r="I6" i="27" s="1"/>
  <c r="H5" i="27"/>
  <c r="I5" i="27" s="1"/>
  <c r="H4" i="27"/>
  <c r="I4" i="27" s="1"/>
  <c r="B50" i="10"/>
  <c r="H18" i="27"/>
  <c r="I18" i="27" s="1"/>
  <c r="H25" i="43"/>
  <c r="F29" i="43"/>
  <c r="I17" i="27"/>
  <c r="I14" i="27"/>
  <c r="H20" i="27"/>
  <c r="H8" i="27"/>
  <c r="I8" i="27" s="1"/>
  <c r="H8" i="25"/>
  <c r="H7" i="25"/>
  <c r="H10" i="25"/>
  <c r="H9" i="25"/>
  <c r="H6" i="25"/>
  <c r="H5" i="25"/>
  <c r="H4" i="25"/>
  <c r="H3" i="25"/>
  <c r="H13" i="27"/>
  <c r="I13" i="27" s="1"/>
  <c r="H11" i="27"/>
  <c r="I11" i="27" s="1"/>
  <c r="F16" i="3"/>
  <c r="D3" i="10"/>
  <c r="D6" i="12" s="1"/>
  <c r="H9" i="27"/>
  <c r="I9" i="27" s="1"/>
  <c r="F79" i="10"/>
  <c r="E35" i="3"/>
  <c r="D35" i="3"/>
  <c r="C35" i="3"/>
  <c r="F69" i="10"/>
  <c r="E17" i="43"/>
  <c r="E16" i="43"/>
  <c r="G28" i="43"/>
  <c r="H28" i="43" s="1"/>
  <c r="G25" i="43"/>
  <c r="F5" i="20"/>
  <c r="D30" i="43"/>
  <c r="C30" i="43"/>
  <c r="C29" i="43"/>
  <c r="C28" i="43"/>
  <c r="C27" i="43"/>
  <c r="D29" i="43"/>
  <c r="C24" i="43"/>
  <c r="C25" i="43"/>
  <c r="C26" i="43"/>
  <c r="E19" i="43"/>
  <c r="C23" i="43"/>
  <c r="E18" i="43"/>
  <c r="H19" i="27"/>
  <c r="I19" i="27" s="1"/>
  <c r="H21" i="27"/>
  <c r="I21" i="27" s="1"/>
  <c r="H41" i="40" l="1"/>
  <c r="H33" i="40"/>
  <c r="H31" i="40"/>
  <c r="H20" i="40"/>
  <c r="H8" i="40"/>
  <c r="H7" i="40"/>
  <c r="D30" i="40"/>
  <c r="I30" i="40"/>
  <c r="J30" i="40"/>
  <c r="K30" i="40"/>
  <c r="Q30" i="40"/>
  <c r="D31" i="40"/>
  <c r="I31" i="40"/>
  <c r="J31" i="40"/>
  <c r="K31" i="40"/>
  <c r="Q31" i="40"/>
  <c r="D32" i="40"/>
  <c r="I32" i="40"/>
  <c r="J32" i="40"/>
  <c r="K32" i="40"/>
  <c r="Q32" i="40"/>
  <c r="D33" i="40"/>
  <c r="I33" i="40"/>
  <c r="J33" i="40"/>
  <c r="K33" i="40"/>
  <c r="Q33" i="40"/>
  <c r="D34" i="40"/>
  <c r="I34" i="40"/>
  <c r="J34" i="40"/>
  <c r="K34" i="40"/>
  <c r="Q34" i="40"/>
  <c r="D35" i="40"/>
  <c r="I35" i="40"/>
  <c r="J35" i="40"/>
  <c r="K35" i="40"/>
  <c r="Q35" i="40"/>
  <c r="D36" i="40"/>
  <c r="I36" i="40"/>
  <c r="J36" i="40"/>
  <c r="K36" i="40"/>
  <c r="Q36" i="40"/>
  <c r="D37" i="40"/>
  <c r="I37" i="40"/>
  <c r="J37" i="40"/>
  <c r="K37" i="40"/>
  <c r="Q37" i="40"/>
  <c r="D38" i="40"/>
  <c r="I38" i="40"/>
  <c r="J38" i="40"/>
  <c r="K38" i="40"/>
  <c r="Q38" i="40"/>
  <c r="D39" i="40"/>
  <c r="I39" i="40"/>
  <c r="J39" i="40"/>
  <c r="K39" i="40"/>
  <c r="Q39" i="40"/>
  <c r="D40" i="40"/>
  <c r="I40" i="40"/>
  <c r="J40" i="40"/>
  <c r="K40" i="40"/>
  <c r="Q40" i="40"/>
  <c r="D41" i="40"/>
  <c r="I41" i="40"/>
  <c r="J41" i="40"/>
  <c r="K41" i="40"/>
  <c r="Q41" i="40"/>
  <c r="D42" i="40"/>
  <c r="I42" i="40"/>
  <c r="J42" i="40"/>
  <c r="K42" i="40"/>
  <c r="Q42" i="40"/>
  <c r="H12" i="27"/>
  <c r="I12" i="27" s="1"/>
  <c r="L29" i="34"/>
  <c r="H18" i="40" l="1"/>
  <c r="H21" i="40"/>
  <c r="H32" i="40"/>
  <c r="H17" i="40"/>
  <c r="H30" i="40"/>
  <c r="H42" i="40"/>
  <c r="H9" i="40"/>
  <c r="H22" i="40"/>
  <c r="H34" i="40"/>
  <c r="H10" i="40"/>
  <c r="H23" i="40"/>
  <c r="H35" i="40"/>
  <c r="H11" i="40"/>
  <c r="H24" i="40"/>
  <c r="H36" i="40"/>
  <c r="H12" i="40"/>
  <c r="H25" i="40"/>
  <c r="H37" i="40"/>
  <c r="H13" i="40"/>
  <c r="H26" i="40"/>
  <c r="H38" i="40"/>
  <c r="H14" i="40"/>
  <c r="H27" i="40"/>
  <c r="H39" i="40"/>
  <c r="H15" i="40"/>
  <c r="H28" i="40"/>
  <c r="H40" i="40"/>
  <c r="H16" i="40"/>
  <c r="H29" i="40"/>
  <c r="J29" i="34"/>
  <c r="Q29" i="40" l="1"/>
  <c r="K29" i="40"/>
  <c r="J29" i="40"/>
  <c r="I29" i="40"/>
  <c r="D29" i="40"/>
  <c r="Q28" i="40"/>
  <c r="K28" i="40"/>
  <c r="J28" i="40"/>
  <c r="I28" i="40"/>
  <c r="D28" i="40"/>
  <c r="Q27" i="40"/>
  <c r="K27" i="40"/>
  <c r="J27" i="40"/>
  <c r="I27" i="40"/>
  <c r="D27" i="40"/>
  <c r="Q26" i="40"/>
  <c r="K26" i="40"/>
  <c r="J26" i="40"/>
  <c r="I26" i="40"/>
  <c r="D26" i="40"/>
  <c r="Q25" i="40"/>
  <c r="K25" i="40"/>
  <c r="J25" i="40"/>
  <c r="I25" i="40"/>
  <c r="D25" i="40"/>
  <c r="Q24" i="40"/>
  <c r="K24" i="40"/>
  <c r="J24" i="40"/>
  <c r="I24" i="40"/>
  <c r="D24" i="40"/>
  <c r="Q23" i="40"/>
  <c r="K23" i="40"/>
  <c r="J23" i="40"/>
  <c r="I23" i="40"/>
  <c r="D23" i="40"/>
  <c r="Q22" i="40"/>
  <c r="K22" i="40"/>
  <c r="J22" i="40"/>
  <c r="I22" i="40"/>
  <c r="D22" i="40"/>
  <c r="Q21" i="40"/>
  <c r="K21" i="40"/>
  <c r="J21" i="40"/>
  <c r="I21" i="40"/>
  <c r="D21" i="40"/>
  <c r="Q20" i="40"/>
  <c r="K20" i="40"/>
  <c r="J20" i="40"/>
  <c r="I20" i="40"/>
  <c r="D20" i="40"/>
  <c r="Q18" i="40"/>
  <c r="K18" i="40"/>
  <c r="J18" i="40"/>
  <c r="I18" i="40"/>
  <c r="D18" i="40"/>
  <c r="Q17" i="40"/>
  <c r="K17" i="40"/>
  <c r="J17" i="40"/>
  <c r="I17" i="40"/>
  <c r="D17" i="40"/>
  <c r="Q16" i="40"/>
  <c r="K16" i="40"/>
  <c r="J16" i="40"/>
  <c r="I16" i="40"/>
  <c r="D16" i="40"/>
  <c r="Q15" i="40"/>
  <c r="K15" i="40"/>
  <c r="J15" i="40"/>
  <c r="I15" i="40"/>
  <c r="D15" i="40"/>
  <c r="Q14" i="40"/>
  <c r="K14" i="40"/>
  <c r="J14" i="40"/>
  <c r="I14" i="40"/>
  <c r="D14" i="40"/>
  <c r="Q13" i="40"/>
  <c r="K13" i="40"/>
  <c r="J13" i="40"/>
  <c r="I13" i="40"/>
  <c r="D13" i="40"/>
  <c r="Q12" i="40"/>
  <c r="K12" i="40"/>
  <c r="J12" i="40"/>
  <c r="I12" i="40"/>
  <c r="D12" i="40"/>
  <c r="Q11" i="40"/>
  <c r="K11" i="40"/>
  <c r="J11" i="40"/>
  <c r="I11" i="40"/>
  <c r="D11" i="40"/>
  <c r="Q10" i="40"/>
  <c r="K10" i="40"/>
  <c r="J10" i="40"/>
  <c r="I10" i="40"/>
  <c r="D10" i="40"/>
  <c r="Q9" i="40"/>
  <c r="K9" i="40"/>
  <c r="J9" i="40"/>
  <c r="I9" i="40"/>
  <c r="D9" i="40"/>
  <c r="Q8" i="40"/>
  <c r="K8" i="40"/>
  <c r="J8" i="40"/>
  <c r="I8" i="40"/>
  <c r="D8" i="40"/>
  <c r="Q7" i="40"/>
  <c r="K7" i="40"/>
  <c r="J7" i="40"/>
  <c r="I7" i="40"/>
  <c r="D7" i="40"/>
  <c r="C2" i="40"/>
  <c r="H16" i="27"/>
  <c r="I16" i="27" s="1"/>
  <c r="Z30" i="31"/>
  <c r="X30" i="31"/>
  <c r="Z29" i="31"/>
  <c r="X29" i="31"/>
  <c r="Z28" i="31"/>
  <c r="X28" i="31"/>
  <c r="Z27" i="31"/>
  <c r="X27" i="31"/>
  <c r="Z26" i="31"/>
  <c r="X26" i="31"/>
  <c r="Z25" i="31"/>
  <c r="X25" i="31"/>
  <c r="Z24" i="31"/>
  <c r="X24" i="31"/>
  <c r="Z23" i="31"/>
  <c r="X23" i="31"/>
  <c r="Z22" i="31"/>
  <c r="X22" i="31"/>
  <c r="Z21" i="31"/>
  <c r="X21" i="31"/>
  <c r="Z20" i="31"/>
  <c r="X20" i="31"/>
  <c r="Z19" i="31"/>
  <c r="X19" i="31"/>
  <c r="Z18" i="31"/>
  <c r="X18" i="31"/>
  <c r="Z17" i="31"/>
  <c r="X17" i="31"/>
  <c r="Z16" i="31"/>
  <c r="X16" i="31"/>
  <c r="Z15" i="31"/>
  <c r="X15" i="31"/>
  <c r="Z14" i="31"/>
  <c r="X14" i="31"/>
  <c r="Z13" i="31"/>
  <c r="X13" i="31"/>
  <c r="Z12" i="31"/>
  <c r="X12" i="31"/>
  <c r="Z11" i="31"/>
  <c r="X11" i="31"/>
  <c r="Z10" i="31"/>
  <c r="X10" i="31"/>
  <c r="Z9" i="31"/>
  <c r="X9" i="31"/>
  <c r="Z8" i="31"/>
  <c r="X8" i="31"/>
  <c r="Z7" i="31"/>
  <c r="X7" i="31"/>
  <c r="Z6" i="31"/>
  <c r="X6" i="31"/>
  <c r="AD5" i="31"/>
  <c r="Q42" i="39"/>
  <c r="Q41" i="39"/>
  <c r="Q40" i="39"/>
  <c r="Q39" i="39"/>
  <c r="Q38" i="39"/>
  <c r="Q37" i="39"/>
  <c r="Q36" i="39"/>
  <c r="Q35" i="39"/>
  <c r="Q34" i="39"/>
  <c r="Q33" i="39"/>
  <c r="Q32" i="39"/>
  <c r="Q31" i="39"/>
  <c r="Q30" i="39"/>
  <c r="Q29" i="39"/>
  <c r="Q28" i="39"/>
  <c r="Q27" i="39"/>
  <c r="Q26" i="39"/>
  <c r="Q25" i="39"/>
  <c r="Q24" i="39"/>
  <c r="Q23" i="39"/>
  <c r="Q22" i="39"/>
  <c r="Q21" i="39"/>
  <c r="Q20" i="39"/>
  <c r="Q18" i="39"/>
  <c r="Q17" i="39"/>
  <c r="Q16" i="39"/>
  <c r="Q15" i="39"/>
  <c r="Q14" i="39"/>
  <c r="Q13" i="39"/>
  <c r="Q12" i="39"/>
  <c r="Q11" i="39"/>
  <c r="Q10" i="39"/>
  <c r="Q9" i="39"/>
  <c r="Q8" i="39"/>
  <c r="Q7" i="39"/>
  <c r="E5" i="20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K21" i="39"/>
  <c r="K20" i="39"/>
  <c r="K18" i="39"/>
  <c r="K17" i="39"/>
  <c r="K16" i="39"/>
  <c r="K15" i="39"/>
  <c r="K14" i="39"/>
  <c r="K13" i="39"/>
  <c r="K12" i="39"/>
  <c r="K11" i="39"/>
  <c r="K10" i="39"/>
  <c r="K9" i="39"/>
  <c r="K8" i="39"/>
  <c r="K7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J21" i="39"/>
  <c r="J20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H7" i="39"/>
  <c r="I42" i="39"/>
  <c r="H42" i="39"/>
  <c r="I41" i="39"/>
  <c r="H41" i="39"/>
  <c r="I40" i="39"/>
  <c r="H40" i="39"/>
  <c r="I39" i="39"/>
  <c r="H39" i="39"/>
  <c r="I38" i="39"/>
  <c r="H38" i="39"/>
  <c r="I37" i="39"/>
  <c r="H37" i="39"/>
  <c r="I36" i="39"/>
  <c r="H36" i="39"/>
  <c r="I35" i="39"/>
  <c r="H35" i="39"/>
  <c r="I34" i="39"/>
  <c r="H34" i="39"/>
  <c r="I33" i="39"/>
  <c r="H33" i="39"/>
  <c r="I32" i="39"/>
  <c r="H32" i="39"/>
  <c r="I31" i="39"/>
  <c r="H31" i="39"/>
  <c r="I30" i="39"/>
  <c r="H30" i="39"/>
  <c r="I29" i="39"/>
  <c r="H29" i="39"/>
  <c r="I28" i="39"/>
  <c r="H28" i="39"/>
  <c r="I27" i="39"/>
  <c r="H27" i="39"/>
  <c r="I26" i="39"/>
  <c r="H26" i="39"/>
  <c r="I25" i="39"/>
  <c r="H25" i="39"/>
  <c r="I24" i="39"/>
  <c r="H24" i="39"/>
  <c r="I23" i="39"/>
  <c r="H23" i="39"/>
  <c r="I22" i="39"/>
  <c r="H22" i="39"/>
  <c r="I21" i="39"/>
  <c r="H21" i="39"/>
  <c r="H20" i="39"/>
  <c r="I20" i="39"/>
  <c r="I18" i="39"/>
  <c r="I17" i="39"/>
  <c r="I16" i="39"/>
  <c r="I15" i="39"/>
  <c r="I14" i="39"/>
  <c r="I13" i="39"/>
  <c r="I12" i="39"/>
  <c r="I11" i="39"/>
  <c r="I10" i="39"/>
  <c r="I9" i="39"/>
  <c r="I8" i="39"/>
  <c r="I7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H18" i="39"/>
  <c r="H17" i="39"/>
  <c r="H16" i="39"/>
  <c r="H15" i="39"/>
  <c r="H14" i="39"/>
  <c r="H13" i="39"/>
  <c r="H12" i="39"/>
  <c r="H11" i="39"/>
  <c r="H10" i="39"/>
  <c r="H9" i="39"/>
  <c r="H8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C2" i="39"/>
  <c r="B42" i="39" s="1"/>
  <c r="C5" i="3"/>
  <c r="B30" i="40" l="1"/>
  <c r="B34" i="40"/>
  <c r="B38" i="40"/>
  <c r="B42" i="40"/>
  <c r="B31" i="40"/>
  <c r="B35" i="40"/>
  <c r="B39" i="40"/>
  <c r="B32" i="40"/>
  <c r="B36" i="40"/>
  <c r="B40" i="40"/>
  <c r="B33" i="40"/>
  <c r="B37" i="40"/>
  <c r="B41" i="40"/>
  <c r="B7" i="40"/>
  <c r="B10" i="40"/>
  <c r="B12" i="40"/>
  <c r="B16" i="40"/>
  <c r="B21" i="40"/>
  <c r="B9" i="40"/>
  <c r="B8" i="40"/>
  <c r="B25" i="40"/>
  <c r="B13" i="40"/>
  <c r="B29" i="40"/>
  <c r="B15" i="40"/>
  <c r="B11" i="40"/>
  <c r="B14" i="40"/>
  <c r="B18" i="40"/>
  <c r="B23" i="40"/>
  <c r="B27" i="40"/>
  <c r="B20" i="40"/>
  <c r="B24" i="40"/>
  <c r="B28" i="40"/>
  <c r="B17" i="40"/>
  <c r="B22" i="40"/>
  <c r="B26" i="40"/>
  <c r="B11" i="39"/>
  <c r="B12" i="39"/>
  <c r="B21" i="39"/>
  <c r="B22" i="39"/>
  <c r="B32" i="39"/>
  <c r="B33" i="39"/>
  <c r="B34" i="39"/>
  <c r="B20" i="39"/>
  <c r="B10" i="39"/>
  <c r="B9" i="39"/>
  <c r="B31" i="39"/>
  <c r="B13" i="39"/>
  <c r="B23" i="39"/>
  <c r="B35" i="39"/>
  <c r="B14" i="39"/>
  <c r="B24" i="39"/>
  <c r="B36" i="39"/>
  <c r="B15" i="39"/>
  <c r="B25" i="39"/>
  <c r="B37" i="39"/>
  <c r="B16" i="39"/>
  <c r="B26" i="39"/>
  <c r="B38" i="39"/>
  <c r="B17" i="39"/>
  <c r="B27" i="39"/>
  <c r="B39" i="39"/>
  <c r="B18" i="39"/>
  <c r="B28" i="39"/>
  <c r="B40" i="39"/>
  <c r="B7" i="39"/>
  <c r="B29" i="39"/>
  <c r="B41" i="39"/>
  <c r="B8" i="39"/>
  <c r="B30" i="39"/>
  <c r="I31" i="20"/>
  <c r="I30" i="20"/>
  <c r="I23" i="20"/>
  <c r="H23" i="20"/>
  <c r="F13" i="20"/>
  <c r="D5" i="12"/>
  <c r="C16" i="33"/>
  <c r="E12" i="20"/>
  <c r="H3" i="28"/>
  <c r="C28" i="33" s="1"/>
  <c r="C24" i="33"/>
  <c r="C21" i="33"/>
  <c r="C19" i="33"/>
  <c r="C22" i="33"/>
  <c r="C20" i="33"/>
  <c r="C10" i="33"/>
  <c r="C9" i="33"/>
  <c r="C14" i="33"/>
  <c r="C29" i="33"/>
  <c r="B2" i="16"/>
  <c r="H28" i="10"/>
  <c r="F4" i="20"/>
  <c r="C17" i="33"/>
  <c r="F76" i="10"/>
  <c r="C4" i="33"/>
  <c r="C18" i="43" l="1"/>
  <c r="C13" i="34"/>
  <c r="C37" i="33"/>
  <c r="C34" i="33"/>
  <c r="C32" i="33"/>
  <c r="C97" i="10"/>
  <c r="F72" i="10"/>
  <c r="B72" i="10"/>
  <c r="C5" i="33"/>
  <c r="C8" i="20"/>
  <c r="E8" i="20"/>
  <c r="L8" i="20" s="1"/>
  <c r="F8" i="20" l="1"/>
  <c r="G8" i="20" s="1"/>
  <c r="D28" i="43"/>
  <c r="F3" i="20"/>
  <c r="B62" i="10"/>
  <c r="C63" i="10"/>
  <c r="H22" i="27"/>
  <c r="I22" i="27" s="1"/>
  <c r="B8" i="34"/>
  <c r="C3" i="33"/>
  <c r="H23" i="27"/>
  <c r="I23" i="27" s="1"/>
  <c r="H3" i="27"/>
  <c r="I3" i="27" s="1"/>
  <c r="H15" i="27"/>
  <c r="I15" i="27" s="1"/>
  <c r="H7" i="27"/>
  <c r="I7" i="27" s="1"/>
  <c r="C29" i="34"/>
  <c r="H8" i="20" l="1"/>
  <c r="G32" i="40"/>
  <c r="G40" i="40"/>
  <c r="G7" i="40"/>
  <c r="G42" i="40"/>
  <c r="G34" i="40"/>
  <c r="G38" i="40"/>
  <c r="G30" i="40"/>
  <c r="G36" i="40"/>
  <c r="G41" i="40"/>
  <c r="G33" i="40"/>
  <c r="G31" i="40"/>
  <c r="G39" i="40"/>
  <c r="G35" i="40"/>
  <c r="G37" i="40"/>
  <c r="G29" i="40"/>
  <c r="G42" i="39"/>
  <c r="G34" i="39"/>
  <c r="G22" i="39"/>
  <c r="G21" i="40"/>
  <c r="G24" i="40"/>
  <c r="G18" i="40"/>
  <c r="G10" i="40"/>
  <c r="G10" i="39"/>
  <c r="G25" i="39"/>
  <c r="G17" i="39"/>
  <c r="G13" i="40"/>
  <c r="G9" i="39"/>
  <c r="G33" i="39"/>
  <c r="G29" i="39"/>
  <c r="G8" i="39"/>
  <c r="G31" i="39"/>
  <c r="G12" i="40"/>
  <c r="G27" i="40"/>
  <c r="G22" i="40"/>
  <c r="G16" i="40"/>
  <c r="G41" i="39"/>
  <c r="G37" i="39"/>
  <c r="G21" i="39"/>
  <c r="G20" i="39"/>
  <c r="G13" i="39"/>
  <c r="G18" i="39"/>
  <c r="G26" i="40"/>
  <c r="G25" i="40"/>
  <c r="G8" i="40"/>
  <c r="G24" i="39"/>
  <c r="G14" i="39"/>
  <c r="G20" i="40"/>
  <c r="G11" i="40"/>
  <c r="G40" i="39"/>
  <c r="G36" i="39"/>
  <c r="G32" i="39"/>
  <c r="G28" i="39"/>
  <c r="G35" i="39"/>
  <c r="G14" i="40"/>
  <c r="G16" i="39"/>
  <c r="G7" i="39"/>
  <c r="G23" i="39"/>
  <c r="G28" i="40"/>
  <c r="G23" i="40"/>
  <c r="G17" i="40"/>
  <c r="G15" i="39"/>
  <c r="G9" i="40"/>
  <c r="G39" i="39"/>
  <c r="G27" i="39"/>
  <c r="G15" i="40"/>
  <c r="G12" i="39"/>
  <c r="G38" i="39"/>
  <c r="G30" i="39"/>
  <c r="G26" i="39"/>
  <c r="G11" i="39"/>
  <c r="C6" i="33"/>
  <c r="C4" i="30"/>
  <c r="E4" i="30" s="1"/>
  <c r="C3" i="29"/>
  <c r="C3" i="30"/>
  <c r="E3" i="30" s="1"/>
  <c r="C5" i="30"/>
  <c r="E5" i="30" s="1"/>
  <c r="B5" i="35"/>
  <c r="C5" i="35" s="1"/>
  <c r="B4" i="35"/>
  <c r="C4" i="35" s="1"/>
  <c r="B3" i="35"/>
  <c r="C3" i="35" s="1"/>
  <c r="C5" i="29"/>
  <c r="F5" i="29" s="1"/>
  <c r="E5" i="29" s="1"/>
  <c r="C4" i="29"/>
  <c r="F4" i="29" s="1"/>
  <c r="E4" i="29" s="1"/>
  <c r="B79" i="10"/>
  <c r="C6" i="3"/>
  <c r="C4" i="3"/>
  <c r="C3" i="3"/>
  <c r="B5" i="34"/>
  <c r="H31" i="20"/>
  <c r="G31" i="20"/>
  <c r="G30" i="20"/>
  <c r="B3" i="16"/>
  <c r="K29" i="34" l="1"/>
  <c r="G23" i="20"/>
  <c r="E14" i="20" l="1"/>
  <c r="C35" i="33"/>
  <c r="C33" i="33"/>
  <c r="B12" i="16"/>
  <c r="F9" i="20" s="1"/>
  <c r="E27" i="34"/>
  <c r="J27" i="34" s="1"/>
  <c r="K27" i="34" s="1"/>
  <c r="L27" i="34" s="1"/>
  <c r="E13" i="20"/>
  <c r="B103" i="10"/>
  <c r="H69" i="10"/>
  <c r="C15" i="33" s="1"/>
  <c r="H30" i="20"/>
  <c r="F7" i="20"/>
  <c r="B2" i="12"/>
  <c r="D2" i="12"/>
  <c r="B1" i="12"/>
  <c r="E13" i="34"/>
  <c r="B4" i="34"/>
  <c r="B7" i="34"/>
  <c r="B2" i="34"/>
  <c r="B6" i="34"/>
  <c r="B3" i="34"/>
  <c r="E10" i="20"/>
  <c r="F30" i="43" s="1"/>
  <c r="E7" i="20"/>
  <c r="F27" i="43" s="1"/>
  <c r="E3" i="20"/>
  <c r="C13" i="33"/>
  <c r="C2" i="33"/>
  <c r="N3" i="15"/>
  <c r="M3" i="15"/>
  <c r="L3" i="15"/>
  <c r="K3" i="15"/>
  <c r="J3" i="15"/>
  <c r="I3" i="15"/>
  <c r="H3" i="15"/>
  <c r="G3" i="15"/>
  <c r="F3" i="15"/>
  <c r="E3" i="15"/>
  <c r="D3" i="15"/>
  <c r="C3" i="15"/>
  <c r="H2" i="32"/>
  <c r="E2" i="32"/>
  <c r="B2" i="32"/>
  <c r="H15" i="32"/>
  <c r="E15" i="32"/>
  <c r="B15" i="32"/>
  <c r="H3" i="20" l="1"/>
  <c r="F23" i="43"/>
  <c r="H9" i="20"/>
  <c r="I13" i="20"/>
  <c r="H13" i="20"/>
  <c r="H7" i="20"/>
  <c r="H79" i="10"/>
  <c r="C64" i="10"/>
  <c r="G3" i="20"/>
  <c r="B65" i="35"/>
  <c r="C65" i="35" s="1"/>
  <c r="B137" i="35"/>
  <c r="C137" i="35" s="1"/>
  <c r="B66" i="35"/>
  <c r="C66" i="35" s="1"/>
  <c r="B138" i="35"/>
  <c r="C138" i="35" s="1"/>
  <c r="B77" i="35"/>
  <c r="C77" i="35" s="1"/>
  <c r="B149" i="35"/>
  <c r="C149" i="35" s="1"/>
  <c r="B6" i="35"/>
  <c r="C6" i="35" s="1"/>
  <c r="B78" i="35"/>
  <c r="C78" i="35" s="1"/>
  <c r="B161" i="35"/>
  <c r="C161" i="35" s="1"/>
  <c r="B17" i="35"/>
  <c r="C17" i="35" s="1"/>
  <c r="B89" i="35"/>
  <c r="C89" i="35" s="1"/>
  <c r="B173" i="35"/>
  <c r="C173" i="35" s="1"/>
  <c r="B18" i="35"/>
  <c r="C18" i="35" s="1"/>
  <c r="B90" i="35"/>
  <c r="C90" i="35" s="1"/>
  <c r="B185" i="35"/>
  <c r="C185" i="35" s="1"/>
  <c r="B29" i="35"/>
  <c r="C29" i="35" s="1"/>
  <c r="B101" i="35"/>
  <c r="C101" i="35" s="1"/>
  <c r="B197" i="35"/>
  <c r="C197" i="35" s="1"/>
  <c r="B30" i="35"/>
  <c r="C30" i="35" s="1"/>
  <c r="B102" i="35"/>
  <c r="C102" i="35" s="1"/>
  <c r="B209" i="35"/>
  <c r="C209" i="35" s="1"/>
  <c r="B41" i="35"/>
  <c r="C41" i="35" s="1"/>
  <c r="B113" i="35"/>
  <c r="C113" i="35" s="1"/>
  <c r="B221" i="35"/>
  <c r="C221" i="35" s="1"/>
  <c r="B42" i="35"/>
  <c r="C42" i="35" s="1"/>
  <c r="B114" i="35"/>
  <c r="C114" i="35" s="1"/>
  <c r="B233" i="35"/>
  <c r="C233" i="35" s="1"/>
  <c r="B53" i="35"/>
  <c r="C53" i="35" s="1"/>
  <c r="B125" i="35"/>
  <c r="C125" i="35" s="1"/>
  <c r="B245" i="35"/>
  <c r="C245" i="35" s="1"/>
  <c r="B54" i="35"/>
  <c r="C54" i="35" s="1"/>
  <c r="B126" i="35"/>
  <c r="C126" i="35" s="1"/>
  <c r="B257" i="35"/>
  <c r="C257" i="35" s="1"/>
  <c r="B12" i="35"/>
  <c r="C12" i="35" s="1"/>
  <c r="B24" i="35"/>
  <c r="C24" i="35" s="1"/>
  <c r="B36" i="35"/>
  <c r="C36" i="35" s="1"/>
  <c r="B48" i="35"/>
  <c r="C48" i="35" s="1"/>
  <c r="B60" i="35"/>
  <c r="C60" i="35" s="1"/>
  <c r="B72" i="35"/>
  <c r="C72" i="35" s="1"/>
  <c r="B84" i="35"/>
  <c r="C84" i="35" s="1"/>
  <c r="B96" i="35"/>
  <c r="C96" i="35" s="1"/>
  <c r="B108" i="35"/>
  <c r="C108" i="35" s="1"/>
  <c r="B120" i="35"/>
  <c r="C120" i="35" s="1"/>
  <c r="B132" i="35"/>
  <c r="C132" i="35" s="1"/>
  <c r="B144" i="35"/>
  <c r="C144" i="35" s="1"/>
  <c r="B156" i="35"/>
  <c r="C156" i="35" s="1"/>
  <c r="B168" i="35"/>
  <c r="C168" i="35" s="1"/>
  <c r="B180" i="35"/>
  <c r="C180" i="35" s="1"/>
  <c r="B192" i="35"/>
  <c r="C192" i="35" s="1"/>
  <c r="B204" i="35"/>
  <c r="C204" i="35" s="1"/>
  <c r="B216" i="35"/>
  <c r="C216" i="35" s="1"/>
  <c r="B228" i="35"/>
  <c r="C228" i="35" s="1"/>
  <c r="B240" i="35"/>
  <c r="C240" i="35" s="1"/>
  <c r="B252" i="35"/>
  <c r="C252" i="35" s="1"/>
  <c r="B13" i="35"/>
  <c r="C13" i="35" s="1"/>
  <c r="B25" i="35"/>
  <c r="C25" i="35" s="1"/>
  <c r="B37" i="35"/>
  <c r="C37" i="35" s="1"/>
  <c r="B49" i="35"/>
  <c r="C49" i="35" s="1"/>
  <c r="B61" i="35"/>
  <c r="C61" i="35" s="1"/>
  <c r="B73" i="35"/>
  <c r="C73" i="35" s="1"/>
  <c r="B85" i="35"/>
  <c r="C85" i="35" s="1"/>
  <c r="B97" i="35"/>
  <c r="C97" i="35" s="1"/>
  <c r="B109" i="35"/>
  <c r="C109" i="35" s="1"/>
  <c r="B121" i="35"/>
  <c r="C121" i="35" s="1"/>
  <c r="B133" i="35"/>
  <c r="C133" i="35" s="1"/>
  <c r="B145" i="35"/>
  <c r="C145" i="35" s="1"/>
  <c r="B157" i="35"/>
  <c r="C157" i="35" s="1"/>
  <c r="B169" i="35"/>
  <c r="C169" i="35" s="1"/>
  <c r="B181" i="35"/>
  <c r="C181" i="35" s="1"/>
  <c r="B193" i="35"/>
  <c r="C193" i="35" s="1"/>
  <c r="B205" i="35"/>
  <c r="C205" i="35" s="1"/>
  <c r="B217" i="35"/>
  <c r="C217" i="35" s="1"/>
  <c r="B229" i="35"/>
  <c r="C229" i="35" s="1"/>
  <c r="B241" i="35"/>
  <c r="C241" i="35" s="1"/>
  <c r="B253" i="35"/>
  <c r="C253" i="35" s="1"/>
  <c r="B14" i="35"/>
  <c r="C14" i="35" s="1"/>
  <c r="B26" i="35"/>
  <c r="C26" i="35" s="1"/>
  <c r="B38" i="35"/>
  <c r="C38" i="35" s="1"/>
  <c r="B50" i="35"/>
  <c r="C50" i="35" s="1"/>
  <c r="B62" i="35"/>
  <c r="C62" i="35" s="1"/>
  <c r="B74" i="35"/>
  <c r="C74" i="35" s="1"/>
  <c r="B86" i="35"/>
  <c r="C86" i="35" s="1"/>
  <c r="B98" i="35"/>
  <c r="C98" i="35" s="1"/>
  <c r="B110" i="35"/>
  <c r="C110" i="35" s="1"/>
  <c r="B122" i="35"/>
  <c r="C122" i="35" s="1"/>
  <c r="B134" i="35"/>
  <c r="C134" i="35" s="1"/>
  <c r="B146" i="35"/>
  <c r="C146" i="35" s="1"/>
  <c r="B158" i="35"/>
  <c r="C158" i="35" s="1"/>
  <c r="B170" i="35"/>
  <c r="C170" i="35" s="1"/>
  <c r="B182" i="35"/>
  <c r="C182" i="35" s="1"/>
  <c r="B194" i="35"/>
  <c r="C194" i="35" s="1"/>
  <c r="B206" i="35"/>
  <c r="C206" i="35" s="1"/>
  <c r="B218" i="35"/>
  <c r="C218" i="35" s="1"/>
  <c r="B230" i="35"/>
  <c r="C230" i="35" s="1"/>
  <c r="B242" i="35"/>
  <c r="C242" i="35" s="1"/>
  <c r="B254" i="35"/>
  <c r="C254" i="35" s="1"/>
  <c r="B15" i="35"/>
  <c r="C15" i="35" s="1"/>
  <c r="B27" i="35"/>
  <c r="C27" i="35" s="1"/>
  <c r="B39" i="35"/>
  <c r="C39" i="35" s="1"/>
  <c r="B51" i="35"/>
  <c r="C51" i="35" s="1"/>
  <c r="B63" i="35"/>
  <c r="C63" i="35" s="1"/>
  <c r="B75" i="35"/>
  <c r="C75" i="35" s="1"/>
  <c r="B87" i="35"/>
  <c r="C87" i="35" s="1"/>
  <c r="B99" i="35"/>
  <c r="C99" i="35" s="1"/>
  <c r="B111" i="35"/>
  <c r="C111" i="35" s="1"/>
  <c r="B123" i="35"/>
  <c r="C123" i="35" s="1"/>
  <c r="B135" i="35"/>
  <c r="C135" i="35" s="1"/>
  <c r="B147" i="35"/>
  <c r="C147" i="35" s="1"/>
  <c r="B159" i="35"/>
  <c r="C159" i="35" s="1"/>
  <c r="B171" i="35"/>
  <c r="C171" i="35" s="1"/>
  <c r="B183" i="35"/>
  <c r="C183" i="35" s="1"/>
  <c r="B195" i="35"/>
  <c r="C195" i="35" s="1"/>
  <c r="B207" i="35"/>
  <c r="C207" i="35" s="1"/>
  <c r="B219" i="35"/>
  <c r="C219" i="35" s="1"/>
  <c r="B231" i="35"/>
  <c r="C231" i="35" s="1"/>
  <c r="B243" i="35"/>
  <c r="C243" i="35" s="1"/>
  <c r="B255" i="35"/>
  <c r="C255" i="35" s="1"/>
  <c r="B16" i="35"/>
  <c r="C16" i="35" s="1"/>
  <c r="B28" i="35"/>
  <c r="C28" i="35" s="1"/>
  <c r="B40" i="35"/>
  <c r="C40" i="35" s="1"/>
  <c r="B52" i="35"/>
  <c r="C52" i="35" s="1"/>
  <c r="B64" i="35"/>
  <c r="C64" i="35" s="1"/>
  <c r="B76" i="35"/>
  <c r="C76" i="35" s="1"/>
  <c r="B88" i="35"/>
  <c r="C88" i="35" s="1"/>
  <c r="B100" i="35"/>
  <c r="C100" i="35" s="1"/>
  <c r="B112" i="35"/>
  <c r="C112" i="35" s="1"/>
  <c r="B124" i="35"/>
  <c r="C124" i="35" s="1"/>
  <c r="B136" i="35"/>
  <c r="C136" i="35" s="1"/>
  <c r="B148" i="35"/>
  <c r="C148" i="35" s="1"/>
  <c r="B160" i="35"/>
  <c r="C160" i="35" s="1"/>
  <c r="B172" i="35"/>
  <c r="C172" i="35" s="1"/>
  <c r="B184" i="35"/>
  <c r="C184" i="35" s="1"/>
  <c r="B196" i="35"/>
  <c r="C196" i="35" s="1"/>
  <c r="B208" i="35"/>
  <c r="C208" i="35" s="1"/>
  <c r="B220" i="35"/>
  <c r="C220" i="35" s="1"/>
  <c r="B232" i="35"/>
  <c r="C232" i="35" s="1"/>
  <c r="B244" i="35"/>
  <c r="C244" i="35" s="1"/>
  <c r="B256" i="35"/>
  <c r="C256" i="35" s="1"/>
  <c r="B150" i="35"/>
  <c r="C150" i="35" s="1"/>
  <c r="B162" i="35"/>
  <c r="C162" i="35" s="1"/>
  <c r="B174" i="35"/>
  <c r="C174" i="35" s="1"/>
  <c r="B186" i="35"/>
  <c r="C186" i="35" s="1"/>
  <c r="B198" i="35"/>
  <c r="C198" i="35" s="1"/>
  <c r="B210" i="35"/>
  <c r="C210" i="35" s="1"/>
  <c r="B222" i="35"/>
  <c r="C222" i="35" s="1"/>
  <c r="B234" i="35"/>
  <c r="C234" i="35" s="1"/>
  <c r="B246" i="35"/>
  <c r="C246" i="35" s="1"/>
  <c r="B258" i="35"/>
  <c r="C258" i="35" s="1"/>
  <c r="B7" i="35"/>
  <c r="C7" i="35" s="1"/>
  <c r="B19" i="35"/>
  <c r="C19" i="35" s="1"/>
  <c r="B31" i="35"/>
  <c r="C31" i="35" s="1"/>
  <c r="B43" i="35"/>
  <c r="C43" i="35" s="1"/>
  <c r="B55" i="35"/>
  <c r="C55" i="35" s="1"/>
  <c r="B67" i="35"/>
  <c r="C67" i="35" s="1"/>
  <c r="B79" i="35"/>
  <c r="C79" i="35" s="1"/>
  <c r="B91" i="35"/>
  <c r="C91" i="35" s="1"/>
  <c r="B103" i="35"/>
  <c r="C103" i="35" s="1"/>
  <c r="B115" i="35"/>
  <c r="C115" i="35" s="1"/>
  <c r="B127" i="35"/>
  <c r="C127" i="35" s="1"/>
  <c r="B139" i="35"/>
  <c r="C139" i="35" s="1"/>
  <c r="B151" i="35"/>
  <c r="C151" i="35" s="1"/>
  <c r="B163" i="35"/>
  <c r="C163" i="35" s="1"/>
  <c r="B175" i="35"/>
  <c r="C175" i="35" s="1"/>
  <c r="B187" i="35"/>
  <c r="C187" i="35" s="1"/>
  <c r="B199" i="35"/>
  <c r="C199" i="35" s="1"/>
  <c r="B211" i="35"/>
  <c r="C211" i="35" s="1"/>
  <c r="B223" i="35"/>
  <c r="C223" i="35" s="1"/>
  <c r="B235" i="35"/>
  <c r="C235" i="35" s="1"/>
  <c r="B247" i="35"/>
  <c r="C247" i="35" s="1"/>
  <c r="B259" i="35"/>
  <c r="C259" i="35" s="1"/>
  <c r="B8" i="35"/>
  <c r="C8" i="35" s="1"/>
  <c r="B20" i="35"/>
  <c r="C20" i="35" s="1"/>
  <c r="B32" i="35"/>
  <c r="C32" i="35" s="1"/>
  <c r="B44" i="35"/>
  <c r="C44" i="35" s="1"/>
  <c r="B56" i="35"/>
  <c r="C56" i="35" s="1"/>
  <c r="B68" i="35"/>
  <c r="C68" i="35" s="1"/>
  <c r="B80" i="35"/>
  <c r="C80" i="35" s="1"/>
  <c r="B92" i="35"/>
  <c r="C92" i="35" s="1"/>
  <c r="B104" i="35"/>
  <c r="C104" i="35" s="1"/>
  <c r="B116" i="35"/>
  <c r="C116" i="35" s="1"/>
  <c r="B128" i="35"/>
  <c r="C128" i="35" s="1"/>
  <c r="B140" i="35"/>
  <c r="C140" i="35" s="1"/>
  <c r="B152" i="35"/>
  <c r="C152" i="35" s="1"/>
  <c r="B164" i="35"/>
  <c r="C164" i="35" s="1"/>
  <c r="B176" i="35"/>
  <c r="C176" i="35" s="1"/>
  <c r="B188" i="35"/>
  <c r="C188" i="35" s="1"/>
  <c r="B200" i="35"/>
  <c r="C200" i="35" s="1"/>
  <c r="B212" i="35"/>
  <c r="C212" i="35" s="1"/>
  <c r="B224" i="35"/>
  <c r="C224" i="35" s="1"/>
  <c r="B236" i="35"/>
  <c r="C236" i="35" s="1"/>
  <c r="B248" i="35"/>
  <c r="C248" i="35" s="1"/>
  <c r="B260" i="35"/>
  <c r="C260" i="35" s="1"/>
  <c r="B9" i="35"/>
  <c r="C9" i="35" s="1"/>
  <c r="B21" i="35"/>
  <c r="C21" i="35" s="1"/>
  <c r="B33" i="35"/>
  <c r="C33" i="35" s="1"/>
  <c r="B45" i="35"/>
  <c r="C45" i="35" s="1"/>
  <c r="B57" i="35"/>
  <c r="C57" i="35" s="1"/>
  <c r="B69" i="35"/>
  <c r="C69" i="35" s="1"/>
  <c r="B81" i="35"/>
  <c r="C81" i="35" s="1"/>
  <c r="B93" i="35"/>
  <c r="C93" i="35" s="1"/>
  <c r="B105" i="35"/>
  <c r="C105" i="35" s="1"/>
  <c r="B117" i="35"/>
  <c r="C117" i="35" s="1"/>
  <c r="B129" i="35"/>
  <c r="C129" i="35" s="1"/>
  <c r="B141" i="35"/>
  <c r="C141" i="35" s="1"/>
  <c r="B153" i="35"/>
  <c r="C153" i="35" s="1"/>
  <c r="B165" i="35"/>
  <c r="C165" i="35" s="1"/>
  <c r="B177" i="35"/>
  <c r="C177" i="35" s="1"/>
  <c r="B189" i="35"/>
  <c r="C189" i="35" s="1"/>
  <c r="B201" i="35"/>
  <c r="C201" i="35" s="1"/>
  <c r="B213" i="35"/>
  <c r="C213" i="35" s="1"/>
  <c r="B225" i="35"/>
  <c r="C225" i="35" s="1"/>
  <c r="B237" i="35"/>
  <c r="C237" i="35" s="1"/>
  <c r="B249" i="35"/>
  <c r="C249" i="35" s="1"/>
  <c r="B261" i="35"/>
  <c r="C261" i="35" s="1"/>
  <c r="B10" i="35"/>
  <c r="C10" i="35" s="1"/>
  <c r="B22" i="35"/>
  <c r="C22" i="35" s="1"/>
  <c r="B34" i="35"/>
  <c r="C34" i="35" s="1"/>
  <c r="B46" i="35"/>
  <c r="C46" i="35" s="1"/>
  <c r="B58" i="35"/>
  <c r="C58" i="35" s="1"/>
  <c r="B70" i="35"/>
  <c r="C70" i="35" s="1"/>
  <c r="B82" i="35"/>
  <c r="C82" i="35" s="1"/>
  <c r="B94" i="35"/>
  <c r="C94" i="35" s="1"/>
  <c r="B106" i="35"/>
  <c r="C106" i="35" s="1"/>
  <c r="B118" i="35"/>
  <c r="C118" i="35" s="1"/>
  <c r="B130" i="35"/>
  <c r="C130" i="35" s="1"/>
  <c r="B142" i="35"/>
  <c r="C142" i="35" s="1"/>
  <c r="B154" i="35"/>
  <c r="C154" i="35" s="1"/>
  <c r="B166" i="35"/>
  <c r="C166" i="35" s="1"/>
  <c r="B178" i="35"/>
  <c r="C178" i="35" s="1"/>
  <c r="B190" i="35"/>
  <c r="C190" i="35" s="1"/>
  <c r="B202" i="35"/>
  <c r="C202" i="35" s="1"/>
  <c r="B214" i="35"/>
  <c r="C214" i="35" s="1"/>
  <c r="B226" i="35"/>
  <c r="C226" i="35" s="1"/>
  <c r="B238" i="35"/>
  <c r="C238" i="35" s="1"/>
  <c r="B250" i="35"/>
  <c r="C250" i="35" s="1"/>
  <c r="B262" i="35"/>
  <c r="C262" i="35" s="1"/>
  <c r="B11" i="35"/>
  <c r="C11" i="35" s="1"/>
  <c r="B23" i="35"/>
  <c r="C23" i="35" s="1"/>
  <c r="B35" i="35"/>
  <c r="C35" i="35" s="1"/>
  <c r="B47" i="35"/>
  <c r="C47" i="35" s="1"/>
  <c r="B59" i="35"/>
  <c r="C59" i="35" s="1"/>
  <c r="B71" i="35"/>
  <c r="C71" i="35" s="1"/>
  <c r="B83" i="35"/>
  <c r="C83" i="35" s="1"/>
  <c r="B95" i="35"/>
  <c r="C95" i="35" s="1"/>
  <c r="B107" i="35"/>
  <c r="C107" i="35" s="1"/>
  <c r="B119" i="35"/>
  <c r="C119" i="35" s="1"/>
  <c r="B131" i="35"/>
  <c r="C131" i="35" s="1"/>
  <c r="B143" i="35"/>
  <c r="C143" i="35" s="1"/>
  <c r="B155" i="35"/>
  <c r="C155" i="35" s="1"/>
  <c r="B167" i="35"/>
  <c r="C167" i="35" s="1"/>
  <c r="B179" i="35"/>
  <c r="C179" i="35" s="1"/>
  <c r="B191" i="35"/>
  <c r="C191" i="35" s="1"/>
  <c r="B203" i="35"/>
  <c r="C203" i="35" s="1"/>
  <c r="B215" i="35"/>
  <c r="C215" i="35" s="1"/>
  <c r="B227" i="35"/>
  <c r="C227" i="35" s="1"/>
  <c r="B239" i="35"/>
  <c r="C239" i="35" s="1"/>
  <c r="B251" i="35"/>
  <c r="C251" i="35" s="1"/>
  <c r="B263" i="35"/>
  <c r="C263" i="35" s="1"/>
  <c r="C12" i="20"/>
  <c r="F12" i="20" s="1"/>
  <c r="F14" i="20" s="1"/>
  <c r="I14" i="20" s="1"/>
  <c r="C7" i="20"/>
  <c r="D27" i="43" s="1"/>
  <c r="C98" i="10"/>
  <c r="C13" i="20"/>
  <c r="C6" i="20"/>
  <c r="C5" i="20"/>
  <c r="D25" i="43" s="1"/>
  <c r="E4" i="20"/>
  <c r="F24" i="43" s="1"/>
  <c r="E6" i="20"/>
  <c r="F26" i="43" s="1"/>
  <c r="C12" i="33"/>
  <c r="C4" i="20"/>
  <c r="D24" i="43" s="1"/>
  <c r="F62" i="10"/>
  <c r="D64" i="10" s="1"/>
  <c r="C3" i="20"/>
  <c r="D23" i="43" s="1"/>
  <c r="B5" i="12"/>
  <c r="B6" i="12"/>
  <c r="D4" i="12"/>
  <c r="D3" i="12"/>
  <c r="D1" i="12"/>
  <c r="B4" i="12"/>
  <c r="B3" i="12"/>
  <c r="C49" i="10"/>
  <c r="H4" i="20" l="1"/>
  <c r="C20" i="3"/>
  <c r="B2" i="20"/>
  <c r="A8" i="43" s="1"/>
  <c r="F6" i="20"/>
  <c r="D26" i="43"/>
  <c r="B134" i="10"/>
  <c r="D134" i="10"/>
  <c r="C17" i="3"/>
  <c r="P14" i="17"/>
  <c r="B16" i="16"/>
  <c r="G21" i="20" s="1"/>
  <c r="H14" i="20"/>
  <c r="I12" i="20"/>
  <c r="H12" i="20"/>
  <c r="C7" i="33"/>
  <c r="B1" i="9"/>
  <c r="B1" i="31"/>
  <c r="B11" i="20"/>
  <c r="C23" i="33"/>
  <c r="C65" i="10"/>
  <c r="H29" i="10"/>
  <c r="C16" i="3" s="1"/>
  <c r="G13" i="34"/>
  <c r="C7" i="3"/>
  <c r="C36" i="33"/>
  <c r="D40" i="3"/>
  <c r="D41" i="3" s="1"/>
  <c r="D42" i="3" s="1"/>
  <c r="H13" i="34"/>
  <c r="C3" i="34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6" i="31"/>
  <c r="D7" i="31"/>
  <c r="C19" i="3" l="1"/>
  <c r="I16" i="20"/>
  <c r="I18" i="20" s="1"/>
  <c r="I24" i="20" s="1"/>
  <c r="I21" i="20"/>
  <c r="I25" i="20" s="1"/>
  <c r="I26" i="20" l="1"/>
  <c r="F136" i="10" s="1"/>
  <c r="I22" i="20"/>
  <c r="G25" i="20"/>
  <c r="H21" i="20"/>
  <c r="H25" i="20" s="1"/>
  <c r="I13" i="34"/>
  <c r="F2" i="16"/>
  <c r="I28" i="20" l="1"/>
  <c r="I32" i="20" s="1"/>
  <c r="I37" i="20" s="1"/>
  <c r="I40" i="20" s="1"/>
  <c r="I39" i="20" s="1"/>
  <c r="C263" i="30"/>
  <c r="E263" i="30" s="1"/>
  <c r="C251" i="30"/>
  <c r="E251" i="30" s="1"/>
  <c r="C229" i="30"/>
  <c r="E229" i="30" s="1"/>
  <c r="C217" i="30"/>
  <c r="E217" i="30" s="1"/>
  <c r="C207" i="30"/>
  <c r="E207" i="30" s="1"/>
  <c r="C196" i="30"/>
  <c r="E196" i="30" s="1"/>
  <c r="C184" i="30"/>
  <c r="E184" i="30" s="1"/>
  <c r="C172" i="30"/>
  <c r="E172" i="30" s="1"/>
  <c r="C151" i="30"/>
  <c r="E151" i="30" s="1"/>
  <c r="C140" i="30"/>
  <c r="E140" i="30" s="1"/>
  <c r="C129" i="30"/>
  <c r="E129" i="30" s="1"/>
  <c r="C118" i="30"/>
  <c r="E118" i="30" s="1"/>
  <c r="C106" i="30"/>
  <c r="E106" i="30" s="1"/>
  <c r="C95" i="30"/>
  <c r="E95" i="30" s="1"/>
  <c r="C84" i="30"/>
  <c r="E84" i="30" s="1"/>
  <c r="C73" i="30"/>
  <c r="E73" i="30" s="1"/>
  <c r="C63" i="30"/>
  <c r="E63" i="30" s="1"/>
  <c r="C52" i="30"/>
  <c r="E52" i="30" s="1"/>
  <c r="C40" i="30"/>
  <c r="E40" i="30" s="1"/>
  <c r="C28" i="30"/>
  <c r="E28" i="30" s="1"/>
  <c r="N41" i="40" s="1"/>
  <c r="C7" i="30"/>
  <c r="E7" i="30" s="1"/>
  <c r="C253" i="29"/>
  <c r="C242" i="29"/>
  <c r="C230" i="29"/>
  <c r="C219" i="29"/>
  <c r="C207" i="29"/>
  <c r="C195" i="29"/>
  <c r="C183" i="29"/>
  <c r="C171" i="29"/>
  <c r="C159" i="29"/>
  <c r="C148" i="29"/>
  <c r="C138" i="29"/>
  <c r="C127" i="29"/>
  <c r="C115" i="29"/>
  <c r="C105" i="29"/>
  <c r="C85" i="29"/>
  <c r="C73" i="29"/>
  <c r="C55" i="29"/>
  <c r="C46" i="29"/>
  <c r="C37" i="29"/>
  <c r="C27" i="29"/>
  <c r="C19" i="29"/>
  <c r="C9" i="29"/>
  <c r="C262" i="30"/>
  <c r="E262" i="30" s="1"/>
  <c r="C250" i="30"/>
  <c r="E250" i="30" s="1"/>
  <c r="C239" i="30"/>
  <c r="E239" i="30" s="1"/>
  <c r="C228" i="30"/>
  <c r="E228" i="30" s="1"/>
  <c r="C216" i="30"/>
  <c r="E216" i="30" s="1"/>
  <c r="C206" i="30"/>
  <c r="E206" i="30" s="1"/>
  <c r="C195" i="30"/>
  <c r="E195" i="30" s="1"/>
  <c r="C183" i="30"/>
  <c r="E183" i="30" s="1"/>
  <c r="C171" i="30"/>
  <c r="E171" i="30" s="1"/>
  <c r="C161" i="30"/>
  <c r="E161" i="30" s="1"/>
  <c r="C150" i="30"/>
  <c r="E150" i="30" s="1"/>
  <c r="C139" i="30"/>
  <c r="E139" i="30" s="1"/>
  <c r="C128" i="30"/>
  <c r="E128" i="30" s="1"/>
  <c r="C117" i="30"/>
  <c r="E117" i="30" s="1"/>
  <c r="C105" i="30"/>
  <c r="E105" i="30" s="1"/>
  <c r="C94" i="30"/>
  <c r="E94" i="30" s="1"/>
  <c r="C72" i="30"/>
  <c r="E72" i="30" s="1"/>
  <c r="C62" i="30"/>
  <c r="E62" i="30" s="1"/>
  <c r="C51" i="30"/>
  <c r="E51" i="30" s="1"/>
  <c r="C39" i="30"/>
  <c r="E39" i="30" s="1"/>
  <c r="C27" i="30"/>
  <c r="E27" i="30" s="1"/>
  <c r="N40" i="40" s="1"/>
  <c r="C17" i="30"/>
  <c r="E17" i="30" s="1"/>
  <c r="C6" i="30"/>
  <c r="E6" i="30" s="1"/>
  <c r="N7" i="40" s="1"/>
  <c r="C252" i="29"/>
  <c r="C241" i="29"/>
  <c r="C229" i="29"/>
  <c r="C218" i="29"/>
  <c r="C206" i="29"/>
  <c r="C194" i="29"/>
  <c r="C182" i="29"/>
  <c r="C170" i="29"/>
  <c r="C158" i="29"/>
  <c r="C147" i="29"/>
  <c r="C137" i="29"/>
  <c r="C126" i="29"/>
  <c r="C104" i="29"/>
  <c r="C94" i="29"/>
  <c r="C84" i="29"/>
  <c r="C72" i="29"/>
  <c r="C63" i="29"/>
  <c r="C54" i="29"/>
  <c r="C45" i="29"/>
  <c r="C36" i="29"/>
  <c r="C26" i="29"/>
  <c r="C18" i="29"/>
  <c r="C261" i="30"/>
  <c r="E261" i="30" s="1"/>
  <c r="C249" i="30"/>
  <c r="E249" i="30" s="1"/>
  <c r="C238" i="30"/>
  <c r="E238" i="30" s="1"/>
  <c r="C227" i="30"/>
  <c r="E227" i="30" s="1"/>
  <c r="C205" i="30"/>
  <c r="E205" i="30" s="1"/>
  <c r="C194" i="30"/>
  <c r="E194" i="30" s="1"/>
  <c r="C182" i="30"/>
  <c r="E182" i="30" s="1"/>
  <c r="C170" i="30"/>
  <c r="E170" i="30" s="1"/>
  <c r="C160" i="30"/>
  <c r="E160" i="30" s="1"/>
  <c r="C149" i="30"/>
  <c r="E149" i="30" s="1"/>
  <c r="C138" i="30"/>
  <c r="E138" i="30" s="1"/>
  <c r="C127" i="30"/>
  <c r="E127" i="30" s="1"/>
  <c r="C116" i="30"/>
  <c r="E116" i="30" s="1"/>
  <c r="C104" i="30"/>
  <c r="E104" i="30" s="1"/>
  <c r="C93" i="30"/>
  <c r="E93" i="30" s="1"/>
  <c r="C83" i="30"/>
  <c r="E83" i="30" s="1"/>
  <c r="C61" i="30"/>
  <c r="E61" i="30" s="1"/>
  <c r="C50" i="30"/>
  <c r="E50" i="30" s="1"/>
  <c r="C38" i="30"/>
  <c r="E38" i="30" s="1"/>
  <c r="C26" i="30"/>
  <c r="E26" i="30" s="1"/>
  <c r="N39" i="40" s="1"/>
  <c r="C16" i="30"/>
  <c r="E16" i="30" s="1"/>
  <c r="C263" i="29"/>
  <c r="C251" i="29"/>
  <c r="C240" i="29"/>
  <c r="C228" i="29"/>
  <c r="C217" i="29"/>
  <c r="C205" i="29"/>
  <c r="C193" i="29"/>
  <c r="C181" i="29"/>
  <c r="C169" i="29"/>
  <c r="C157" i="29"/>
  <c r="C146" i="29"/>
  <c r="C136" i="29"/>
  <c r="C125" i="29"/>
  <c r="C114" i="29"/>
  <c r="C103" i="29"/>
  <c r="C93" i="29"/>
  <c r="C83" i="29"/>
  <c r="C71" i="29"/>
  <c r="C62" i="29"/>
  <c r="C53" i="29"/>
  <c r="C35" i="29"/>
  <c r="C25" i="29"/>
  <c r="C17" i="29"/>
  <c r="C8" i="29"/>
  <c r="C260" i="30"/>
  <c r="E260" i="30" s="1"/>
  <c r="C248" i="30"/>
  <c r="E248" i="30" s="1"/>
  <c r="C237" i="30"/>
  <c r="E237" i="30" s="1"/>
  <c r="C226" i="30"/>
  <c r="E226" i="30" s="1"/>
  <c r="C215" i="30"/>
  <c r="E215" i="30" s="1"/>
  <c r="C204" i="30"/>
  <c r="E204" i="30" s="1"/>
  <c r="C193" i="30"/>
  <c r="E193" i="30" s="1"/>
  <c r="C181" i="30"/>
  <c r="E181" i="30" s="1"/>
  <c r="C169" i="30"/>
  <c r="E169" i="30" s="1"/>
  <c r="C159" i="30"/>
  <c r="E159" i="30" s="1"/>
  <c r="C148" i="30"/>
  <c r="E148" i="30" s="1"/>
  <c r="C126" i="30"/>
  <c r="E126" i="30" s="1"/>
  <c r="C115" i="30"/>
  <c r="E115" i="30" s="1"/>
  <c r="C103" i="30"/>
  <c r="E103" i="30" s="1"/>
  <c r="C92" i="30"/>
  <c r="E92" i="30" s="1"/>
  <c r="C82" i="30"/>
  <c r="E82" i="30" s="1"/>
  <c r="C71" i="30"/>
  <c r="E71" i="30" s="1"/>
  <c r="C60" i="30"/>
  <c r="E60" i="30" s="1"/>
  <c r="C49" i="30"/>
  <c r="E49" i="30" s="1"/>
  <c r="C37" i="30"/>
  <c r="E37" i="30" s="1"/>
  <c r="C25" i="30"/>
  <c r="E25" i="30" s="1"/>
  <c r="N38" i="40" s="1"/>
  <c r="C15" i="30"/>
  <c r="E15" i="30" s="1"/>
  <c r="C262" i="29"/>
  <c r="C250" i="29"/>
  <c r="C239" i="29"/>
  <c r="C227" i="29"/>
  <c r="C216" i="29"/>
  <c r="C204" i="29"/>
  <c r="C192" i="29"/>
  <c r="C180" i="29"/>
  <c r="C168" i="29"/>
  <c r="C156" i="29"/>
  <c r="C145" i="29"/>
  <c r="C135" i="29"/>
  <c r="C124" i="29"/>
  <c r="C113" i="29"/>
  <c r="C102" i="29"/>
  <c r="C92" i="29"/>
  <c r="C82" i="29"/>
  <c r="C52" i="29"/>
  <c r="C44" i="29"/>
  <c r="C24" i="29"/>
  <c r="C7" i="29"/>
  <c r="C259" i="30"/>
  <c r="E259" i="30" s="1"/>
  <c r="C247" i="30"/>
  <c r="E247" i="30" s="1"/>
  <c r="C236" i="30"/>
  <c r="E236" i="30" s="1"/>
  <c r="C225" i="30"/>
  <c r="E225" i="30" s="1"/>
  <c r="C214" i="30"/>
  <c r="E214" i="30" s="1"/>
  <c r="C203" i="30"/>
  <c r="E203" i="30" s="1"/>
  <c r="C192" i="30"/>
  <c r="E192" i="30" s="1"/>
  <c r="C180" i="30"/>
  <c r="E180" i="30" s="1"/>
  <c r="C168" i="30"/>
  <c r="E168" i="30" s="1"/>
  <c r="C158" i="30"/>
  <c r="E158" i="30" s="1"/>
  <c r="C147" i="30"/>
  <c r="E147" i="30" s="1"/>
  <c r="C137" i="30"/>
  <c r="E137" i="30" s="1"/>
  <c r="C114" i="30"/>
  <c r="E114" i="30" s="1"/>
  <c r="C102" i="30"/>
  <c r="E102" i="30" s="1"/>
  <c r="C91" i="30"/>
  <c r="E91" i="30" s="1"/>
  <c r="C81" i="30"/>
  <c r="E81" i="30" s="1"/>
  <c r="C70" i="30"/>
  <c r="E70" i="30" s="1"/>
  <c r="C59" i="30"/>
  <c r="E59" i="30" s="1"/>
  <c r="C48" i="30"/>
  <c r="E48" i="30" s="1"/>
  <c r="C36" i="30"/>
  <c r="E36" i="30" s="1"/>
  <c r="C24" i="30"/>
  <c r="E24" i="30" s="1"/>
  <c r="N37" i="40" s="1"/>
  <c r="C14" i="30"/>
  <c r="E14" i="30" s="1"/>
  <c r="C261" i="29"/>
  <c r="C249" i="29"/>
  <c r="C238" i="29"/>
  <c r="C226" i="29"/>
  <c r="C215" i="29"/>
  <c r="C203" i="29"/>
  <c r="C191" i="29"/>
  <c r="C179" i="29"/>
  <c r="C167" i="29"/>
  <c r="C155" i="29"/>
  <c r="C144" i="29"/>
  <c r="C134" i="29"/>
  <c r="C123" i="29"/>
  <c r="C112" i="29"/>
  <c r="C101" i="29"/>
  <c r="C91" i="29"/>
  <c r="C81" i="29"/>
  <c r="C70" i="29"/>
  <c r="C51" i="29"/>
  <c r="C43" i="29"/>
  <c r="C34" i="29"/>
  <c r="C16" i="29"/>
  <c r="C6" i="29"/>
  <c r="C258" i="30"/>
  <c r="E258" i="30" s="1"/>
  <c r="C246" i="30"/>
  <c r="E246" i="30" s="1"/>
  <c r="C235" i="30"/>
  <c r="E235" i="30" s="1"/>
  <c r="C224" i="30"/>
  <c r="E224" i="30" s="1"/>
  <c r="C213" i="30"/>
  <c r="E213" i="30" s="1"/>
  <c r="C202" i="30"/>
  <c r="E202" i="30" s="1"/>
  <c r="C191" i="30"/>
  <c r="E191" i="30" s="1"/>
  <c r="C179" i="30"/>
  <c r="E179" i="30" s="1"/>
  <c r="C157" i="30"/>
  <c r="E157" i="30" s="1"/>
  <c r="C146" i="30"/>
  <c r="E146" i="30" s="1"/>
  <c r="C136" i="30"/>
  <c r="E136" i="30" s="1"/>
  <c r="C125" i="30"/>
  <c r="E125" i="30" s="1"/>
  <c r="C113" i="30"/>
  <c r="E113" i="30" s="1"/>
  <c r="C101" i="30"/>
  <c r="E101" i="30" s="1"/>
  <c r="C90" i="30"/>
  <c r="E90" i="30" s="1"/>
  <c r="C80" i="30"/>
  <c r="E80" i="30" s="1"/>
  <c r="C69" i="30"/>
  <c r="E69" i="30" s="1"/>
  <c r="C58" i="30"/>
  <c r="E58" i="30" s="1"/>
  <c r="C47" i="30"/>
  <c r="E47" i="30" s="1"/>
  <c r="C35" i="30"/>
  <c r="E35" i="30" s="1"/>
  <c r="C13" i="30"/>
  <c r="E13" i="30" s="1"/>
  <c r="C260" i="29"/>
  <c r="C248" i="29"/>
  <c r="C237" i="29"/>
  <c r="C225" i="29"/>
  <c r="C214" i="29"/>
  <c r="C202" i="29"/>
  <c r="C190" i="29"/>
  <c r="C178" i="29"/>
  <c r="C166" i="29"/>
  <c r="C154" i="29"/>
  <c r="C143" i="29"/>
  <c r="C133" i="29"/>
  <c r="C122" i="29"/>
  <c r="C111" i="29"/>
  <c r="C100" i="29"/>
  <c r="C90" i="29"/>
  <c r="C80" i="29"/>
  <c r="C69" i="29"/>
  <c r="C61" i="29"/>
  <c r="C50" i="29"/>
  <c r="C42" i="29"/>
  <c r="C33" i="29"/>
  <c r="C23" i="29"/>
  <c r="C15" i="29"/>
  <c r="C257" i="30"/>
  <c r="E257" i="30" s="1"/>
  <c r="C245" i="30"/>
  <c r="E245" i="30" s="1"/>
  <c r="C234" i="30"/>
  <c r="E234" i="30" s="1"/>
  <c r="C223" i="30"/>
  <c r="E223" i="30" s="1"/>
  <c r="C212" i="30"/>
  <c r="E212" i="30" s="1"/>
  <c r="C201" i="30"/>
  <c r="E201" i="30" s="1"/>
  <c r="C190" i="30"/>
  <c r="E190" i="30" s="1"/>
  <c r="C178" i="30"/>
  <c r="E178" i="30" s="1"/>
  <c r="C167" i="30"/>
  <c r="E167" i="30" s="1"/>
  <c r="C156" i="30"/>
  <c r="E156" i="30" s="1"/>
  <c r="C145" i="30"/>
  <c r="E145" i="30" s="1"/>
  <c r="C135" i="30"/>
  <c r="E135" i="30" s="1"/>
  <c r="C124" i="30"/>
  <c r="E124" i="30" s="1"/>
  <c r="C112" i="30"/>
  <c r="E112" i="30" s="1"/>
  <c r="C100" i="30"/>
  <c r="E100" i="30" s="1"/>
  <c r="C79" i="30"/>
  <c r="E79" i="30" s="1"/>
  <c r="C68" i="30"/>
  <c r="E68" i="30" s="1"/>
  <c r="C57" i="30"/>
  <c r="E57" i="30" s="1"/>
  <c r="C46" i="30"/>
  <c r="E46" i="30" s="1"/>
  <c r="C34" i="30"/>
  <c r="E34" i="30" s="1"/>
  <c r="C23" i="30"/>
  <c r="E23" i="30" s="1"/>
  <c r="N36" i="40" s="1"/>
  <c r="C12" i="30"/>
  <c r="E12" i="30" s="1"/>
  <c r="C259" i="29"/>
  <c r="C247" i="29"/>
  <c r="C236" i="29"/>
  <c r="C224" i="29"/>
  <c r="C213" i="29"/>
  <c r="C201" i="29"/>
  <c r="C189" i="29"/>
  <c r="C177" i="29"/>
  <c r="C165" i="29"/>
  <c r="C153" i="29"/>
  <c r="C142" i="29"/>
  <c r="C121" i="29"/>
  <c r="C110" i="29"/>
  <c r="C99" i="29"/>
  <c r="C89" i="29"/>
  <c r="C79" i="29"/>
  <c r="C60" i="29"/>
  <c r="C41" i="29"/>
  <c r="C32" i="29"/>
  <c r="C22" i="29"/>
  <c r="C14" i="29"/>
  <c r="C256" i="30"/>
  <c r="E256" i="30" s="1"/>
  <c r="C244" i="30"/>
  <c r="E244" i="30" s="1"/>
  <c r="C222" i="30"/>
  <c r="E222" i="30" s="1"/>
  <c r="C211" i="30"/>
  <c r="E211" i="30" s="1"/>
  <c r="C200" i="30"/>
  <c r="E200" i="30" s="1"/>
  <c r="C189" i="30"/>
  <c r="E189" i="30" s="1"/>
  <c r="C177" i="30"/>
  <c r="E177" i="30" s="1"/>
  <c r="C166" i="30"/>
  <c r="E166" i="30" s="1"/>
  <c r="C144" i="30"/>
  <c r="E144" i="30" s="1"/>
  <c r="C134" i="30"/>
  <c r="E134" i="30" s="1"/>
  <c r="C123" i="30"/>
  <c r="E123" i="30" s="1"/>
  <c r="C111" i="30"/>
  <c r="E111" i="30" s="1"/>
  <c r="C99" i="30"/>
  <c r="E99" i="30" s="1"/>
  <c r="C89" i="30"/>
  <c r="E89" i="30" s="1"/>
  <c r="C78" i="30"/>
  <c r="E78" i="30" s="1"/>
  <c r="C67" i="30"/>
  <c r="E67" i="30" s="1"/>
  <c r="C56" i="30"/>
  <c r="E56" i="30" s="1"/>
  <c r="C45" i="30"/>
  <c r="E45" i="30" s="1"/>
  <c r="C33" i="30"/>
  <c r="E33" i="30" s="1"/>
  <c r="C22" i="30"/>
  <c r="E22" i="30" s="1"/>
  <c r="N35" i="40" s="1"/>
  <c r="C258" i="29"/>
  <c r="C246" i="29"/>
  <c r="C235" i="29"/>
  <c r="C223" i="29"/>
  <c r="C212" i="29"/>
  <c r="C200" i="29"/>
  <c r="C188" i="29"/>
  <c r="C176" i="29"/>
  <c r="C164" i="29"/>
  <c r="C152" i="29"/>
  <c r="C141" i="29"/>
  <c r="C132" i="29"/>
  <c r="C120" i="29"/>
  <c r="C109" i="29"/>
  <c r="C98" i="29"/>
  <c r="C78" i="29"/>
  <c r="C68" i="29"/>
  <c r="C59" i="29"/>
  <c r="C49" i="29"/>
  <c r="C40" i="29"/>
  <c r="C31" i="29"/>
  <c r="C13" i="29"/>
  <c r="F13" i="29" s="1"/>
  <c r="C255" i="30"/>
  <c r="E255" i="30" s="1"/>
  <c r="C243" i="30"/>
  <c r="E243" i="30" s="1"/>
  <c r="C233" i="30"/>
  <c r="E233" i="30" s="1"/>
  <c r="C221" i="30"/>
  <c r="E221" i="30" s="1"/>
  <c r="C210" i="30"/>
  <c r="E210" i="30" s="1"/>
  <c r="C199" i="30"/>
  <c r="E199" i="30" s="1"/>
  <c r="C188" i="30"/>
  <c r="E188" i="30" s="1"/>
  <c r="C176" i="30"/>
  <c r="E176" i="30" s="1"/>
  <c r="C165" i="30"/>
  <c r="E165" i="30" s="1"/>
  <c r="C155" i="30"/>
  <c r="E155" i="30" s="1"/>
  <c r="C133" i="30"/>
  <c r="E133" i="30" s="1"/>
  <c r="C122" i="30"/>
  <c r="E122" i="30" s="1"/>
  <c r="C110" i="30"/>
  <c r="E110" i="30" s="1"/>
  <c r="C98" i="30"/>
  <c r="E98" i="30" s="1"/>
  <c r="C88" i="30"/>
  <c r="E88" i="30" s="1"/>
  <c r="C77" i="30"/>
  <c r="E77" i="30" s="1"/>
  <c r="C66" i="30"/>
  <c r="E66" i="30" s="1"/>
  <c r="C55" i="30"/>
  <c r="E55" i="30" s="1"/>
  <c r="C44" i="30"/>
  <c r="E44" i="30" s="1"/>
  <c r="C32" i="30"/>
  <c r="E32" i="30" s="1"/>
  <c r="C21" i="30"/>
  <c r="E21" i="30" s="1"/>
  <c r="N34" i="40" s="1"/>
  <c r="C11" i="30"/>
  <c r="E11" i="30" s="1"/>
  <c r="C257" i="29"/>
  <c r="C245" i="29"/>
  <c r="C234" i="29"/>
  <c r="C211" i="29"/>
  <c r="C199" i="29"/>
  <c r="C187" i="29"/>
  <c r="C175" i="29"/>
  <c r="C163" i="29"/>
  <c r="C151" i="29"/>
  <c r="C131" i="29"/>
  <c r="C119" i="29"/>
  <c r="C97" i="29"/>
  <c r="C88" i="29"/>
  <c r="C77" i="29"/>
  <c r="C67" i="29"/>
  <c r="C58" i="29"/>
  <c r="C48" i="29"/>
  <c r="C39" i="29"/>
  <c r="C30" i="29"/>
  <c r="C12" i="29"/>
  <c r="F12" i="29" s="1"/>
  <c r="C254" i="30"/>
  <c r="E254" i="30" s="1"/>
  <c r="C242" i="30"/>
  <c r="E242" i="30" s="1"/>
  <c r="C232" i="30"/>
  <c r="E232" i="30" s="1"/>
  <c r="C220" i="30"/>
  <c r="E220" i="30" s="1"/>
  <c r="C198" i="30"/>
  <c r="E198" i="30" s="1"/>
  <c r="C187" i="30"/>
  <c r="E187" i="30" s="1"/>
  <c r="C175" i="30"/>
  <c r="E175" i="30" s="1"/>
  <c r="C164" i="30"/>
  <c r="E164" i="30" s="1"/>
  <c r="C154" i="30"/>
  <c r="E154" i="30" s="1"/>
  <c r="C143" i="30"/>
  <c r="E143" i="30" s="1"/>
  <c r="C132" i="30"/>
  <c r="E132" i="30" s="1"/>
  <c r="C121" i="30"/>
  <c r="E121" i="30" s="1"/>
  <c r="C109" i="30"/>
  <c r="E109" i="30" s="1"/>
  <c r="C97" i="30"/>
  <c r="E97" i="30" s="1"/>
  <c r="C87" i="30"/>
  <c r="E87" i="30" s="1"/>
  <c r="C76" i="30"/>
  <c r="E76" i="30" s="1"/>
  <c r="C54" i="30"/>
  <c r="E54" i="30" s="1"/>
  <c r="C43" i="30"/>
  <c r="E43" i="30" s="1"/>
  <c r="C31" i="30"/>
  <c r="E31" i="30" s="1"/>
  <c r="C20" i="30"/>
  <c r="E20" i="30" s="1"/>
  <c r="N33" i="40" s="1"/>
  <c r="C10" i="30"/>
  <c r="E10" i="30" s="1"/>
  <c r="C256" i="29"/>
  <c r="C244" i="29"/>
  <c r="C233" i="29"/>
  <c r="C222" i="29"/>
  <c r="C210" i="29"/>
  <c r="C198" i="29"/>
  <c r="C186" i="29"/>
  <c r="C174" i="29"/>
  <c r="C162" i="29"/>
  <c r="C150" i="29"/>
  <c r="C130" i="29"/>
  <c r="C118" i="29"/>
  <c r="C108" i="29"/>
  <c r="C96" i="29"/>
  <c r="C76" i="29"/>
  <c r="C66" i="29"/>
  <c r="C38" i="29"/>
  <c r="C29" i="29"/>
  <c r="C21" i="29"/>
  <c r="C11" i="29"/>
  <c r="C252" i="30"/>
  <c r="E252" i="30" s="1"/>
  <c r="C240" i="30"/>
  <c r="E240" i="30" s="1"/>
  <c r="C230" i="30"/>
  <c r="E230" i="30" s="1"/>
  <c r="C218" i="30"/>
  <c r="E218" i="30" s="1"/>
  <c r="C208" i="30"/>
  <c r="E208" i="30" s="1"/>
  <c r="C197" i="30"/>
  <c r="E197" i="30" s="1"/>
  <c r="C185" i="30"/>
  <c r="E185" i="30" s="1"/>
  <c r="C173" i="30"/>
  <c r="E173" i="30" s="1"/>
  <c r="C162" i="30"/>
  <c r="E162" i="30" s="1"/>
  <c r="C152" i="30"/>
  <c r="E152" i="30" s="1"/>
  <c r="C141" i="30"/>
  <c r="E141" i="30" s="1"/>
  <c r="C130" i="30"/>
  <c r="E130" i="30" s="1"/>
  <c r="C119" i="30"/>
  <c r="E119" i="30" s="1"/>
  <c r="C107" i="30"/>
  <c r="E107" i="30" s="1"/>
  <c r="C85" i="30"/>
  <c r="E85" i="30" s="1"/>
  <c r="C74" i="30"/>
  <c r="E74" i="30" s="1"/>
  <c r="C64" i="30"/>
  <c r="E64" i="30" s="1"/>
  <c r="C53" i="30"/>
  <c r="E53" i="30" s="1"/>
  <c r="C41" i="30"/>
  <c r="E41" i="30" s="1"/>
  <c r="C29" i="30"/>
  <c r="E29" i="30" s="1"/>
  <c r="N42" i="40" s="1"/>
  <c r="C18" i="30"/>
  <c r="E18" i="30" s="1"/>
  <c r="N31" i="40" s="1"/>
  <c r="C8" i="30"/>
  <c r="E8" i="30" s="1"/>
  <c r="C254" i="29"/>
  <c r="C231" i="29"/>
  <c r="C220" i="29"/>
  <c r="C208" i="29"/>
  <c r="C196" i="29"/>
  <c r="C184" i="29"/>
  <c r="C172" i="29"/>
  <c r="C160" i="29"/>
  <c r="C149" i="29"/>
  <c r="C139" i="29"/>
  <c r="C128" i="29"/>
  <c r="C116" i="29"/>
  <c r="C106" i="29"/>
  <c r="C95" i="29"/>
  <c r="C86" i="29"/>
  <c r="C74" i="29"/>
  <c r="C64" i="29"/>
  <c r="C56" i="29"/>
  <c r="C20" i="29"/>
  <c r="C10" i="29"/>
  <c r="C253" i="30"/>
  <c r="E253" i="30" s="1"/>
  <c r="C120" i="30"/>
  <c r="E120" i="30" s="1"/>
  <c r="C243" i="29"/>
  <c r="C107" i="29"/>
  <c r="C241" i="30"/>
  <c r="E241" i="30" s="1"/>
  <c r="C108" i="30"/>
  <c r="E108" i="30" s="1"/>
  <c r="C232" i="29"/>
  <c r="C140" i="29"/>
  <c r="C231" i="30"/>
  <c r="E231" i="30" s="1"/>
  <c r="C96" i="30"/>
  <c r="E96" i="30" s="1"/>
  <c r="C221" i="29"/>
  <c r="F221" i="29" s="1"/>
  <c r="E221" i="29" s="1"/>
  <c r="C87" i="29"/>
  <c r="C142" i="30"/>
  <c r="E142" i="30" s="1"/>
  <c r="C219" i="30"/>
  <c r="E219" i="30" s="1"/>
  <c r="C86" i="30"/>
  <c r="E86" i="30" s="1"/>
  <c r="C209" i="29"/>
  <c r="C75" i="29"/>
  <c r="C209" i="30"/>
  <c r="E209" i="30" s="1"/>
  <c r="C75" i="30"/>
  <c r="E75" i="30" s="1"/>
  <c r="C197" i="29"/>
  <c r="C65" i="29"/>
  <c r="C65" i="30"/>
  <c r="E65" i="30" s="1"/>
  <c r="C185" i="29"/>
  <c r="C57" i="29"/>
  <c r="C129" i="29"/>
  <c r="C186" i="30"/>
  <c r="E186" i="30" s="1"/>
  <c r="C173" i="29"/>
  <c r="C47" i="29"/>
  <c r="C174" i="30"/>
  <c r="E174" i="30" s="1"/>
  <c r="C42" i="30"/>
  <c r="E42" i="30" s="1"/>
  <c r="C161" i="29"/>
  <c r="C153" i="30"/>
  <c r="E153" i="30" s="1"/>
  <c r="C163" i="30"/>
  <c r="E163" i="30" s="1"/>
  <c r="C30" i="30"/>
  <c r="E30" i="30" s="1"/>
  <c r="C28" i="29"/>
  <c r="F28" i="29" s="1"/>
  <c r="L41" i="40" s="1"/>
  <c r="M41" i="40" s="1"/>
  <c r="C9" i="30"/>
  <c r="E9" i="30" s="1"/>
  <c r="C131" i="30"/>
  <c r="E131" i="30" s="1"/>
  <c r="C255" i="29"/>
  <c r="C117" i="29"/>
  <c r="C19" i="30"/>
  <c r="E19" i="30" s="1"/>
  <c r="N32" i="40" s="1"/>
  <c r="G7" i="20"/>
  <c r="H6" i="20"/>
  <c r="G6" i="20"/>
  <c r="N7" i="17"/>
  <c r="M7" i="17"/>
  <c r="L7" i="17"/>
  <c r="K7" i="17"/>
  <c r="J7" i="17"/>
  <c r="I7" i="17"/>
  <c r="H7" i="17"/>
  <c r="G7" i="17"/>
  <c r="F7" i="17"/>
  <c r="E7" i="17"/>
  <c r="C7" i="17"/>
  <c r="C8" i="17" s="1"/>
  <c r="D7" i="17"/>
  <c r="H17" i="20" l="1"/>
  <c r="G17" i="20"/>
  <c r="O41" i="40"/>
  <c r="P41" i="40" s="1"/>
  <c r="R41" i="40" s="1"/>
  <c r="I15" i="34"/>
  <c r="I38" i="20"/>
  <c r="C22" i="43"/>
  <c r="I33" i="20"/>
  <c r="I34" i="20" s="1"/>
  <c r="E6" i="41"/>
  <c r="E30" i="3"/>
  <c r="I42" i="20"/>
  <c r="N30" i="40"/>
  <c r="N10" i="40"/>
  <c r="N22" i="40"/>
  <c r="N23" i="40"/>
  <c r="N11" i="40"/>
  <c r="N27" i="40"/>
  <c r="N15" i="40"/>
  <c r="N8" i="40"/>
  <c r="N20" i="40"/>
  <c r="N18" i="40"/>
  <c r="L14" i="40"/>
  <c r="M14" i="40" s="1"/>
  <c r="L26" i="40"/>
  <c r="M26" i="40" s="1"/>
  <c r="N14" i="40"/>
  <c r="N26" i="40"/>
  <c r="N12" i="40"/>
  <c r="N24" i="40"/>
  <c r="N29" i="40"/>
  <c r="N17" i="40"/>
  <c r="N13" i="40"/>
  <c r="N25" i="40"/>
  <c r="N21" i="40"/>
  <c r="N9" i="40"/>
  <c r="N16" i="40"/>
  <c r="N28" i="40"/>
  <c r="L13" i="40"/>
  <c r="M13" i="40" s="1"/>
  <c r="L25" i="40"/>
  <c r="M25" i="40" s="1"/>
  <c r="N33" i="39"/>
  <c r="N23" i="39"/>
  <c r="N11" i="39"/>
  <c r="N27" i="39"/>
  <c r="N15" i="39"/>
  <c r="N7" i="39"/>
  <c r="N40" i="39"/>
  <c r="N35" i="39"/>
  <c r="L14" i="39"/>
  <c r="M14" i="39" s="1"/>
  <c r="L26" i="39"/>
  <c r="M26" i="39" s="1"/>
  <c r="N26" i="39"/>
  <c r="N14" i="39"/>
  <c r="N24" i="39"/>
  <c r="N12" i="39"/>
  <c r="N29" i="39"/>
  <c r="N17" i="39"/>
  <c r="N37" i="39"/>
  <c r="N9" i="39"/>
  <c r="N21" i="39"/>
  <c r="N34" i="39"/>
  <c r="N25" i="39"/>
  <c r="N13" i="39"/>
  <c r="N39" i="39"/>
  <c r="N30" i="39"/>
  <c r="N18" i="39"/>
  <c r="N32" i="39"/>
  <c r="N31" i="39"/>
  <c r="N36" i="39"/>
  <c r="N16" i="39"/>
  <c r="N28" i="39"/>
  <c r="N42" i="39"/>
  <c r="N38" i="39"/>
  <c r="L25" i="39"/>
  <c r="M25" i="39" s="1"/>
  <c r="L13" i="39"/>
  <c r="M13" i="39" s="1"/>
  <c r="N8" i="39"/>
  <c r="N20" i="39"/>
  <c r="N10" i="39"/>
  <c r="N22" i="39"/>
  <c r="N41" i="39"/>
  <c r="L41" i="39"/>
  <c r="M41" i="39" s="1"/>
  <c r="F151" i="29"/>
  <c r="E151" i="29" s="1"/>
  <c r="F68" i="29"/>
  <c r="E68" i="29" s="1"/>
  <c r="F212" i="29"/>
  <c r="E212" i="29" s="1"/>
  <c r="F153" i="29"/>
  <c r="E153" i="29" s="1"/>
  <c r="F50" i="29"/>
  <c r="E50" i="29" s="1"/>
  <c r="F178" i="29"/>
  <c r="E178" i="29" s="1"/>
  <c r="F91" i="29"/>
  <c r="E91" i="29" s="1"/>
  <c r="F226" i="29"/>
  <c r="E226" i="29" s="1"/>
  <c r="F145" i="29"/>
  <c r="E145" i="29" s="1"/>
  <c r="F35" i="29"/>
  <c r="E35" i="29" s="1"/>
  <c r="F169" i="29"/>
  <c r="E169" i="29" s="1"/>
  <c r="F72" i="29"/>
  <c r="E72" i="29" s="1"/>
  <c r="F218" i="29"/>
  <c r="E218" i="29" s="1"/>
  <c r="F115" i="29"/>
  <c r="E115" i="29" s="1"/>
  <c r="F253" i="29"/>
  <c r="E253" i="29" s="1"/>
  <c r="F129" i="29"/>
  <c r="E129" i="29" s="1"/>
  <c r="F149" i="29"/>
  <c r="E149" i="29" s="1"/>
  <c r="F76" i="29"/>
  <c r="E76" i="29" s="1"/>
  <c r="F233" i="29"/>
  <c r="E233" i="29" s="1"/>
  <c r="E12" i="29"/>
  <c r="F163" i="29"/>
  <c r="E163" i="29" s="1"/>
  <c r="F78" i="29"/>
  <c r="E78" i="29" s="1"/>
  <c r="F223" i="29"/>
  <c r="E223" i="29" s="1"/>
  <c r="F14" i="29"/>
  <c r="F165" i="29"/>
  <c r="E165" i="29" s="1"/>
  <c r="F61" i="29"/>
  <c r="E61" i="29" s="1"/>
  <c r="F190" i="29"/>
  <c r="E190" i="29" s="1"/>
  <c r="F101" i="29"/>
  <c r="E101" i="29" s="1"/>
  <c r="F238" i="29"/>
  <c r="E238" i="29" s="1"/>
  <c r="F156" i="29"/>
  <c r="E156" i="29" s="1"/>
  <c r="F53" i="29"/>
  <c r="E53" i="29" s="1"/>
  <c r="F181" i="29"/>
  <c r="E181" i="29" s="1"/>
  <c r="F84" i="29"/>
  <c r="E84" i="29" s="1"/>
  <c r="F229" i="29"/>
  <c r="E229" i="29" s="1"/>
  <c r="F127" i="29"/>
  <c r="E127" i="29" s="1"/>
  <c r="F57" i="29"/>
  <c r="E57" i="29" s="1"/>
  <c r="F96" i="29"/>
  <c r="E96" i="29" s="1"/>
  <c r="F244" i="29"/>
  <c r="E244" i="29" s="1"/>
  <c r="F30" i="29"/>
  <c r="E30" i="29" s="1"/>
  <c r="F175" i="29"/>
  <c r="E175" i="29" s="1"/>
  <c r="F98" i="29"/>
  <c r="E98" i="29" s="1"/>
  <c r="F235" i="29"/>
  <c r="E235" i="29" s="1"/>
  <c r="F22" i="29"/>
  <c r="L35" i="40" s="1"/>
  <c r="M35" i="40" s="1"/>
  <c r="O35" i="40" s="1"/>
  <c r="F177" i="29"/>
  <c r="E177" i="29" s="1"/>
  <c r="F69" i="29"/>
  <c r="E69" i="29" s="1"/>
  <c r="F202" i="29"/>
  <c r="E202" i="29" s="1"/>
  <c r="F112" i="29"/>
  <c r="E112" i="29" s="1"/>
  <c r="F249" i="29"/>
  <c r="E249" i="29" s="1"/>
  <c r="F7" i="29"/>
  <c r="F168" i="29"/>
  <c r="E168" i="29" s="1"/>
  <c r="F62" i="29"/>
  <c r="E62" i="29" s="1"/>
  <c r="F193" i="29"/>
  <c r="E193" i="29" s="1"/>
  <c r="F94" i="29"/>
  <c r="E94" i="29" s="1"/>
  <c r="F241" i="29"/>
  <c r="E241" i="29" s="1"/>
  <c r="F138" i="29"/>
  <c r="E138" i="29" s="1"/>
  <c r="F185" i="29"/>
  <c r="E185" i="29" s="1"/>
  <c r="F20" i="29"/>
  <c r="L33" i="40" s="1"/>
  <c r="M33" i="40" s="1"/>
  <c r="O33" i="40" s="1"/>
  <c r="F108" i="29"/>
  <c r="E108" i="29" s="1"/>
  <c r="F256" i="29"/>
  <c r="E256" i="29" s="1"/>
  <c r="F39" i="29"/>
  <c r="E39" i="29" s="1"/>
  <c r="F187" i="29"/>
  <c r="E187" i="29" s="1"/>
  <c r="F109" i="29"/>
  <c r="E109" i="29" s="1"/>
  <c r="F246" i="29"/>
  <c r="E246" i="29" s="1"/>
  <c r="F32" i="29"/>
  <c r="E32" i="29" s="1"/>
  <c r="F189" i="29"/>
  <c r="E189" i="29" s="1"/>
  <c r="F80" i="29"/>
  <c r="E80" i="29" s="1"/>
  <c r="F214" i="29"/>
  <c r="E214" i="29" s="1"/>
  <c r="F123" i="29"/>
  <c r="E123" i="29" s="1"/>
  <c r="F261" i="29"/>
  <c r="E261" i="29" s="1"/>
  <c r="F24" i="29"/>
  <c r="L37" i="40" s="1"/>
  <c r="M37" i="40" s="1"/>
  <c r="O37" i="40" s="1"/>
  <c r="F180" i="29"/>
  <c r="E180" i="29" s="1"/>
  <c r="F71" i="29"/>
  <c r="E71" i="29" s="1"/>
  <c r="F205" i="29"/>
  <c r="E205" i="29" s="1"/>
  <c r="F104" i="29"/>
  <c r="E104" i="29" s="1"/>
  <c r="F252" i="29"/>
  <c r="E252" i="29" s="1"/>
  <c r="F9" i="29"/>
  <c r="F148" i="29"/>
  <c r="E148" i="29" s="1"/>
  <c r="F255" i="29"/>
  <c r="E255" i="29" s="1"/>
  <c r="F172" i="29"/>
  <c r="E172" i="29" s="1"/>
  <c r="F56" i="29"/>
  <c r="E56" i="29" s="1"/>
  <c r="F184" i="29"/>
  <c r="E184" i="29" s="1"/>
  <c r="F118" i="29"/>
  <c r="E118" i="29" s="1"/>
  <c r="F48" i="29"/>
  <c r="E48" i="29" s="1"/>
  <c r="F199" i="29"/>
  <c r="E199" i="29" s="1"/>
  <c r="F120" i="29"/>
  <c r="E120" i="29" s="1"/>
  <c r="F258" i="29"/>
  <c r="E258" i="29" s="1"/>
  <c r="F41" i="29"/>
  <c r="E41" i="29" s="1"/>
  <c r="F201" i="29"/>
  <c r="E201" i="29" s="1"/>
  <c r="F90" i="29"/>
  <c r="E90" i="29" s="1"/>
  <c r="F225" i="29"/>
  <c r="E225" i="29" s="1"/>
  <c r="F134" i="29"/>
  <c r="E134" i="29" s="1"/>
  <c r="F44" i="29"/>
  <c r="E44" i="29" s="1"/>
  <c r="F192" i="29"/>
  <c r="E192" i="29" s="1"/>
  <c r="F83" i="29"/>
  <c r="E83" i="29" s="1"/>
  <c r="F217" i="29"/>
  <c r="E217" i="29" s="1"/>
  <c r="F126" i="29"/>
  <c r="E126" i="29" s="1"/>
  <c r="F19" i="29"/>
  <c r="L32" i="40" s="1"/>
  <c r="M32" i="40" s="1"/>
  <c r="O32" i="40" s="1"/>
  <c r="F159" i="29"/>
  <c r="E159" i="29" s="1"/>
  <c r="F10" i="29"/>
  <c r="F65" i="29"/>
  <c r="E65" i="29" s="1"/>
  <c r="F64" i="29"/>
  <c r="E64" i="29" s="1"/>
  <c r="F196" i="29"/>
  <c r="E196" i="29" s="1"/>
  <c r="F130" i="29"/>
  <c r="E130" i="29" s="1"/>
  <c r="F58" i="29"/>
  <c r="E58" i="29" s="1"/>
  <c r="F211" i="29"/>
  <c r="E211" i="29" s="1"/>
  <c r="F132" i="29"/>
  <c r="E132" i="29" s="1"/>
  <c r="F60" i="29"/>
  <c r="E60" i="29" s="1"/>
  <c r="F213" i="29"/>
  <c r="E213" i="29" s="1"/>
  <c r="F100" i="29"/>
  <c r="E100" i="29" s="1"/>
  <c r="F237" i="29"/>
  <c r="E237" i="29" s="1"/>
  <c r="F6" i="29"/>
  <c r="L7" i="40" s="1"/>
  <c r="M7" i="40" s="1"/>
  <c r="O7" i="40" s="1"/>
  <c r="F144" i="29"/>
  <c r="E144" i="29" s="1"/>
  <c r="F52" i="29"/>
  <c r="E52" i="29" s="1"/>
  <c r="F204" i="29"/>
  <c r="E204" i="29" s="1"/>
  <c r="F93" i="29"/>
  <c r="E93" i="29" s="1"/>
  <c r="F228" i="29"/>
  <c r="E228" i="29" s="1"/>
  <c r="F137" i="29"/>
  <c r="E137" i="29" s="1"/>
  <c r="F27" i="29"/>
  <c r="L40" i="40" s="1"/>
  <c r="M40" i="40" s="1"/>
  <c r="O40" i="40" s="1"/>
  <c r="F171" i="29"/>
  <c r="E171" i="29" s="1"/>
  <c r="F160" i="29"/>
  <c r="E160" i="29" s="1"/>
  <c r="F140" i="29"/>
  <c r="E140" i="29" s="1"/>
  <c r="F74" i="29"/>
  <c r="E74" i="29" s="1"/>
  <c r="F208" i="29"/>
  <c r="E208" i="29" s="1"/>
  <c r="F150" i="29"/>
  <c r="E150" i="29" s="1"/>
  <c r="F67" i="29"/>
  <c r="E67" i="29" s="1"/>
  <c r="F234" i="29"/>
  <c r="E234" i="29" s="1"/>
  <c r="F141" i="29"/>
  <c r="E141" i="29" s="1"/>
  <c r="F79" i="29"/>
  <c r="E79" i="29" s="1"/>
  <c r="F224" i="29"/>
  <c r="E224" i="29" s="1"/>
  <c r="F111" i="29"/>
  <c r="E111" i="29" s="1"/>
  <c r="F248" i="29"/>
  <c r="E248" i="29" s="1"/>
  <c r="F16" i="29"/>
  <c r="F155" i="29"/>
  <c r="E155" i="29" s="1"/>
  <c r="F82" i="29"/>
  <c r="E82" i="29" s="1"/>
  <c r="F216" i="29"/>
  <c r="E216" i="29" s="1"/>
  <c r="F103" i="29"/>
  <c r="E103" i="29" s="1"/>
  <c r="F240" i="29"/>
  <c r="E240" i="29" s="1"/>
  <c r="F18" i="29"/>
  <c r="L31" i="40" s="1"/>
  <c r="M31" i="40" s="1"/>
  <c r="O31" i="40" s="1"/>
  <c r="P31" i="40" s="1"/>
  <c r="R31" i="40" s="1"/>
  <c r="S31" i="40" s="1"/>
  <c r="F147" i="29"/>
  <c r="E147" i="29" s="1"/>
  <c r="F37" i="29"/>
  <c r="E37" i="29" s="1"/>
  <c r="F183" i="29"/>
  <c r="E183" i="29" s="1"/>
  <c r="F139" i="29"/>
  <c r="E139" i="29" s="1"/>
  <c r="F222" i="29"/>
  <c r="E222" i="29" s="1"/>
  <c r="F197" i="29"/>
  <c r="E197" i="29" s="1"/>
  <c r="F161" i="29"/>
  <c r="E161" i="29" s="1"/>
  <c r="F232" i="29"/>
  <c r="E232" i="29" s="1"/>
  <c r="F86" i="29"/>
  <c r="E86" i="29" s="1"/>
  <c r="F220" i="29"/>
  <c r="E220" i="29" s="1"/>
  <c r="F162" i="29"/>
  <c r="E162" i="29" s="1"/>
  <c r="F77" i="29"/>
  <c r="E77" i="29" s="1"/>
  <c r="F245" i="29"/>
  <c r="E245" i="29" s="1"/>
  <c r="F152" i="29"/>
  <c r="E152" i="29" s="1"/>
  <c r="F89" i="29"/>
  <c r="E89" i="29" s="1"/>
  <c r="F236" i="29"/>
  <c r="E236" i="29" s="1"/>
  <c r="F122" i="29"/>
  <c r="E122" i="29" s="1"/>
  <c r="F260" i="29"/>
  <c r="E260" i="29" s="1"/>
  <c r="F34" i="29"/>
  <c r="E34" i="29" s="1"/>
  <c r="F167" i="29"/>
  <c r="E167" i="29" s="1"/>
  <c r="F92" i="29"/>
  <c r="E92" i="29" s="1"/>
  <c r="F227" i="29"/>
  <c r="E227" i="29" s="1"/>
  <c r="F114" i="29"/>
  <c r="E114" i="29" s="1"/>
  <c r="F251" i="29"/>
  <c r="E251" i="29" s="1"/>
  <c r="F26" i="29"/>
  <c r="L39" i="40" s="1"/>
  <c r="M39" i="40" s="1"/>
  <c r="O39" i="40" s="1"/>
  <c r="F158" i="29"/>
  <c r="E158" i="29" s="1"/>
  <c r="F46" i="29"/>
  <c r="E46" i="29" s="1"/>
  <c r="F195" i="29"/>
  <c r="E195" i="29" s="1"/>
  <c r="F95" i="29"/>
  <c r="E95" i="29" s="1"/>
  <c r="F231" i="29"/>
  <c r="E231" i="29" s="1"/>
  <c r="F11" i="29"/>
  <c r="F174" i="29"/>
  <c r="E174" i="29" s="1"/>
  <c r="F88" i="29"/>
  <c r="E88" i="29" s="1"/>
  <c r="F257" i="29"/>
  <c r="E257" i="29" s="1"/>
  <c r="F31" i="29"/>
  <c r="E31" i="29" s="1"/>
  <c r="F164" i="29"/>
  <c r="E164" i="29" s="1"/>
  <c r="F99" i="29"/>
  <c r="E99" i="29" s="1"/>
  <c r="F247" i="29"/>
  <c r="E247" i="29" s="1"/>
  <c r="F15" i="29"/>
  <c r="F133" i="29"/>
  <c r="E133" i="29" s="1"/>
  <c r="F43" i="29"/>
  <c r="E43" i="29" s="1"/>
  <c r="F179" i="29"/>
  <c r="E179" i="29" s="1"/>
  <c r="F102" i="29"/>
  <c r="E102" i="29" s="1"/>
  <c r="F239" i="29"/>
  <c r="E239" i="29" s="1"/>
  <c r="F125" i="29"/>
  <c r="E125" i="29" s="1"/>
  <c r="F263" i="29"/>
  <c r="E263" i="29" s="1"/>
  <c r="F36" i="29"/>
  <c r="E36" i="29" s="1"/>
  <c r="F170" i="29"/>
  <c r="E170" i="29" s="1"/>
  <c r="F55" i="29"/>
  <c r="E55" i="29" s="1"/>
  <c r="F207" i="29"/>
  <c r="E207" i="29" s="1"/>
  <c r="F75" i="29"/>
  <c r="E75" i="29" s="1"/>
  <c r="F186" i="29"/>
  <c r="E186" i="29" s="1"/>
  <c r="F97" i="29"/>
  <c r="E97" i="29" s="1"/>
  <c r="F40" i="29"/>
  <c r="E40" i="29" s="1"/>
  <c r="F176" i="29"/>
  <c r="E176" i="29" s="1"/>
  <c r="F110" i="29"/>
  <c r="E110" i="29" s="1"/>
  <c r="F259" i="29"/>
  <c r="E259" i="29" s="1"/>
  <c r="F23" i="29"/>
  <c r="L36" i="40" s="1"/>
  <c r="M36" i="40" s="1"/>
  <c r="O36" i="40" s="1"/>
  <c r="F143" i="29"/>
  <c r="E143" i="29" s="1"/>
  <c r="F51" i="29"/>
  <c r="E51" i="29" s="1"/>
  <c r="F191" i="29"/>
  <c r="E191" i="29" s="1"/>
  <c r="F113" i="29"/>
  <c r="E113" i="29" s="1"/>
  <c r="F250" i="29"/>
  <c r="E250" i="29" s="1"/>
  <c r="F8" i="29"/>
  <c r="F136" i="29"/>
  <c r="E136" i="29" s="1"/>
  <c r="F45" i="29"/>
  <c r="E45" i="29" s="1"/>
  <c r="F182" i="29"/>
  <c r="E182" i="29" s="1"/>
  <c r="F73" i="29"/>
  <c r="E73" i="29" s="1"/>
  <c r="F219" i="29"/>
  <c r="E219" i="29" s="1"/>
  <c r="F106" i="29"/>
  <c r="E106" i="29" s="1"/>
  <c r="F254" i="29"/>
  <c r="E254" i="29" s="1"/>
  <c r="F21" i="29"/>
  <c r="L34" i="40" s="1"/>
  <c r="M34" i="40" s="1"/>
  <c r="O34" i="40" s="1"/>
  <c r="F47" i="29"/>
  <c r="E47" i="29" s="1"/>
  <c r="F209" i="29"/>
  <c r="E209" i="29" s="1"/>
  <c r="F107" i="29"/>
  <c r="E107" i="29" s="1"/>
  <c r="F116" i="29"/>
  <c r="E116" i="29" s="1"/>
  <c r="F29" i="29"/>
  <c r="L42" i="40" s="1"/>
  <c r="M42" i="40" s="1"/>
  <c r="O42" i="40" s="1"/>
  <c r="F198" i="29"/>
  <c r="E198" i="29" s="1"/>
  <c r="F119" i="29"/>
  <c r="E119" i="29" s="1"/>
  <c r="F49" i="29"/>
  <c r="E49" i="29" s="1"/>
  <c r="F188" i="29"/>
  <c r="E188" i="29" s="1"/>
  <c r="F121" i="29"/>
  <c r="E121" i="29" s="1"/>
  <c r="F33" i="29"/>
  <c r="E33" i="29" s="1"/>
  <c r="F154" i="29"/>
  <c r="E154" i="29" s="1"/>
  <c r="F70" i="29"/>
  <c r="E70" i="29" s="1"/>
  <c r="F203" i="29"/>
  <c r="E203" i="29" s="1"/>
  <c r="F124" i="29"/>
  <c r="E124" i="29" s="1"/>
  <c r="F262" i="29"/>
  <c r="E262" i="29" s="1"/>
  <c r="F17" i="29"/>
  <c r="L30" i="40" s="1"/>
  <c r="M30" i="40" s="1"/>
  <c r="F146" i="29"/>
  <c r="E146" i="29" s="1"/>
  <c r="F54" i="29"/>
  <c r="E54" i="29" s="1"/>
  <c r="F194" i="29"/>
  <c r="E194" i="29" s="1"/>
  <c r="F85" i="29"/>
  <c r="E85" i="29" s="1"/>
  <c r="F230" i="29"/>
  <c r="E230" i="29" s="1"/>
  <c r="F66" i="29"/>
  <c r="E66" i="29" s="1"/>
  <c r="F87" i="29"/>
  <c r="E87" i="29" s="1"/>
  <c r="F117" i="29"/>
  <c r="E117" i="29" s="1"/>
  <c r="F173" i="29"/>
  <c r="E173" i="29" s="1"/>
  <c r="F243" i="29"/>
  <c r="E243" i="29" s="1"/>
  <c r="F128" i="29"/>
  <c r="E128" i="29" s="1"/>
  <c r="F38" i="29"/>
  <c r="E38" i="29" s="1"/>
  <c r="F210" i="29"/>
  <c r="E210" i="29" s="1"/>
  <c r="F131" i="29"/>
  <c r="E131" i="29" s="1"/>
  <c r="F59" i="29"/>
  <c r="E59" i="29" s="1"/>
  <c r="F200" i="29"/>
  <c r="E200" i="29" s="1"/>
  <c r="F142" i="29"/>
  <c r="E142" i="29" s="1"/>
  <c r="F42" i="29"/>
  <c r="E42" i="29" s="1"/>
  <c r="F166" i="29"/>
  <c r="E166" i="29" s="1"/>
  <c r="F81" i="29"/>
  <c r="E81" i="29" s="1"/>
  <c r="F215" i="29"/>
  <c r="E215" i="29" s="1"/>
  <c r="F135" i="29"/>
  <c r="E135" i="29" s="1"/>
  <c r="F25" i="29"/>
  <c r="L38" i="40" s="1"/>
  <c r="M38" i="40" s="1"/>
  <c r="O38" i="40" s="1"/>
  <c r="F157" i="29"/>
  <c r="E157" i="29" s="1"/>
  <c r="F63" i="29"/>
  <c r="E63" i="29" s="1"/>
  <c r="F206" i="29"/>
  <c r="E206" i="29" s="1"/>
  <c r="F105" i="29"/>
  <c r="E105" i="29" s="1"/>
  <c r="F242" i="29"/>
  <c r="E242" i="29" s="1"/>
  <c r="E28" i="29"/>
  <c r="P6" i="9"/>
  <c r="P7" i="9" s="1"/>
  <c r="E13" i="29"/>
  <c r="O3" i="15"/>
  <c r="O13" i="39" l="1"/>
  <c r="O25" i="39"/>
  <c r="O30" i="40"/>
  <c r="P30" i="40" s="1"/>
  <c r="R30" i="40" s="1"/>
  <c r="S30" i="40" s="1"/>
  <c r="I44" i="20"/>
  <c r="P42" i="40"/>
  <c r="R42" i="40" s="1"/>
  <c r="P32" i="40"/>
  <c r="R32" i="40" s="1"/>
  <c r="P40" i="40"/>
  <c r="R40" i="40" s="1"/>
  <c r="P37" i="40"/>
  <c r="R37" i="40" s="1"/>
  <c r="P38" i="40"/>
  <c r="R38" i="40" s="1"/>
  <c r="P33" i="40"/>
  <c r="P39" i="40"/>
  <c r="R39" i="40" s="1"/>
  <c r="S39" i="40" s="1"/>
  <c r="P35" i="40"/>
  <c r="R35" i="40" s="1"/>
  <c r="S35" i="40" s="1"/>
  <c r="P34" i="40"/>
  <c r="R34" i="40" s="1"/>
  <c r="S41" i="40"/>
  <c r="P36" i="40"/>
  <c r="R36" i="40" s="1"/>
  <c r="S36" i="40" s="1"/>
  <c r="F10" i="20"/>
  <c r="L10" i="40"/>
  <c r="M10" i="40" s="1"/>
  <c r="O10" i="40" s="1"/>
  <c r="L22" i="40"/>
  <c r="M22" i="40" s="1"/>
  <c r="O22" i="40" s="1"/>
  <c r="P7" i="40"/>
  <c r="L11" i="40"/>
  <c r="M11" i="40" s="1"/>
  <c r="O11" i="40" s="1"/>
  <c r="L23" i="40"/>
  <c r="M23" i="40" s="1"/>
  <c r="O23" i="40" s="1"/>
  <c r="L24" i="40"/>
  <c r="M24" i="40" s="1"/>
  <c r="O24" i="40" s="1"/>
  <c r="L12" i="40"/>
  <c r="M12" i="40" s="1"/>
  <c r="O12" i="40" s="1"/>
  <c r="L20" i="40"/>
  <c r="M20" i="40" s="1"/>
  <c r="O20" i="40" s="1"/>
  <c r="L8" i="40"/>
  <c r="M8" i="40" s="1"/>
  <c r="O8" i="40" s="1"/>
  <c r="L17" i="40"/>
  <c r="M17" i="40" s="1"/>
  <c r="O17" i="40" s="1"/>
  <c r="L29" i="40"/>
  <c r="M29" i="40" s="1"/>
  <c r="O29" i="40" s="1"/>
  <c r="L15" i="40"/>
  <c r="M15" i="40" s="1"/>
  <c r="O15" i="40" s="1"/>
  <c r="L27" i="40"/>
  <c r="M27" i="40" s="1"/>
  <c r="O27" i="40" s="1"/>
  <c r="O25" i="40"/>
  <c r="L18" i="40"/>
  <c r="M18" i="40" s="1"/>
  <c r="O18" i="40" s="1"/>
  <c r="O13" i="40"/>
  <c r="L9" i="40"/>
  <c r="M9" i="40" s="1"/>
  <c r="O9" i="40" s="1"/>
  <c r="L21" i="40"/>
  <c r="M21" i="40" s="1"/>
  <c r="O21" i="40" s="1"/>
  <c r="O26" i="40"/>
  <c r="L28" i="40"/>
  <c r="M28" i="40" s="1"/>
  <c r="O28" i="40" s="1"/>
  <c r="L16" i="40"/>
  <c r="M16" i="40" s="1"/>
  <c r="O16" i="40" s="1"/>
  <c r="O14" i="40"/>
  <c r="O41" i="39"/>
  <c r="P41" i="39" s="1"/>
  <c r="O26" i="39"/>
  <c r="P26" i="39" s="1"/>
  <c r="R26" i="39" s="1"/>
  <c r="S26" i="39" s="1"/>
  <c r="P13" i="39"/>
  <c r="R13" i="39" s="1"/>
  <c r="E26" i="29"/>
  <c r="L39" i="39"/>
  <c r="M39" i="39" s="1"/>
  <c r="O39" i="39" s="1"/>
  <c r="E22" i="29"/>
  <c r="L35" i="39"/>
  <c r="M35" i="39" s="1"/>
  <c r="O35" i="39" s="1"/>
  <c r="E21" i="29"/>
  <c r="L34" i="39"/>
  <c r="M34" i="39" s="1"/>
  <c r="O34" i="39" s="1"/>
  <c r="E18" i="29"/>
  <c r="L31" i="39"/>
  <c r="M31" i="39" s="1"/>
  <c r="O31" i="39" s="1"/>
  <c r="P25" i="39"/>
  <c r="R25" i="39" s="1"/>
  <c r="E15" i="29"/>
  <c r="L16" i="39"/>
  <c r="M16" i="39" s="1"/>
  <c r="O16" i="39" s="1"/>
  <c r="L28" i="39"/>
  <c r="M28" i="39" s="1"/>
  <c r="O28" i="39" s="1"/>
  <c r="E9" i="29"/>
  <c r="L22" i="39"/>
  <c r="M22" i="39" s="1"/>
  <c r="O22" i="39" s="1"/>
  <c r="L10" i="39"/>
  <c r="M10" i="39" s="1"/>
  <c r="O10" i="39" s="1"/>
  <c r="O14" i="39"/>
  <c r="E6" i="29"/>
  <c r="L7" i="39"/>
  <c r="M7" i="39" s="1"/>
  <c r="O7" i="39" s="1"/>
  <c r="E10" i="29"/>
  <c r="L23" i="39"/>
  <c r="M23" i="39" s="1"/>
  <c r="O23" i="39" s="1"/>
  <c r="L11" i="39"/>
  <c r="M11" i="39" s="1"/>
  <c r="O11" i="39" s="1"/>
  <c r="E11" i="29"/>
  <c r="L24" i="39"/>
  <c r="M24" i="39" s="1"/>
  <c r="O24" i="39" s="1"/>
  <c r="L12" i="39"/>
  <c r="M12" i="39" s="1"/>
  <c r="O12" i="39" s="1"/>
  <c r="E19" i="29"/>
  <c r="L32" i="39"/>
  <c r="M32" i="39" s="1"/>
  <c r="O32" i="39" s="1"/>
  <c r="E7" i="29"/>
  <c r="L8" i="39"/>
  <c r="M8" i="39" s="1"/>
  <c r="O8" i="39" s="1"/>
  <c r="L20" i="39"/>
  <c r="M20" i="39" s="1"/>
  <c r="O20" i="39" s="1"/>
  <c r="E16" i="29"/>
  <c r="L17" i="39"/>
  <c r="M17" i="39" s="1"/>
  <c r="O17" i="39" s="1"/>
  <c r="L29" i="39"/>
  <c r="M29" i="39" s="1"/>
  <c r="O29" i="39" s="1"/>
  <c r="E14" i="29"/>
  <c r="L15" i="39"/>
  <c r="M15" i="39" s="1"/>
  <c r="O15" i="39" s="1"/>
  <c r="L27" i="39"/>
  <c r="M27" i="39" s="1"/>
  <c r="O27" i="39" s="1"/>
  <c r="E25" i="29"/>
  <c r="L38" i="39"/>
  <c r="M38" i="39" s="1"/>
  <c r="O38" i="39" s="1"/>
  <c r="E20" i="29"/>
  <c r="L33" i="39"/>
  <c r="M33" i="39" s="1"/>
  <c r="O33" i="39" s="1"/>
  <c r="E23" i="29"/>
  <c r="L36" i="39"/>
  <c r="M36" i="39" s="1"/>
  <c r="O36" i="39" s="1"/>
  <c r="E17" i="29"/>
  <c r="L18" i="39"/>
  <c r="M18" i="39" s="1"/>
  <c r="O18" i="39" s="1"/>
  <c r="L30" i="39"/>
  <c r="M30" i="39" s="1"/>
  <c r="O30" i="39" s="1"/>
  <c r="E29" i="29"/>
  <c r="L42" i="39"/>
  <c r="M42" i="39" s="1"/>
  <c r="O42" i="39" s="1"/>
  <c r="E8" i="29"/>
  <c r="L9" i="39"/>
  <c r="M9" i="39" s="1"/>
  <c r="O9" i="39" s="1"/>
  <c r="L21" i="39"/>
  <c r="M21" i="39" s="1"/>
  <c r="O21" i="39" s="1"/>
  <c r="E27" i="29"/>
  <c r="L40" i="39"/>
  <c r="M40" i="39" s="1"/>
  <c r="O40" i="39" s="1"/>
  <c r="E24" i="29"/>
  <c r="L37" i="39"/>
  <c r="M37" i="39" s="1"/>
  <c r="O37" i="39" s="1"/>
  <c r="F6" i="9"/>
  <c r="M3" i="14"/>
  <c r="D3" i="14"/>
  <c r="C6" i="9"/>
  <c r="G10" i="20" l="1"/>
  <c r="S34" i="40"/>
  <c r="R33" i="40"/>
  <c r="S33" i="40" s="1"/>
  <c r="S38" i="40"/>
  <c r="S37" i="40"/>
  <c r="S40" i="40"/>
  <c r="S32" i="40"/>
  <c r="S42" i="40"/>
  <c r="H10" i="20"/>
  <c r="P21" i="40"/>
  <c r="P25" i="40"/>
  <c r="P9" i="40"/>
  <c r="P27" i="40"/>
  <c r="R27" i="40" s="1"/>
  <c r="P12" i="40"/>
  <c r="P15" i="40"/>
  <c r="R15" i="40" s="1"/>
  <c r="S15" i="40" s="1"/>
  <c r="P24" i="40"/>
  <c r="P16" i="40"/>
  <c r="P29" i="40"/>
  <c r="P23" i="40"/>
  <c r="P28" i="40"/>
  <c r="P17" i="40"/>
  <c r="P11" i="40"/>
  <c r="P26" i="40"/>
  <c r="P13" i="40"/>
  <c r="R7" i="40"/>
  <c r="S7" i="40" s="1"/>
  <c r="P8" i="40"/>
  <c r="P22" i="40"/>
  <c r="P20" i="40"/>
  <c r="P10" i="40"/>
  <c r="R10" i="40" s="1"/>
  <c r="S10" i="40" s="1"/>
  <c r="P14" i="40"/>
  <c r="R14" i="40" s="1"/>
  <c r="S14" i="40" s="1"/>
  <c r="P18" i="40"/>
  <c r="R18" i="40" s="1"/>
  <c r="S18" i="40" s="1"/>
  <c r="P7" i="39"/>
  <c r="R7" i="39" s="1"/>
  <c r="S7" i="39" s="1"/>
  <c r="P35" i="39"/>
  <c r="R35" i="39" s="1"/>
  <c r="P42" i="39"/>
  <c r="P17" i="39"/>
  <c r="R17" i="39" s="1"/>
  <c r="P38" i="39"/>
  <c r="R38" i="39" s="1"/>
  <c r="P24" i="39"/>
  <c r="P14" i="39"/>
  <c r="R14" i="39" s="1"/>
  <c r="P39" i="39"/>
  <c r="R39" i="39" s="1"/>
  <c r="S39" i="39" s="1"/>
  <c r="P33" i="39"/>
  <c r="R33" i="39" s="1"/>
  <c r="S33" i="39" s="1"/>
  <c r="P10" i="39"/>
  <c r="R10" i="39" s="1"/>
  <c r="S10" i="39" s="1"/>
  <c r="P34" i="39"/>
  <c r="R34" i="39" s="1"/>
  <c r="S34" i="39" s="1"/>
  <c r="P30" i="39"/>
  <c r="P20" i="39"/>
  <c r="R20" i="39" s="1"/>
  <c r="S20" i="39" s="1"/>
  <c r="P29" i="39"/>
  <c r="P8" i="39"/>
  <c r="R8" i="39" s="1"/>
  <c r="P18" i="39"/>
  <c r="R18" i="39" s="1"/>
  <c r="P15" i="39"/>
  <c r="R15" i="39" s="1"/>
  <c r="S15" i="39" s="1"/>
  <c r="P11" i="39"/>
  <c r="R11" i="39" s="1"/>
  <c r="S11" i="39" s="1"/>
  <c r="P22" i="39"/>
  <c r="S13" i="39"/>
  <c r="P37" i="39"/>
  <c r="P27" i="39"/>
  <c r="R27" i="39" s="1"/>
  <c r="S27" i="39" s="1"/>
  <c r="P23" i="39"/>
  <c r="R23" i="39" s="1"/>
  <c r="P12" i="39"/>
  <c r="R12" i="39" s="1"/>
  <c r="P40" i="39"/>
  <c r="R40" i="39" s="1"/>
  <c r="S40" i="39" s="1"/>
  <c r="P32" i="39"/>
  <c r="R32" i="39" s="1"/>
  <c r="S32" i="39" s="1"/>
  <c r="P31" i="39"/>
  <c r="R31" i="39" s="1"/>
  <c r="S31" i="39" s="1"/>
  <c r="P21" i="39"/>
  <c r="R21" i="39" s="1"/>
  <c r="S21" i="39" s="1"/>
  <c r="P28" i="39"/>
  <c r="R28" i="39" s="1"/>
  <c r="S25" i="39"/>
  <c r="R41" i="39"/>
  <c r="S41" i="39" s="1"/>
  <c r="P36" i="39"/>
  <c r="R36" i="39" s="1"/>
  <c r="P9" i="39"/>
  <c r="R9" i="39" s="1"/>
  <c r="S9" i="39" s="1"/>
  <c r="P16" i="39"/>
  <c r="R16" i="39" s="1"/>
  <c r="S16" i="39" s="1"/>
  <c r="H5" i="20"/>
  <c r="G4" i="20"/>
  <c r="H16" i="20" l="1"/>
  <c r="H18" i="20" s="1"/>
  <c r="H26" i="20" s="1"/>
  <c r="S27" i="40"/>
  <c r="R8" i="40"/>
  <c r="S8" i="40" s="1"/>
  <c r="R11" i="40"/>
  <c r="S11" i="40" s="1"/>
  <c r="R25" i="40"/>
  <c r="S25" i="40" s="1"/>
  <c r="R29" i="40"/>
  <c r="S29" i="40" s="1"/>
  <c r="R12" i="40"/>
  <c r="S12" i="40" s="1"/>
  <c r="R17" i="40"/>
  <c r="S17" i="40" s="1"/>
  <c r="R21" i="40"/>
  <c r="S21" i="40" s="1"/>
  <c r="R20" i="40"/>
  <c r="S20" i="40" s="1"/>
  <c r="R16" i="40"/>
  <c r="S16" i="40" s="1"/>
  <c r="R13" i="40"/>
  <c r="S13" i="40" s="1"/>
  <c r="R28" i="40"/>
  <c r="S28" i="40" s="1"/>
  <c r="R24" i="40"/>
  <c r="S24" i="40" s="1"/>
  <c r="R9" i="40"/>
  <c r="S9" i="40" s="1"/>
  <c r="R22" i="40"/>
  <c r="S22" i="40" s="1"/>
  <c r="R26" i="40"/>
  <c r="S26" i="40" s="1"/>
  <c r="R23" i="40"/>
  <c r="S23" i="40" s="1"/>
  <c r="R37" i="39"/>
  <c r="S37" i="39" s="1"/>
  <c r="S18" i="39"/>
  <c r="S8" i="39"/>
  <c r="R24" i="39"/>
  <c r="S24" i="39" s="1"/>
  <c r="S17" i="39"/>
  <c r="S36" i="39"/>
  <c r="S28" i="39"/>
  <c r="S23" i="39"/>
  <c r="S38" i="39"/>
  <c r="R42" i="39"/>
  <c r="S42" i="39" s="1"/>
  <c r="R29" i="39"/>
  <c r="S29" i="39" s="1"/>
  <c r="R30" i="39"/>
  <c r="S30" i="39" s="1"/>
  <c r="S35" i="39"/>
  <c r="R22" i="39"/>
  <c r="S22" i="39" s="1"/>
  <c r="S12" i="39"/>
  <c r="S14" i="39"/>
  <c r="G5" i="20"/>
  <c r="G9" i="20" l="1"/>
  <c r="G16" i="20" l="1"/>
  <c r="G18" i="20" s="1"/>
  <c r="H24" i="20"/>
  <c r="H22" i="20"/>
  <c r="P12" i="17"/>
  <c r="N8" i="17"/>
  <c r="K8" i="17"/>
  <c r="J8" i="17"/>
  <c r="I8" i="17"/>
  <c r="H8" i="17"/>
  <c r="E8" i="17"/>
  <c r="D8" i="17"/>
  <c r="O5" i="15"/>
  <c r="O8" i="15"/>
  <c r="O7" i="15"/>
  <c r="O6" i="15"/>
  <c r="H28" i="20" l="1"/>
  <c r="H32" i="20" s="1"/>
  <c r="D30" i="3" s="1"/>
  <c r="D136" i="10"/>
  <c r="G22" i="20"/>
  <c r="G26" i="20"/>
  <c r="D26" i="20" s="1"/>
  <c r="G24" i="20"/>
  <c r="N13" i="17"/>
  <c r="C13" i="17"/>
  <c r="C9" i="17"/>
  <c r="P7" i="17"/>
  <c r="C39" i="3" s="1"/>
  <c r="C43" i="3" s="1"/>
  <c r="D13" i="17"/>
  <c r="E13" i="17"/>
  <c r="F13" i="17"/>
  <c r="G13" i="17"/>
  <c r="H13" i="17"/>
  <c r="I13" i="17"/>
  <c r="J13" i="17"/>
  <c r="K13" i="17"/>
  <c r="L13" i="17"/>
  <c r="M13" i="17"/>
  <c r="D9" i="17"/>
  <c r="E9" i="17"/>
  <c r="L8" i="17"/>
  <c r="L9" i="17"/>
  <c r="M8" i="17"/>
  <c r="M9" i="17"/>
  <c r="F8" i="17"/>
  <c r="F9" i="17"/>
  <c r="G8" i="17"/>
  <c r="G9" i="17"/>
  <c r="H9" i="17"/>
  <c r="I9" i="17"/>
  <c r="J9" i="17"/>
  <c r="K9" i="17"/>
  <c r="N9" i="17"/>
  <c r="B136" i="10" l="1"/>
  <c r="D6" i="41"/>
  <c r="H37" i="20"/>
  <c r="H40" i="20" s="1"/>
  <c r="G28" i="20"/>
  <c r="G32" i="20" s="1"/>
  <c r="C10" i="41"/>
  <c r="G15" i="34"/>
  <c r="B13" i="16"/>
  <c r="H33" i="20"/>
  <c r="H34" i="20" s="1"/>
  <c r="H44" i="20" s="1"/>
  <c r="E18" i="17"/>
  <c r="D43" i="3"/>
  <c r="C18" i="17"/>
  <c r="D18" i="17"/>
  <c r="I18" i="17"/>
  <c r="K18" i="17"/>
  <c r="L18" i="17"/>
  <c r="N18" i="17"/>
  <c r="M18" i="17"/>
  <c r="J18" i="17"/>
  <c r="F18" i="17"/>
  <c r="H18" i="17"/>
  <c r="G18" i="17"/>
  <c r="P13" i="17"/>
  <c r="C14" i="17"/>
  <c r="P8" i="17"/>
  <c r="M6" i="9"/>
  <c r="M5" i="14"/>
  <c r="D5" i="14"/>
  <c r="D20" i="17"/>
  <c r="D42" i="17" s="1"/>
  <c r="P9" i="17"/>
  <c r="C20" i="17"/>
  <c r="N20" i="17"/>
  <c r="K20" i="17"/>
  <c r="J20" i="17"/>
  <c r="I20" i="17"/>
  <c r="H20" i="17"/>
  <c r="F20" i="17"/>
  <c r="E20" i="17"/>
  <c r="G20" i="17"/>
  <c r="L20" i="17"/>
  <c r="M20" i="17"/>
  <c r="E14" i="17"/>
  <c r="G33" i="20" l="1"/>
  <c r="E15" i="34"/>
  <c r="H42" i="20"/>
  <c r="H38" i="20"/>
  <c r="H39" i="20"/>
  <c r="C40" i="17"/>
  <c r="K40" i="17"/>
  <c r="I40" i="17"/>
  <c r="H40" i="17"/>
  <c r="G40" i="17"/>
  <c r="F40" i="17"/>
  <c r="M40" i="17"/>
  <c r="E40" i="17"/>
  <c r="L40" i="17"/>
  <c r="N40" i="17"/>
  <c r="J40" i="17"/>
  <c r="D40" i="17"/>
  <c r="D22" i="17"/>
  <c r="D44" i="17" s="1"/>
  <c r="L22" i="17"/>
  <c r="L44" i="17" s="1"/>
  <c r="L42" i="17"/>
  <c r="G22" i="17"/>
  <c r="G44" i="17" s="1"/>
  <c r="G42" i="17"/>
  <c r="I22" i="17"/>
  <c r="I44" i="17" s="1"/>
  <c r="I42" i="17"/>
  <c r="K22" i="17"/>
  <c r="K44" i="17" s="1"/>
  <c r="K42" i="17"/>
  <c r="F22" i="17"/>
  <c r="F44" i="17" s="1"/>
  <c r="F42" i="17"/>
  <c r="M22" i="17"/>
  <c r="M44" i="17" s="1"/>
  <c r="M42" i="17"/>
  <c r="E22" i="17"/>
  <c r="E44" i="17" s="1"/>
  <c r="E42" i="17"/>
  <c r="H22" i="17"/>
  <c r="H44" i="17" s="1"/>
  <c r="H42" i="17"/>
  <c r="J22" i="17"/>
  <c r="J44" i="17" s="1"/>
  <c r="J42" i="17"/>
  <c r="N22" i="17"/>
  <c r="N44" i="17" s="1"/>
  <c r="N42" i="17"/>
  <c r="C22" i="17"/>
  <c r="C44" i="17" s="1"/>
  <c r="C42" i="17"/>
  <c r="P20" i="17"/>
  <c r="E19" i="17"/>
  <c r="I14" i="17"/>
  <c r="J14" i="17"/>
  <c r="M14" i="17"/>
  <c r="G14" i="17"/>
  <c r="N14" i="17"/>
  <c r="F14" i="17"/>
  <c r="D14" i="17"/>
  <c r="H14" i="17"/>
  <c r="K14" i="17"/>
  <c r="L14" i="17"/>
  <c r="C30" i="3" l="1"/>
  <c r="C31" i="3" s="1"/>
  <c r="D25" i="3"/>
  <c r="D26" i="3" s="1"/>
  <c r="K6" i="20"/>
  <c r="L6" i="20" s="1"/>
  <c r="G26" i="43" s="1"/>
  <c r="H26" i="43" s="1"/>
  <c r="K5" i="20"/>
  <c r="L5" i="20" s="1"/>
  <c r="K4" i="20"/>
  <c r="L4" i="20" s="1"/>
  <c r="G24" i="43" s="1"/>
  <c r="H24" i="43" s="1"/>
  <c r="K8" i="20"/>
  <c r="K3" i="20"/>
  <c r="L3" i="20" s="1"/>
  <c r="G23" i="43" s="1"/>
  <c r="H23" i="43" s="1"/>
  <c r="K7" i="20"/>
  <c r="L7" i="20" s="1"/>
  <c r="G27" i="43" s="1"/>
  <c r="H27" i="43" s="1"/>
  <c r="K10" i="20"/>
  <c r="L10" i="20" s="1"/>
  <c r="G30" i="43" s="1"/>
  <c r="H30" i="43" s="1"/>
  <c r="K9" i="20"/>
  <c r="L9" i="20" s="1"/>
  <c r="G29" i="43" s="1"/>
  <c r="H29" i="43" s="1"/>
  <c r="G37" i="20"/>
  <c r="G40" i="20" s="1"/>
  <c r="C6" i="41"/>
  <c r="C11" i="41" s="1"/>
  <c r="C12" i="41" s="1"/>
  <c r="L30" i="34"/>
  <c r="L31" i="34" s="1"/>
  <c r="F126" i="10"/>
  <c r="I16" i="34"/>
  <c r="L16" i="34" s="1"/>
  <c r="E25" i="3"/>
  <c r="E26" i="3" s="1"/>
  <c r="F3" i="37"/>
  <c r="E3" i="37"/>
  <c r="E4" i="37" s="1"/>
  <c r="D126" i="10"/>
  <c r="D132" i="10" s="1"/>
  <c r="G16" i="34"/>
  <c r="K16" i="34" s="1"/>
  <c r="K30" i="34"/>
  <c r="K31" i="34" s="1"/>
  <c r="P22" i="17"/>
  <c r="P42" i="17"/>
  <c r="P44" i="17"/>
  <c r="E21" i="17"/>
  <c r="E43" i="17" s="1"/>
  <c r="E41" i="17"/>
  <c r="C19" i="17"/>
  <c r="C41" i="17" s="1"/>
  <c r="K19" i="17"/>
  <c r="F19" i="17"/>
  <c r="M19" i="17"/>
  <c r="D19" i="17"/>
  <c r="J19" i="17"/>
  <c r="N19" i="17"/>
  <c r="I19" i="17"/>
  <c r="H19" i="17"/>
  <c r="G19" i="17"/>
  <c r="L19" i="17"/>
  <c r="G34" i="20" l="1"/>
  <c r="G44" i="20" s="1"/>
  <c r="D31" i="3"/>
  <c r="D36" i="3" s="1"/>
  <c r="D27" i="3"/>
  <c r="H42" i="43"/>
  <c r="G42" i="20"/>
  <c r="G39" i="20"/>
  <c r="G38" i="20"/>
  <c r="F5" i="37"/>
  <c r="I21" i="34" s="1"/>
  <c r="F6" i="37"/>
  <c r="I20" i="34" s="1"/>
  <c r="F4" i="37"/>
  <c r="I22" i="34" s="1"/>
  <c r="E31" i="3"/>
  <c r="E36" i="3" s="1"/>
  <c r="G22" i="34"/>
  <c r="E5" i="37"/>
  <c r="G21" i="34" s="1"/>
  <c r="E6" i="37"/>
  <c r="G20" i="34" s="1"/>
  <c r="E23" i="17"/>
  <c r="E27" i="17" s="1"/>
  <c r="F21" i="17"/>
  <c r="F43" i="17" s="1"/>
  <c r="F41" i="17"/>
  <c r="D21" i="17"/>
  <c r="D43" i="17" s="1"/>
  <c r="D41" i="17"/>
  <c r="K21" i="17"/>
  <c r="K43" i="17" s="1"/>
  <c r="K41" i="17"/>
  <c r="G21" i="17"/>
  <c r="G43" i="17" s="1"/>
  <c r="G41" i="17"/>
  <c r="M21" i="17"/>
  <c r="M43" i="17" s="1"/>
  <c r="M41" i="17"/>
  <c r="L21" i="17"/>
  <c r="L43" i="17" s="1"/>
  <c r="L41" i="17"/>
  <c r="J21" i="17"/>
  <c r="J43" i="17" s="1"/>
  <c r="J41" i="17"/>
  <c r="H21" i="17"/>
  <c r="H43" i="17" s="1"/>
  <c r="H41" i="17"/>
  <c r="I21" i="17"/>
  <c r="I43" i="17" s="1"/>
  <c r="I41" i="17"/>
  <c r="N21" i="17"/>
  <c r="N43" i="17" s="1"/>
  <c r="N41" i="17"/>
  <c r="C21" i="17"/>
  <c r="C43" i="17" s="1"/>
  <c r="C45" i="17" s="1"/>
  <c r="P19" i="17"/>
  <c r="J34" i="20" l="1"/>
  <c r="C25" i="3"/>
  <c r="D32" i="3"/>
  <c r="D37" i="3" s="1"/>
  <c r="G25" i="34" s="1"/>
  <c r="H43" i="43"/>
  <c r="H44" i="43" s="1"/>
  <c r="J44" i="20"/>
  <c r="P41" i="17"/>
  <c r="D3" i="37"/>
  <c r="B126" i="10"/>
  <c r="E16" i="34"/>
  <c r="J16" i="34" s="1"/>
  <c r="J30" i="34"/>
  <c r="J31" i="34" s="1"/>
  <c r="E28" i="3"/>
  <c r="E27" i="3"/>
  <c r="E33" i="3"/>
  <c r="E32" i="3"/>
  <c r="F23" i="17"/>
  <c r="F27" i="17" s="1"/>
  <c r="J23" i="17"/>
  <c r="J27" i="17" s="1"/>
  <c r="H23" i="17"/>
  <c r="H27" i="17" s="1"/>
  <c r="K23" i="17"/>
  <c r="K27" i="17" s="1"/>
  <c r="D23" i="17"/>
  <c r="D27" i="17" s="1"/>
  <c r="M23" i="17"/>
  <c r="M27" i="17" s="1"/>
  <c r="L23" i="17"/>
  <c r="L27" i="17" s="1"/>
  <c r="N23" i="17"/>
  <c r="N27" i="17" s="1"/>
  <c r="C49" i="17"/>
  <c r="I23" i="17"/>
  <c r="I27" i="17" s="1"/>
  <c r="G23" i="17"/>
  <c r="G27" i="17" s="1"/>
  <c r="E28" i="17"/>
  <c r="E29" i="17"/>
  <c r="E33" i="17" s="1"/>
  <c r="C23" i="17"/>
  <c r="P21" i="17"/>
  <c r="B132" i="10" l="1"/>
  <c r="I125" i="10"/>
  <c r="C26" i="3"/>
  <c r="C36" i="3" s="1"/>
  <c r="C32" i="3" s="1"/>
  <c r="C33" i="3"/>
  <c r="J5" i="31" s="1"/>
  <c r="E37" i="3"/>
  <c r="I25" i="34" s="1"/>
  <c r="L25" i="34" s="1"/>
  <c r="I17" i="34"/>
  <c r="L17" i="34" s="1"/>
  <c r="F128" i="10"/>
  <c r="F130" i="10" s="1"/>
  <c r="D5" i="37"/>
  <c r="E21" i="34" s="1"/>
  <c r="D6" i="37"/>
  <c r="E20" i="34" s="1"/>
  <c r="D4" i="37"/>
  <c r="E22" i="34" s="1"/>
  <c r="C27" i="17"/>
  <c r="C28" i="17" s="1"/>
  <c r="E32" i="17"/>
  <c r="E36" i="17"/>
  <c r="P23" i="17"/>
  <c r="C50" i="17"/>
  <c r="C58" i="17" s="1"/>
  <c r="C51" i="17"/>
  <c r="E45" i="17"/>
  <c r="E49" i="17" s="1"/>
  <c r="G28" i="17"/>
  <c r="N28" i="17"/>
  <c r="M28" i="17"/>
  <c r="D28" i="17"/>
  <c r="D36" i="17" s="1"/>
  <c r="J28" i="17"/>
  <c r="F28" i="17"/>
  <c r="K28" i="17"/>
  <c r="H28" i="17"/>
  <c r="L28" i="17"/>
  <c r="I28" i="17"/>
  <c r="H29" i="17"/>
  <c r="H33" i="17" s="1"/>
  <c r="G29" i="17"/>
  <c r="G33" i="17" s="1"/>
  <c r="N29" i="17"/>
  <c r="N33" i="17" s="1"/>
  <c r="K29" i="17"/>
  <c r="K33" i="17" s="1"/>
  <c r="M29" i="17"/>
  <c r="M33" i="17" s="1"/>
  <c r="I29" i="17"/>
  <c r="I33" i="17" s="1"/>
  <c r="F29" i="17"/>
  <c r="F33" i="17" s="1"/>
  <c r="J29" i="17"/>
  <c r="J33" i="17" s="1"/>
  <c r="L29" i="17"/>
  <c r="L33" i="17" s="1"/>
  <c r="C27" i="3" l="1"/>
  <c r="E6" i="9"/>
  <c r="C37" i="3"/>
  <c r="E25" i="34" s="1"/>
  <c r="B128" i="10"/>
  <c r="B130" i="10" s="1"/>
  <c r="E17" i="34"/>
  <c r="E18" i="34" s="1"/>
  <c r="P28" i="17"/>
  <c r="H32" i="17"/>
  <c r="H36" i="17"/>
  <c r="G32" i="17"/>
  <c r="G36" i="17"/>
  <c r="M32" i="17"/>
  <c r="M36" i="17"/>
  <c r="N32" i="17"/>
  <c r="N36" i="17"/>
  <c r="I32" i="17"/>
  <c r="I36" i="17"/>
  <c r="L32" i="17"/>
  <c r="L36" i="17"/>
  <c r="K32" i="17"/>
  <c r="K36" i="17"/>
  <c r="F32" i="17"/>
  <c r="F36" i="17"/>
  <c r="J32" i="17"/>
  <c r="J36" i="17"/>
  <c r="D13" i="14"/>
  <c r="D32" i="17"/>
  <c r="D29" i="17"/>
  <c r="D33" i="17" s="1"/>
  <c r="P27" i="17"/>
  <c r="E50" i="17"/>
  <c r="E51" i="17"/>
  <c r="E55" i="17" s="1"/>
  <c r="N45" i="17"/>
  <c r="M45" i="17"/>
  <c r="M49" i="17" s="1"/>
  <c r="L45" i="17"/>
  <c r="L49" i="17" s="1"/>
  <c r="K45" i="17"/>
  <c r="K49" i="17" s="1"/>
  <c r="J45" i="17"/>
  <c r="J49" i="17" s="1"/>
  <c r="I45" i="17"/>
  <c r="H45" i="17"/>
  <c r="G45" i="17"/>
  <c r="G49" i="17" s="1"/>
  <c r="F45" i="17"/>
  <c r="D45" i="17"/>
  <c r="C6" i="31" l="1"/>
  <c r="M6" i="31" s="1"/>
  <c r="W6" i="31" s="1"/>
  <c r="Y6" i="31" s="1"/>
  <c r="AA6" i="31" s="1"/>
  <c r="AC6" i="31" s="1"/>
  <c r="P45" i="17"/>
  <c r="E54" i="17"/>
  <c r="E58" i="17"/>
  <c r="D6" i="9"/>
  <c r="C36" i="17"/>
  <c r="P36" i="17" s="1"/>
  <c r="Q6" i="9"/>
  <c r="G6" i="9"/>
  <c r="D9" i="14"/>
  <c r="R29" i="17"/>
  <c r="C29" i="17"/>
  <c r="C32" i="17"/>
  <c r="P32" i="17" s="1"/>
  <c r="F49" i="17"/>
  <c r="I49" i="17"/>
  <c r="M50" i="17"/>
  <c r="M51" i="17"/>
  <c r="M55" i="17" s="1"/>
  <c r="G50" i="17"/>
  <c r="G51" i="17"/>
  <c r="G55" i="17" s="1"/>
  <c r="N49" i="17"/>
  <c r="H49" i="17"/>
  <c r="J50" i="17"/>
  <c r="J51" i="17"/>
  <c r="J55" i="17" s="1"/>
  <c r="L50" i="17"/>
  <c r="L51" i="17"/>
  <c r="L55" i="17" s="1"/>
  <c r="D49" i="17"/>
  <c r="K50" i="17"/>
  <c r="K51" i="17"/>
  <c r="K55" i="17" s="1"/>
  <c r="M20" i="9"/>
  <c r="M17" i="9"/>
  <c r="M15" i="9"/>
  <c r="M21" i="9"/>
  <c r="M14" i="9"/>
  <c r="M30" i="9"/>
  <c r="M12" i="9"/>
  <c r="M8" i="9"/>
  <c r="M23" i="9"/>
  <c r="M25" i="9"/>
  <c r="M7" i="9"/>
  <c r="M28" i="9"/>
  <c r="M13" i="9"/>
  <c r="M10" i="9"/>
  <c r="M9" i="9"/>
  <c r="M27" i="9"/>
  <c r="M18" i="9"/>
  <c r="M11" i="9"/>
  <c r="M24" i="9"/>
  <c r="M22" i="9"/>
  <c r="M19" i="9"/>
  <c r="M16" i="9"/>
  <c r="M29" i="9"/>
  <c r="M26" i="9"/>
  <c r="AD6" i="31" l="1"/>
  <c r="D7" i="14"/>
  <c r="L54" i="17"/>
  <c r="L58" i="17"/>
  <c r="J54" i="17"/>
  <c r="J58" i="17"/>
  <c r="G54" i="17"/>
  <c r="G58" i="17"/>
  <c r="M54" i="17"/>
  <c r="M58" i="17"/>
  <c r="K54" i="17"/>
  <c r="K58" i="17"/>
  <c r="Q7" i="9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G7" i="9"/>
  <c r="C7" i="31" s="1"/>
  <c r="M7" i="31" s="1"/>
  <c r="W7" i="31" s="1"/>
  <c r="Y7" i="31" s="1"/>
  <c r="AA7" i="31" s="1"/>
  <c r="AC7" i="31" s="1"/>
  <c r="I6" i="9"/>
  <c r="E6" i="31"/>
  <c r="O6" i="9"/>
  <c r="C33" i="17"/>
  <c r="P33" i="17" s="1"/>
  <c r="J13" i="34" s="1"/>
  <c r="P29" i="17"/>
  <c r="H50" i="17"/>
  <c r="H51" i="17"/>
  <c r="H55" i="17" s="1"/>
  <c r="I50" i="17"/>
  <c r="I51" i="17"/>
  <c r="I55" i="17" s="1"/>
  <c r="N50" i="17"/>
  <c r="N51" i="17"/>
  <c r="N55" i="17" s="1"/>
  <c r="D50" i="17"/>
  <c r="D51" i="17"/>
  <c r="D55" i="17" s="1"/>
  <c r="F50" i="17"/>
  <c r="F51" i="17"/>
  <c r="F55" i="17" s="1"/>
  <c r="P43" i="17"/>
  <c r="AD7" i="31" l="1"/>
  <c r="N54" i="17"/>
  <c r="N58" i="17"/>
  <c r="H54" i="17"/>
  <c r="H58" i="17"/>
  <c r="I54" i="17"/>
  <c r="I58" i="17"/>
  <c r="F54" i="17"/>
  <c r="F58" i="17"/>
  <c r="D54" i="17"/>
  <c r="D58" i="17"/>
  <c r="E7" i="31"/>
  <c r="J6" i="9"/>
  <c r="D11" i="14"/>
  <c r="G8" i="9"/>
  <c r="C8" i="31" s="1"/>
  <c r="M8" i="31" s="1"/>
  <c r="W8" i="31" s="1"/>
  <c r="Y8" i="31" s="1"/>
  <c r="AA8" i="31" s="1"/>
  <c r="AC8" i="31" s="1"/>
  <c r="AD8" i="31" l="1"/>
  <c r="P58" i="17"/>
  <c r="F6" i="31"/>
  <c r="G6" i="31" s="1"/>
  <c r="E8" i="31"/>
  <c r="P49" i="17"/>
  <c r="P51" i="17"/>
  <c r="M11" i="14" s="1"/>
  <c r="G9" i="9"/>
  <c r="C9" i="31" s="1"/>
  <c r="M9" i="31" s="1"/>
  <c r="W9" i="31" s="1"/>
  <c r="Y9" i="31" s="1"/>
  <c r="AA9" i="31" s="1"/>
  <c r="AC9" i="31" s="1"/>
  <c r="AD9" i="31" l="1"/>
  <c r="I6" i="31"/>
  <c r="E9" i="31"/>
  <c r="R6" i="9"/>
  <c r="N6" i="31" s="1"/>
  <c r="O6" i="31" s="1"/>
  <c r="M9" i="14"/>
  <c r="C55" i="17"/>
  <c r="P55" i="17" s="1"/>
  <c r="K13" i="34" s="1"/>
  <c r="C54" i="17"/>
  <c r="P54" i="17" s="1"/>
  <c r="P50" i="17"/>
  <c r="G10" i="9"/>
  <c r="C10" i="31" s="1"/>
  <c r="M10" i="31" s="1"/>
  <c r="W10" i="31" s="1"/>
  <c r="Y10" i="31" s="1"/>
  <c r="AA10" i="31" s="1"/>
  <c r="AC10" i="31" s="1"/>
  <c r="AD10" i="31" l="1"/>
  <c r="E10" i="31"/>
  <c r="N6" i="9"/>
  <c r="M7" i="14"/>
  <c r="G11" i="9"/>
  <c r="C11" i="31" s="1"/>
  <c r="M11" i="31" s="1"/>
  <c r="W11" i="31" s="1"/>
  <c r="Y11" i="31" s="1"/>
  <c r="AA11" i="31" s="1"/>
  <c r="AC11" i="31" s="1"/>
  <c r="F7" i="9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AD11" i="31" l="1"/>
  <c r="E11" i="31"/>
  <c r="G12" i="9"/>
  <c r="C12" i="31" s="1"/>
  <c r="M12" i="31" s="1"/>
  <c r="W12" i="31" s="1"/>
  <c r="Y12" i="31" s="1"/>
  <c r="AA12" i="31" s="1"/>
  <c r="AC12" i="31" s="1"/>
  <c r="S6" i="9"/>
  <c r="T6" i="9" s="1"/>
  <c r="P6" i="31" s="1"/>
  <c r="AD12" i="31" l="1"/>
  <c r="Q6" i="31"/>
  <c r="E12" i="31"/>
  <c r="G13" i="9"/>
  <c r="C13" i="31" s="1"/>
  <c r="M13" i="31" s="1"/>
  <c r="W13" i="31" s="1"/>
  <c r="Y13" i="31" s="1"/>
  <c r="AA13" i="31" s="1"/>
  <c r="AC13" i="31" s="1"/>
  <c r="P8" i="9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R7" i="9"/>
  <c r="N7" i="31" s="1"/>
  <c r="O7" i="31" s="1"/>
  <c r="AD13" i="31" l="1"/>
  <c r="S6" i="31"/>
  <c r="E13" i="31"/>
  <c r="G14" i="9"/>
  <c r="C14" i="31" s="1"/>
  <c r="M14" i="31" s="1"/>
  <c r="W14" i="31" s="1"/>
  <c r="Y14" i="31" s="1"/>
  <c r="AA14" i="31" s="1"/>
  <c r="AC14" i="31" s="1"/>
  <c r="S7" i="9"/>
  <c r="R8" i="9" s="1"/>
  <c r="N8" i="31" s="1"/>
  <c r="O8" i="31" s="1"/>
  <c r="C21" i="9"/>
  <c r="C22" i="9"/>
  <c r="C10" i="9"/>
  <c r="C24" i="9"/>
  <c r="C14" i="9"/>
  <c r="C27" i="9"/>
  <c r="C20" i="9"/>
  <c r="C26" i="9"/>
  <c r="C23" i="9"/>
  <c r="C13" i="9"/>
  <c r="C19" i="9"/>
  <c r="C28" i="9"/>
  <c r="C8" i="9"/>
  <c r="C12" i="9"/>
  <c r="C15" i="9"/>
  <c r="C18" i="9"/>
  <c r="C17" i="9"/>
  <c r="C11" i="9"/>
  <c r="C29" i="9"/>
  <c r="C25" i="9"/>
  <c r="C16" i="9"/>
  <c r="C30" i="9"/>
  <c r="C9" i="9"/>
  <c r="C7" i="9"/>
  <c r="AD14" i="31" l="1"/>
  <c r="E14" i="31"/>
  <c r="G15" i="9"/>
  <c r="N7" i="9"/>
  <c r="O7" i="9" s="1"/>
  <c r="T7" i="9"/>
  <c r="P7" i="31" s="1"/>
  <c r="I10" i="9"/>
  <c r="D10" i="9" s="1"/>
  <c r="E10" i="9" s="1"/>
  <c r="I11" i="9"/>
  <c r="D11" i="9" s="1"/>
  <c r="E11" i="9" s="1"/>
  <c r="I9" i="9"/>
  <c r="D9" i="9" s="1"/>
  <c r="E9" i="9" s="1"/>
  <c r="I12" i="9"/>
  <c r="D12" i="9" s="1"/>
  <c r="E12" i="9" s="1"/>
  <c r="I13" i="9"/>
  <c r="D13" i="9" s="1"/>
  <c r="E13" i="9" s="1"/>
  <c r="I14" i="9"/>
  <c r="D14" i="9" s="1"/>
  <c r="E14" i="9" s="1"/>
  <c r="I7" i="9"/>
  <c r="D7" i="9" s="1"/>
  <c r="E7" i="9" s="1"/>
  <c r="I8" i="9"/>
  <c r="J8" i="9" s="1"/>
  <c r="Q7" i="31" l="1"/>
  <c r="F8" i="31"/>
  <c r="G8" i="31" s="1"/>
  <c r="I15" i="9"/>
  <c r="D15" i="9" s="1"/>
  <c r="E15" i="9" s="1"/>
  <c r="C15" i="31"/>
  <c r="M15" i="31" s="1"/>
  <c r="W15" i="31" s="1"/>
  <c r="Y15" i="31" s="1"/>
  <c r="AA15" i="31" s="1"/>
  <c r="AC15" i="31" s="1"/>
  <c r="J7" i="9"/>
  <c r="G16" i="9"/>
  <c r="S8" i="9"/>
  <c r="D8" i="9"/>
  <c r="E8" i="9" s="1"/>
  <c r="J9" i="9"/>
  <c r="AD15" i="31" l="1"/>
  <c r="F9" i="31"/>
  <c r="G9" i="31" s="1"/>
  <c r="F7" i="31"/>
  <c r="G7" i="31" s="1"/>
  <c r="S7" i="31"/>
  <c r="E15" i="31"/>
  <c r="I16" i="9"/>
  <c r="D16" i="9" s="1"/>
  <c r="E16" i="9" s="1"/>
  <c r="C16" i="31"/>
  <c r="M16" i="31" s="1"/>
  <c r="W16" i="31" s="1"/>
  <c r="Y16" i="31" s="1"/>
  <c r="AA16" i="31" s="1"/>
  <c r="AC16" i="31" s="1"/>
  <c r="G17" i="9"/>
  <c r="T8" i="9"/>
  <c r="P8" i="31" s="1"/>
  <c r="N8" i="9"/>
  <c r="O8" i="9" s="1"/>
  <c r="R9" i="9"/>
  <c r="N9" i="31" s="1"/>
  <c r="O9" i="31" s="1"/>
  <c r="J10" i="9"/>
  <c r="AD16" i="31" l="1"/>
  <c r="I17" i="9"/>
  <c r="D17" i="9" s="1"/>
  <c r="E17" i="9" s="1"/>
  <c r="C17" i="31"/>
  <c r="M17" i="31" s="1"/>
  <c r="W17" i="31" s="1"/>
  <c r="Y17" i="31" s="1"/>
  <c r="AA17" i="31" s="1"/>
  <c r="AC17" i="31" s="1"/>
  <c r="E16" i="31"/>
  <c r="Q8" i="31"/>
  <c r="I7" i="31"/>
  <c r="I8" i="31" s="1"/>
  <c r="I9" i="31" s="1"/>
  <c r="F10" i="31"/>
  <c r="G10" i="31" s="1"/>
  <c r="G18" i="9"/>
  <c r="S9" i="9"/>
  <c r="J11" i="9"/>
  <c r="AD17" i="31" l="1"/>
  <c r="S8" i="31"/>
  <c r="I10" i="31"/>
  <c r="E17" i="31"/>
  <c r="F11" i="31"/>
  <c r="G11" i="31" s="1"/>
  <c r="I18" i="9"/>
  <c r="D18" i="9" s="1"/>
  <c r="E18" i="9" s="1"/>
  <c r="C18" i="31"/>
  <c r="M18" i="31" s="1"/>
  <c r="W18" i="31" s="1"/>
  <c r="Y18" i="31" s="1"/>
  <c r="AA18" i="31" s="1"/>
  <c r="AC18" i="31" s="1"/>
  <c r="G19" i="9"/>
  <c r="T9" i="9"/>
  <c r="P9" i="31" s="1"/>
  <c r="N9" i="9"/>
  <c r="O9" i="9" s="1"/>
  <c r="R10" i="9"/>
  <c r="N10" i="31" s="1"/>
  <c r="O10" i="31" s="1"/>
  <c r="J12" i="9"/>
  <c r="AD18" i="31" l="1"/>
  <c r="E18" i="31"/>
  <c r="Q9" i="31"/>
  <c r="S9" i="31" s="1"/>
  <c r="F12" i="31"/>
  <c r="G12" i="31" s="1"/>
  <c r="I19" i="9"/>
  <c r="D19" i="9" s="1"/>
  <c r="E19" i="9" s="1"/>
  <c r="C19" i="31"/>
  <c r="M19" i="31" s="1"/>
  <c r="W19" i="31" s="1"/>
  <c r="Y19" i="31" s="1"/>
  <c r="AA19" i="31" s="1"/>
  <c r="AC19" i="31" s="1"/>
  <c r="I11" i="31"/>
  <c r="G20" i="9"/>
  <c r="S10" i="9"/>
  <c r="J13" i="9"/>
  <c r="AD19" i="31" l="1"/>
  <c r="I12" i="31"/>
  <c r="F13" i="31"/>
  <c r="G13" i="31" s="1"/>
  <c r="I20" i="9"/>
  <c r="D20" i="9" s="1"/>
  <c r="E20" i="9" s="1"/>
  <c r="C20" i="31"/>
  <c r="M20" i="31" s="1"/>
  <c r="W20" i="31" s="1"/>
  <c r="Y20" i="31" s="1"/>
  <c r="AA20" i="31" s="1"/>
  <c r="AC20" i="31" s="1"/>
  <c r="E19" i="31"/>
  <c r="G21" i="9"/>
  <c r="T10" i="9"/>
  <c r="P10" i="31" s="1"/>
  <c r="N10" i="9"/>
  <c r="O10" i="9" s="1"/>
  <c r="R11" i="9"/>
  <c r="N11" i="31" s="1"/>
  <c r="O11" i="31" s="1"/>
  <c r="J14" i="9"/>
  <c r="AD20" i="31" l="1"/>
  <c r="I13" i="31"/>
  <c r="E20" i="31"/>
  <c r="Q10" i="31"/>
  <c r="F14" i="31"/>
  <c r="G14" i="31" s="1"/>
  <c r="I21" i="9"/>
  <c r="D21" i="9" s="1"/>
  <c r="E21" i="9" s="1"/>
  <c r="C21" i="31"/>
  <c r="M21" i="31" s="1"/>
  <c r="W21" i="31" s="1"/>
  <c r="Y21" i="31" s="1"/>
  <c r="AA21" i="31" s="1"/>
  <c r="AC21" i="31" s="1"/>
  <c r="G22" i="9"/>
  <c r="S11" i="9"/>
  <c r="J15" i="9"/>
  <c r="AD21" i="31" l="1"/>
  <c r="I14" i="31"/>
  <c r="E21" i="31"/>
  <c r="F15" i="31"/>
  <c r="G15" i="31" s="1"/>
  <c r="I22" i="9"/>
  <c r="D22" i="9" s="1"/>
  <c r="E22" i="9" s="1"/>
  <c r="C22" i="31"/>
  <c r="M22" i="31" s="1"/>
  <c r="W22" i="31" s="1"/>
  <c r="Y22" i="31" s="1"/>
  <c r="AA22" i="31" s="1"/>
  <c r="AC22" i="31" s="1"/>
  <c r="S10" i="31"/>
  <c r="G23" i="9"/>
  <c r="N11" i="9"/>
  <c r="O11" i="9" s="1"/>
  <c r="T11" i="9"/>
  <c r="P11" i="31" s="1"/>
  <c r="R12" i="9"/>
  <c r="N12" i="31" s="1"/>
  <c r="O12" i="31" s="1"/>
  <c r="J16" i="9"/>
  <c r="AD22" i="31" l="1"/>
  <c r="I15" i="31"/>
  <c r="F16" i="31"/>
  <c r="G16" i="31" s="1"/>
  <c r="Q11" i="31"/>
  <c r="I23" i="9"/>
  <c r="D23" i="9" s="1"/>
  <c r="E23" i="9" s="1"/>
  <c r="C23" i="31"/>
  <c r="M23" i="31" s="1"/>
  <c r="W23" i="31" s="1"/>
  <c r="Y23" i="31" s="1"/>
  <c r="AA23" i="31" s="1"/>
  <c r="AC23" i="31" s="1"/>
  <c r="E22" i="31"/>
  <c r="G24" i="9"/>
  <c r="S12" i="9"/>
  <c r="R13" i="9" s="1"/>
  <c r="J17" i="9"/>
  <c r="AD23" i="31" l="1"/>
  <c r="I16" i="31"/>
  <c r="N13" i="31"/>
  <c r="O13" i="31" s="1"/>
  <c r="S11" i="31"/>
  <c r="I24" i="9"/>
  <c r="D24" i="9" s="1"/>
  <c r="E24" i="9" s="1"/>
  <c r="C24" i="31"/>
  <c r="M24" i="31" s="1"/>
  <c r="W24" i="31" s="1"/>
  <c r="Y24" i="31" s="1"/>
  <c r="AA24" i="31" s="1"/>
  <c r="AC24" i="31" s="1"/>
  <c r="F17" i="31"/>
  <c r="G17" i="31" s="1"/>
  <c r="E23" i="31"/>
  <c r="G25" i="9"/>
  <c r="S13" i="9"/>
  <c r="N12" i="9"/>
  <c r="O12" i="9" s="1"/>
  <c r="T12" i="9"/>
  <c r="P12" i="31" s="1"/>
  <c r="J18" i="9"/>
  <c r="AD24" i="31" l="1"/>
  <c r="I17" i="31"/>
  <c r="Q12" i="31"/>
  <c r="I25" i="9"/>
  <c r="D25" i="9" s="1"/>
  <c r="E25" i="9" s="1"/>
  <c r="C25" i="31"/>
  <c r="M25" i="31" s="1"/>
  <c r="W25" i="31" s="1"/>
  <c r="Y25" i="31" s="1"/>
  <c r="AA25" i="31" s="1"/>
  <c r="AC25" i="31" s="1"/>
  <c r="F18" i="31"/>
  <c r="G18" i="31" s="1"/>
  <c r="E24" i="31"/>
  <c r="G26" i="9"/>
  <c r="R14" i="9"/>
  <c r="N14" i="31" s="1"/>
  <c r="O14" i="31" s="1"/>
  <c r="T13" i="9"/>
  <c r="P13" i="31" s="1"/>
  <c r="N13" i="9"/>
  <c r="O13" i="9" s="1"/>
  <c r="J19" i="9"/>
  <c r="AD25" i="31" l="1"/>
  <c r="I18" i="31"/>
  <c r="S12" i="31"/>
  <c r="I26" i="9"/>
  <c r="D26" i="9" s="1"/>
  <c r="E26" i="9" s="1"/>
  <c r="C26" i="31"/>
  <c r="M26" i="31" s="1"/>
  <c r="W26" i="31" s="1"/>
  <c r="Y26" i="31" s="1"/>
  <c r="AA26" i="31" s="1"/>
  <c r="AC26" i="31" s="1"/>
  <c r="F19" i="31"/>
  <c r="G19" i="31" s="1"/>
  <c r="E25" i="31"/>
  <c r="Q13" i="31"/>
  <c r="G27" i="9"/>
  <c r="S14" i="9"/>
  <c r="J20" i="9"/>
  <c r="AD26" i="31" l="1"/>
  <c r="I19" i="31"/>
  <c r="S13" i="31"/>
  <c r="I27" i="9"/>
  <c r="D27" i="9" s="1"/>
  <c r="E27" i="9" s="1"/>
  <c r="C27" i="31"/>
  <c r="M27" i="31" s="1"/>
  <c r="W27" i="31" s="1"/>
  <c r="Y27" i="31" s="1"/>
  <c r="AA27" i="31" s="1"/>
  <c r="AC27" i="31" s="1"/>
  <c r="F20" i="31"/>
  <c r="G20" i="31" s="1"/>
  <c r="E26" i="31"/>
  <c r="G28" i="9"/>
  <c r="T14" i="9"/>
  <c r="P14" i="31" s="1"/>
  <c r="N14" i="9"/>
  <c r="O14" i="9" s="1"/>
  <c r="R15" i="9"/>
  <c r="N15" i="31" s="1"/>
  <c r="O15" i="31" s="1"/>
  <c r="J21" i="9"/>
  <c r="AD27" i="31" l="1"/>
  <c r="I20" i="31"/>
  <c r="Q14" i="31"/>
  <c r="I28" i="9"/>
  <c r="D28" i="9" s="1"/>
  <c r="E28" i="9" s="1"/>
  <c r="C28" i="31"/>
  <c r="M28" i="31" s="1"/>
  <c r="W28" i="31" s="1"/>
  <c r="Y28" i="31" s="1"/>
  <c r="AA28" i="31" s="1"/>
  <c r="AC28" i="31" s="1"/>
  <c r="F21" i="31"/>
  <c r="G21" i="31" s="1"/>
  <c r="E27" i="31"/>
  <c r="G29" i="9"/>
  <c r="S15" i="9"/>
  <c r="J22" i="9"/>
  <c r="AD28" i="31" l="1"/>
  <c r="I21" i="31"/>
  <c r="I29" i="9"/>
  <c r="D29" i="9" s="1"/>
  <c r="E29" i="9" s="1"/>
  <c r="C29" i="31"/>
  <c r="M29" i="31" s="1"/>
  <c r="W29" i="31" s="1"/>
  <c r="Y29" i="31" s="1"/>
  <c r="AA29" i="31" s="1"/>
  <c r="AC29" i="31" s="1"/>
  <c r="F22" i="31"/>
  <c r="G22" i="31" s="1"/>
  <c r="S14" i="31"/>
  <c r="E28" i="31"/>
  <c r="G30" i="9"/>
  <c r="C30" i="31" s="1"/>
  <c r="M30" i="31" s="1"/>
  <c r="W30" i="31" s="1"/>
  <c r="Y30" i="31" s="1"/>
  <c r="AA30" i="31" s="1"/>
  <c r="T15" i="9"/>
  <c r="P15" i="31" s="1"/>
  <c r="N15" i="9"/>
  <c r="O15" i="9" s="1"/>
  <c r="R16" i="9"/>
  <c r="J23" i="9"/>
  <c r="AC30" i="31" l="1"/>
  <c r="AD29" i="31"/>
  <c r="AD30" i="31" s="1"/>
  <c r="I22" i="31"/>
  <c r="Q15" i="31"/>
  <c r="E29" i="31"/>
  <c r="F23" i="31"/>
  <c r="G23" i="31" s="1"/>
  <c r="N16" i="31"/>
  <c r="O16" i="31" s="1"/>
  <c r="E30" i="31"/>
  <c r="I30" i="9"/>
  <c r="D30" i="9" s="1"/>
  <c r="E30" i="9" s="1"/>
  <c r="S16" i="9"/>
  <c r="J24" i="9"/>
  <c r="I23" i="31" l="1"/>
  <c r="S15" i="31"/>
  <c r="F24" i="31"/>
  <c r="G24" i="31" s="1"/>
  <c r="R17" i="9"/>
  <c r="T16" i="9"/>
  <c r="P16" i="31" s="1"/>
  <c r="N16" i="9"/>
  <c r="O16" i="9" s="1"/>
  <c r="J25" i="9"/>
  <c r="I24" i="31" l="1"/>
  <c r="F25" i="31"/>
  <c r="G25" i="31" s="1"/>
  <c r="Q16" i="31"/>
  <c r="N17" i="31"/>
  <c r="O17" i="31" s="1"/>
  <c r="S17" i="9"/>
  <c r="J26" i="9"/>
  <c r="I25" i="31" l="1"/>
  <c r="F26" i="31"/>
  <c r="G26" i="31" s="1"/>
  <c r="S16" i="31"/>
  <c r="R18" i="9"/>
  <c r="N18" i="31" s="1"/>
  <c r="O18" i="31" s="1"/>
  <c r="N17" i="9"/>
  <c r="O17" i="9" s="1"/>
  <c r="T17" i="9"/>
  <c r="P17" i="31" s="1"/>
  <c r="J27" i="9"/>
  <c r="I26" i="31" l="1"/>
  <c r="Q17" i="31"/>
  <c r="F27" i="31"/>
  <c r="G27" i="31" s="1"/>
  <c r="S18" i="9"/>
  <c r="J28" i="9"/>
  <c r="I27" i="31" l="1"/>
  <c r="S17" i="31"/>
  <c r="F28" i="31"/>
  <c r="G28" i="31" s="1"/>
  <c r="T18" i="9"/>
  <c r="P18" i="31" s="1"/>
  <c r="N18" i="9"/>
  <c r="O18" i="9" s="1"/>
  <c r="R19" i="9"/>
  <c r="N19" i="31" s="1"/>
  <c r="O19" i="31" s="1"/>
  <c r="J30" i="9"/>
  <c r="J29" i="9"/>
  <c r="I28" i="31" l="1"/>
  <c r="F29" i="31"/>
  <c r="G29" i="31" s="1"/>
  <c r="F30" i="31"/>
  <c r="G30" i="31" s="1"/>
  <c r="Q18" i="31"/>
  <c r="S19" i="9"/>
  <c r="R20" i="9" s="1"/>
  <c r="N20" i="31" s="1"/>
  <c r="O20" i="31" s="1"/>
  <c r="I29" i="31" l="1"/>
  <c r="I30" i="31" s="1"/>
  <c r="S18" i="31"/>
  <c r="S20" i="9"/>
  <c r="R21" i="9" s="1"/>
  <c r="N21" i="31" s="1"/>
  <c r="O21" i="31" s="1"/>
  <c r="N19" i="9"/>
  <c r="O19" i="9" s="1"/>
  <c r="T19" i="9"/>
  <c r="P19" i="31" s="1"/>
  <c r="Q19" i="31" l="1"/>
  <c r="N20" i="9"/>
  <c r="O20" i="9" s="1"/>
  <c r="T20" i="9"/>
  <c r="P20" i="31" s="1"/>
  <c r="S19" i="31" l="1"/>
  <c r="Q20" i="31"/>
  <c r="S21" i="9"/>
  <c r="R22" i="9" s="1"/>
  <c r="S20" i="31" l="1"/>
  <c r="N22" i="31"/>
  <c r="O22" i="31" s="1"/>
  <c r="N21" i="9"/>
  <c r="O21" i="9" s="1"/>
  <c r="T21" i="9"/>
  <c r="P21" i="31" s="1"/>
  <c r="Q21" i="31" l="1"/>
  <c r="S21" i="31" s="1"/>
  <c r="S22" i="9"/>
  <c r="R23" i="9" l="1"/>
  <c r="N22" i="9"/>
  <c r="O22" i="9" s="1"/>
  <c r="T22" i="9"/>
  <c r="P22" i="31" s="1"/>
  <c r="Q22" i="31" l="1"/>
  <c r="S22" i="31" s="1"/>
  <c r="S23" i="9"/>
  <c r="R24" i="9" s="1"/>
  <c r="N23" i="31"/>
  <c r="O23" i="31" s="1"/>
  <c r="T23" i="9" l="1"/>
  <c r="P23" i="31" s="1"/>
  <c r="N23" i="9"/>
  <c r="O23" i="9" s="1"/>
  <c r="N24" i="31"/>
  <c r="O24" i="31" s="1"/>
  <c r="S24" i="9"/>
  <c r="Q23" i="31" l="1"/>
  <c r="R25" i="9"/>
  <c r="N25" i="31" s="1"/>
  <c r="O25" i="31" s="1"/>
  <c r="N24" i="9"/>
  <c r="O24" i="9" s="1"/>
  <c r="T24" i="9"/>
  <c r="P24" i="31" s="1"/>
  <c r="S23" i="31" l="1"/>
  <c r="Q24" i="31"/>
  <c r="S25" i="9"/>
  <c r="S24" i="31" l="1"/>
  <c r="N25" i="9"/>
  <c r="O25" i="9" s="1"/>
  <c r="T25" i="9"/>
  <c r="P25" i="31" s="1"/>
  <c r="R26" i="9"/>
  <c r="N26" i="31" s="1"/>
  <c r="O26" i="31" s="1"/>
  <c r="Q25" i="31" l="1"/>
  <c r="S26" i="9"/>
  <c r="S25" i="31" l="1"/>
  <c r="N26" i="9"/>
  <c r="O26" i="9" s="1"/>
  <c r="T26" i="9"/>
  <c r="P26" i="31" s="1"/>
  <c r="R27" i="9"/>
  <c r="N27" i="31" s="1"/>
  <c r="O27" i="31" s="1"/>
  <c r="Q26" i="31" l="1"/>
  <c r="S27" i="9"/>
  <c r="S26" i="31" l="1"/>
  <c r="N27" i="9"/>
  <c r="O27" i="9" s="1"/>
  <c r="T27" i="9"/>
  <c r="P27" i="31" s="1"/>
  <c r="R28" i="9"/>
  <c r="N28" i="31" l="1"/>
  <c r="O28" i="31" s="1"/>
  <c r="Q27" i="31"/>
  <c r="S27" i="31" s="1"/>
  <c r="S28" i="9"/>
  <c r="R29" i="9" l="1"/>
  <c r="N29" i="31" s="1"/>
  <c r="O29" i="31" s="1"/>
  <c r="N28" i="9"/>
  <c r="O28" i="9" s="1"/>
  <c r="T28" i="9"/>
  <c r="P28" i="31" s="1"/>
  <c r="Q28" i="31" l="1"/>
  <c r="S29" i="9"/>
  <c r="R30" i="9" s="1"/>
  <c r="N30" i="31" l="1"/>
  <c r="O30" i="31" s="1"/>
  <c r="S28" i="31"/>
  <c r="T29" i="9"/>
  <c r="P29" i="31" s="1"/>
  <c r="N29" i="9"/>
  <c r="O29" i="9" s="1"/>
  <c r="Q29" i="31" l="1"/>
  <c r="S30" i="9"/>
  <c r="S29" i="31" l="1"/>
  <c r="N30" i="9"/>
  <c r="O30" i="9" s="1"/>
  <c r="T30" i="9"/>
  <c r="P30" i="31" s="1"/>
  <c r="Q30" i="31" l="1"/>
  <c r="S30" i="31" l="1"/>
  <c r="D62" i="10"/>
  <c r="I18" i="34" l="1"/>
  <c r="L18" i="34" s="1"/>
  <c r="D28" i="3"/>
  <c r="C28" i="3"/>
  <c r="K25" i="34" l="1"/>
  <c r="D33" i="3"/>
  <c r="J25" i="34"/>
  <c r="T5" i="31"/>
  <c r="T6" i="31" s="1"/>
  <c r="T7" i="31" s="1"/>
  <c r="T8" i="31" s="1"/>
  <c r="T9" i="31" s="1"/>
  <c r="T10" i="31" s="1"/>
  <c r="T11" i="31" s="1"/>
  <c r="T12" i="31" s="1"/>
  <c r="T13" i="31" s="1"/>
  <c r="T14" i="31" s="1"/>
  <c r="T15" i="31" s="1"/>
  <c r="T16" i="31" s="1"/>
  <c r="T17" i="31" s="1"/>
  <c r="T18" i="31" s="1"/>
  <c r="T19" i="31" s="1"/>
  <c r="T20" i="31" s="1"/>
  <c r="T21" i="31" s="1"/>
  <c r="T22" i="31" s="1"/>
  <c r="T23" i="31" s="1"/>
  <c r="T24" i="31" s="1"/>
  <c r="T25" i="31" s="1"/>
  <c r="T26" i="31" s="1"/>
  <c r="T27" i="31" s="1"/>
  <c r="T28" i="31" s="1"/>
  <c r="T29" i="31" s="1"/>
  <c r="T30" i="31" s="1"/>
  <c r="G17" i="34" l="1"/>
  <c r="G18" i="34" s="1"/>
  <c r="K18" i="34" s="1"/>
  <c r="D128" i="10"/>
  <c r="D130" i="10" s="1"/>
  <c r="J6" i="31"/>
  <c r="J7" i="31" s="1"/>
  <c r="J8" i="31" s="1"/>
  <c r="J9" i="31" s="1"/>
  <c r="J10" i="31" s="1"/>
  <c r="J11" i="31" s="1"/>
  <c r="J12" i="31" s="1"/>
  <c r="J13" i="31" s="1"/>
  <c r="J14" i="31" s="1"/>
  <c r="J15" i="31" s="1"/>
  <c r="J16" i="31" s="1"/>
  <c r="J17" i="31" s="1"/>
  <c r="J18" i="31" s="1"/>
  <c r="J19" i="31" s="1"/>
  <c r="J20" i="31" s="1"/>
  <c r="J21" i="31" s="1"/>
  <c r="J22" i="31" s="1"/>
  <c r="J23" i="31" s="1"/>
  <c r="J24" i="31" s="1"/>
  <c r="J25" i="31" s="1"/>
  <c r="J26" i="31" s="1"/>
  <c r="J27" i="31" s="1"/>
  <c r="J28" i="31" s="1"/>
  <c r="J29" i="31" s="1"/>
  <c r="J30" i="31" s="1"/>
  <c r="J18" i="34"/>
  <c r="J17" i="34"/>
  <c r="K17" i="34" l="1"/>
</calcChain>
</file>

<file path=xl/sharedStrings.xml><?xml version="1.0" encoding="utf-8"?>
<sst xmlns="http://schemas.openxmlformats.org/spreadsheetml/2006/main" count="1764" uniqueCount="633">
  <si>
    <t>Trifásico</t>
  </si>
  <si>
    <t>Número de Módulos</t>
  </si>
  <si>
    <t>Precio de la Energía (€/kWh)</t>
  </si>
  <si>
    <t>Retribución de Excedentes (€/kWh)</t>
  </si>
  <si>
    <t>Producción kWh/año por kWp en Sevilla</t>
  </si>
  <si>
    <t>Coeficiente Financiación 12 meses</t>
  </si>
  <si>
    <t>Coeficiente Financiación 120 meses</t>
  </si>
  <si>
    <t>Coeficiente de pérdida de producción</t>
  </si>
  <si>
    <t>AUTOCONSUMO</t>
  </si>
  <si>
    <t>Total</t>
  </si>
  <si>
    <t>EXCEDENTE</t>
  </si>
  <si>
    <t>Nombre:</t>
  </si>
  <si>
    <t>Dirección:</t>
  </si>
  <si>
    <t>Apellidos:</t>
  </si>
  <si>
    <t>Provincia:</t>
  </si>
  <si>
    <t>Fecha:</t>
  </si>
  <si>
    <t>Teléfono:</t>
  </si>
  <si>
    <t>Email:</t>
  </si>
  <si>
    <t>Reducción de Demanda (%)</t>
  </si>
  <si>
    <t>Descuento (€)</t>
  </si>
  <si>
    <t>Pequeña</t>
  </si>
  <si>
    <t>Programa de Ayudas / Incentivo</t>
  </si>
  <si>
    <t>Coeficiente</t>
  </si>
  <si>
    <t>Coste Mano de Obra Batería</t>
  </si>
  <si>
    <t>mobateria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</si>
  <si>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</si>
  <si>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</si>
  <si>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</si>
  <si>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</si>
  <si>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</si>
  <si>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</si>
  <si>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</si>
  <si>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</si>
  <si>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</si>
  <si>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</si>
  <si>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</si>
  <si>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</si>
  <si>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dioxido</t>
  </si>
  <si>
    <t>preciokwh</t>
  </si>
  <si>
    <t>kwhkwp</t>
  </si>
  <si>
    <t>coefper</t>
  </si>
  <si>
    <t>Situación Actual</t>
  </si>
  <si>
    <t>Demanda Mensual (kWh/mes)</t>
  </si>
  <si>
    <t>Gasto Mensual (€/mes)</t>
  </si>
  <si>
    <t>Emisiones de CO2 (kg/mes)</t>
  </si>
  <si>
    <t>Emisiones de CO2 (kg/kWh)</t>
  </si>
  <si>
    <t>Autoconsumo y Autosuficiencia</t>
  </si>
  <si>
    <t>Gasto</t>
  </si>
  <si>
    <t>Gasto mensual (€/mes)</t>
  </si>
  <si>
    <t>Excedentes (kWh/mes)</t>
  </si>
  <si>
    <t>Producción FV</t>
  </si>
  <si>
    <t>Coeficiente Mensual</t>
  </si>
  <si>
    <t>Referencia PVGIS 0º Azoimut y 35º Inclinación</t>
  </si>
  <si>
    <t>Autoconsumo, Reducción de la Demanda (kWh/mes)</t>
  </si>
  <si>
    <t>Demanda mensual (kWh/mes)</t>
  </si>
  <si>
    <t>Ahorro mensual (€/mes)</t>
  </si>
  <si>
    <t>Cálculo de Reducción media de demanda (%)</t>
  </si>
  <si>
    <t>Cálculo de Reducción media de la demanda</t>
  </si>
  <si>
    <t>Incremento Porcentual de Producción respecto media (%)</t>
  </si>
  <si>
    <t>Incremento Porcentual de Demanda respecto media (%)</t>
  </si>
  <si>
    <t>Autoconsumo, Reducción de la Demanda Corregida (%)</t>
  </si>
  <si>
    <t>Incremento de Producción respecto a producción media (kWh)</t>
  </si>
  <si>
    <t>Incremento de Demanda respecto a demanda media (kWh)</t>
  </si>
  <si>
    <t>precioexc</t>
  </si>
  <si>
    <t>(kWh/año)</t>
  </si>
  <si>
    <t>Directo
(kWh/año)</t>
  </si>
  <si>
    <t>Indirecto
(kWh/año)</t>
  </si>
  <si>
    <t>Total
(kWh/año)</t>
  </si>
  <si>
    <t>Tasa de Interés</t>
  </si>
  <si>
    <t>ti</t>
  </si>
  <si>
    <t>-</t>
  </si>
  <si>
    <t>Localidad:</t>
  </si>
  <si>
    <t>Tipo</t>
  </si>
  <si>
    <t>Monofásico híbrido</t>
  </si>
  <si>
    <t>Trifásico híbrido</t>
  </si>
  <si>
    <t>SmartLogger 3000A</t>
  </si>
  <si>
    <t>Capacidad (kWh)</t>
  </si>
  <si>
    <t>Batería</t>
  </si>
  <si>
    <t>BMS</t>
  </si>
  <si>
    <t>Modelo de Batería / BMS</t>
  </si>
  <si>
    <t>Modelo de Módulo</t>
  </si>
  <si>
    <t>Potencia (Wp)</t>
  </si>
  <si>
    <t>Módulo Fotovoltaico</t>
  </si>
  <si>
    <t>Descripción</t>
  </si>
  <si>
    <t>Meter</t>
  </si>
  <si>
    <t>Modelo de Meter</t>
  </si>
  <si>
    <t>Medidor Monofásico DDSU</t>
  </si>
  <si>
    <t>Medidor Trifásico DTSU</t>
  </si>
  <si>
    <t>Monofásico, medida indirecta</t>
  </si>
  <si>
    <t>SmartLogger</t>
  </si>
  <si>
    <t>Trifásico, medida indirecta</t>
  </si>
  <si>
    <t>Coste Neto (€)</t>
  </si>
  <si>
    <t>BMS para Batería Luna2000</t>
  </si>
  <si>
    <t>Medidor Monofásico DDSU Huawei</t>
  </si>
  <si>
    <t>Medidor Trifásico DTSU Huawei</t>
  </si>
  <si>
    <t>SmartLogger 3000A Huawei</t>
  </si>
  <si>
    <t>Módulo solar monocristalino PERC</t>
  </si>
  <si>
    <t>Potencia Pico Generador (Wp)</t>
  </si>
  <si>
    <t>Precio Montaje (€/Wp)</t>
  </si>
  <si>
    <t>Precio de Montaje Total (€)</t>
  </si>
  <si>
    <t>Certificados Energéticos</t>
  </si>
  <si>
    <t>Total (sin IVA)</t>
  </si>
  <si>
    <t>Total (con IVA)</t>
  </si>
  <si>
    <t>Sin Inversor</t>
  </si>
  <si>
    <t>crecom</t>
  </si>
  <si>
    <t>% de ayuda</t>
  </si>
  <si>
    <t>€ de ayuda</t>
  </si>
  <si>
    <t>Parámetro</t>
  </si>
  <si>
    <t>Valor</t>
  </si>
  <si>
    <t>Nombre de Variable</t>
  </si>
  <si>
    <t>Descuento (%)</t>
  </si>
  <si>
    <t>Sin Baterías</t>
  </si>
  <si>
    <t>Con Baterías</t>
  </si>
  <si>
    <t>Financiación</t>
  </si>
  <si>
    <t>Tamaño de batería (kWh)</t>
  </si>
  <si>
    <t>Ud de módulo</t>
  </si>
  <si>
    <t>Ud de inversor</t>
  </si>
  <si>
    <t>Ud de BMS</t>
  </si>
  <si>
    <t>Unidad de Medida</t>
  </si>
  <si>
    <t>Ud de módulos de Batería</t>
  </si>
  <si>
    <t>LONGI LR5-72HPH 550 (HiMO5 New)  550 Wp</t>
  </si>
  <si>
    <t>fin12m</t>
  </si>
  <si>
    <t>fin120m</t>
  </si>
  <si>
    <t>Proveedor</t>
  </si>
  <si>
    <t>Amara</t>
  </si>
  <si>
    <t>fecha Precio</t>
  </si>
  <si>
    <t>Coste Neto (€/Ud de módulo)</t>
  </si>
  <si>
    <t>Fabricante</t>
  </si>
  <si>
    <t>HUAWEI</t>
  </si>
  <si>
    <t>Precio Neto (€/Ud)</t>
  </si>
  <si>
    <t>AMARA</t>
  </si>
  <si>
    <t>LONGI SOLAR</t>
  </si>
  <si>
    <t>JA SOLAR</t>
  </si>
  <si>
    <t>ENRIQUE HERRERA</t>
  </si>
  <si>
    <t>Elemento</t>
  </si>
  <si>
    <t>Estructura</t>
  </si>
  <si>
    <t>Otros Datos</t>
  </si>
  <si>
    <t>Mes</t>
  </si>
  <si>
    <t>JA SOLAR JAM72 460 Wp</t>
  </si>
  <si>
    <t>Producción FV (kWh/mes)</t>
  </si>
  <si>
    <t>Ratio demanda / Potencia Generador (kwh/año)/(kWp)</t>
  </si>
  <si>
    <t>Email</t>
  </si>
  <si>
    <t>Cliente</t>
  </si>
  <si>
    <t>Grupo Inversores Tipo nº1</t>
  </si>
  <si>
    <t>Grupo Inversores Tipo nº2</t>
  </si>
  <si>
    <t>SUNFER</t>
  </si>
  <si>
    <t>margen_venta</t>
  </si>
  <si>
    <t>Margen de Venta</t>
  </si>
  <si>
    <t>Módulos de Batería</t>
  </si>
  <si>
    <t>Coste Unitario (€)</t>
  </si>
  <si>
    <t>BANCO SANTANDER</t>
  </si>
  <si>
    <t>No aplica</t>
  </si>
  <si>
    <t>BMS LUNA 2000</t>
  </si>
  <si>
    <t>LUNA 2000 5 kWh</t>
  </si>
  <si>
    <t>tabla_meter</t>
  </si>
  <si>
    <t>tabla_bateria</t>
  </si>
  <si>
    <t>tabla_bms</t>
  </si>
  <si>
    <t>GROWATT</t>
  </si>
  <si>
    <t>COTO</t>
  </si>
  <si>
    <t>BMS para Batería Growatt</t>
  </si>
  <si>
    <r>
      <t xml:space="preserve">Enero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</si>
  <si>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Febrero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</si>
  <si>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Marzo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</si>
  <si>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Abril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</si>
  <si>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Mayo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</si>
  <si>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Junio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</si>
  <si>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Total
</t>
    </r>
    <r>
      <rPr>
        <sz val="12"/>
        <color theme="1" tint="0.249977111117893"/>
        <rFont val="Calibri"/>
        <family val="2"/>
        <scheme val="minor"/>
      </rPr>
      <t>(kWh/año)</t>
    </r>
  </si>
  <si>
    <t>Curva de Consumo Mensual  4</t>
  </si>
  <si>
    <t>Entidad Financiera</t>
  </si>
  <si>
    <t>tabla_inversor</t>
  </si>
  <si>
    <t>iFV
Coste Total (€)</t>
  </si>
  <si>
    <t>iFVBAT
Coste Total (€)</t>
  </si>
  <si>
    <t>tabla_montaje</t>
  </si>
  <si>
    <r>
      <t xml:space="preserve">Julio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</si>
  <si>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Agosto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</si>
  <si>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Septiembre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</si>
  <si>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Octubre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</si>
  <si>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Noviembre
</t>
    </r>
    <r>
      <rPr>
        <sz val="12"/>
        <color theme="1" tint="0.249977111117893"/>
        <rFont val="Calibri"/>
        <family val="2"/>
        <scheme val="minor"/>
      </rPr>
      <t>(kWh/mes)</t>
    </r>
  </si>
  <si>
    <r>
      <t xml:space="preserve">Diciembre
</t>
    </r>
    <r>
      <rPr>
        <sz val="12"/>
        <color theme="1" tint="0.249977111117893"/>
        <rFont val="Calibri"/>
        <family val="2"/>
        <scheme val="minor"/>
      </rPr>
      <t>(kWh/mes)</t>
    </r>
  </si>
  <si>
    <t>tabla_financiación</t>
  </si>
  <si>
    <t>Gastos de Gestión Solay (€)</t>
  </si>
  <si>
    <t>JA SOLAR JAM66S30 500 Wp</t>
  </si>
  <si>
    <t>Margen de Venta (%)</t>
  </si>
  <si>
    <t>Equipos de medida</t>
  </si>
  <si>
    <t>Cableado y Pequeño Material</t>
  </si>
  <si>
    <t>Cableado, Aparamenta y Pequeño Material</t>
  </si>
  <si>
    <t>tabla_modulos</t>
  </si>
  <si>
    <t>tabla_estructura</t>
  </si>
  <si>
    <t>Ajuste de Producción (kWh/kWp)</t>
  </si>
  <si>
    <t>€/Wp</t>
  </si>
  <si>
    <t>Ratio (kWp/kWh) Con Bat</t>
  </si>
  <si>
    <t>Descripción Larga</t>
  </si>
  <si>
    <t>Total Capacidad de la Batería (kWh)</t>
  </si>
  <si>
    <t>Capacidad Unitaria de cada módulo (kWh)</t>
  </si>
  <si>
    <t>Producción Fovotolvaica</t>
  </si>
  <si>
    <t>#00B0F0</t>
  </si>
  <si>
    <t>Excedente</t>
  </si>
  <si>
    <t>Autoconsumo</t>
  </si>
  <si>
    <t>Producción</t>
  </si>
  <si>
    <t>Demanda Actual de la Red</t>
  </si>
  <si>
    <t>Demanda Futura de la Red</t>
  </si>
  <si>
    <t>#30F030</t>
  </si>
  <si>
    <t>#FF33CC</t>
  </si>
  <si>
    <t>#FF3B3B</t>
  </si>
  <si>
    <t>#FFD100</t>
  </si>
  <si>
    <t>DEMANDA ACTUAL</t>
  </si>
  <si>
    <t>DEMANDA
FUTURA</t>
  </si>
  <si>
    <t>PRODUCCIÓN
FOTOVOLTAICA</t>
  </si>
  <si>
    <r>
      <t xml:space="preserve">Instalación </t>
    </r>
    <r>
      <rPr>
        <sz val="48"/>
        <color theme="1" tint="0.249977111117893"/>
        <rFont val="Calibri Light"/>
        <family val="2"/>
        <scheme val="major"/>
      </rPr>
      <t>Con baterías</t>
    </r>
  </si>
  <si>
    <t>(%)</t>
  </si>
  <si>
    <t>AHORRO POR EXCEDENTE</t>
  </si>
  <si>
    <t>AÑO</t>
  </si>
  <si>
    <r>
      <rPr>
        <b/>
        <sz val="20"/>
        <color theme="1" tint="0.249977111117893"/>
        <rFont val="Calibri"/>
        <family val="2"/>
        <scheme val="minor"/>
      </rPr>
      <t>Autoconsumo Indirecto</t>
    </r>
    <r>
      <rPr>
        <sz val="20"/>
        <color theme="1" tint="0.249977111117893"/>
        <rFont val="Calibri"/>
        <family val="2"/>
        <scheme val="minor"/>
      </rPr>
      <t xml:space="preserve">
 Ahorro (€/año)</t>
    </r>
  </si>
  <si>
    <r>
      <rPr>
        <b/>
        <sz val="20"/>
        <color theme="1" tint="0.249977111117893"/>
        <rFont val="Calibri"/>
        <family val="2"/>
        <scheme val="minor"/>
      </rPr>
      <t>Autoconsumo Total</t>
    </r>
    <r>
      <rPr>
        <sz val="20"/>
        <color theme="1" tint="0.249977111117893"/>
        <rFont val="Calibri"/>
        <family val="2"/>
        <scheme val="minor"/>
      </rPr>
      <t xml:space="preserve">
Ahorro (€/año)</t>
    </r>
  </si>
  <si>
    <r>
      <rPr>
        <b/>
        <sz val="20"/>
        <color theme="1" tint="0.249977111117893"/>
        <rFont val="Calibri"/>
        <family val="2"/>
        <scheme val="minor"/>
      </rPr>
      <t>Excedentes</t>
    </r>
    <r>
      <rPr>
        <sz val="20"/>
        <color theme="1" tint="0.249977111117893"/>
        <rFont val="Calibri"/>
        <family val="2"/>
        <scheme val="minor"/>
      </rPr>
      <t xml:space="preserve">
 Ahorro (€/año)</t>
    </r>
  </si>
  <si>
    <r>
      <rPr>
        <b/>
        <sz val="20"/>
        <color theme="1" tint="0.249977111117893"/>
        <rFont val="Calibri"/>
        <family val="2"/>
        <scheme val="minor"/>
      </rPr>
      <t>Total</t>
    </r>
    <r>
      <rPr>
        <sz val="20"/>
        <color theme="1" tint="0.249977111117893"/>
        <rFont val="Calibri"/>
        <family val="2"/>
        <scheme val="minor"/>
      </rPr>
      <t xml:space="preserve">
Ahorro (€/año)</t>
    </r>
  </si>
  <si>
    <r>
      <rPr>
        <b/>
        <sz val="20"/>
        <color theme="1" tint="0.249977111117893"/>
        <rFont val="Calibri"/>
        <family val="2"/>
        <scheme val="minor"/>
      </rPr>
      <t>Autoconsumo Directo</t>
    </r>
    <r>
      <rPr>
        <sz val="20"/>
        <color theme="1" tint="0.249977111117893"/>
        <rFont val="Calibri"/>
        <family val="2"/>
        <scheme val="minor"/>
      </rPr>
      <t xml:space="preserve">
Ahorro ( €/año)</t>
    </r>
  </si>
  <si>
    <t>AHORRO POR
ENERGÍA AUTOCONSUMIDA</t>
  </si>
  <si>
    <t>AHORRO ACUMULADO</t>
  </si>
  <si>
    <t>RENTABILIDAD</t>
  </si>
  <si>
    <t>Ahorro acumulado (€)</t>
  </si>
  <si>
    <t>Rentabilidad de la Inversión (€)</t>
  </si>
  <si>
    <t>AHORRO TOTAL
AL AÑO</t>
  </si>
  <si>
    <t>Reducción de demanda (%)</t>
  </si>
  <si>
    <t>Canal de Entrada</t>
  </si>
  <si>
    <t>Oficina Técnica</t>
  </si>
  <si>
    <t>Dirección de la Instalación</t>
  </si>
  <si>
    <r>
      <t xml:space="preserve">Tipo </t>
    </r>
    <r>
      <rPr>
        <sz val="12"/>
        <color rgb="FFFF0000"/>
        <rFont val="Calibri"/>
        <family val="2"/>
        <scheme val="minor"/>
      </rPr>
      <t>(perfil)</t>
    </r>
  </si>
  <si>
    <r>
      <t xml:space="preserve">Nombre </t>
    </r>
    <r>
      <rPr>
        <sz val="12"/>
        <color rgb="FFFF0000"/>
        <rFont val="Calibri"/>
        <family val="2"/>
        <scheme val="minor"/>
      </rPr>
      <t>(nombre)</t>
    </r>
  </si>
  <si>
    <r>
      <t xml:space="preserve">Apellidos </t>
    </r>
    <r>
      <rPr>
        <sz val="12"/>
        <color rgb="FFFF0000"/>
        <rFont val="Calibri"/>
        <family val="2"/>
        <scheme val="minor"/>
      </rPr>
      <t>(apellidos)</t>
    </r>
  </si>
  <si>
    <r>
      <t xml:space="preserve">Teléfono </t>
    </r>
    <r>
      <rPr>
        <sz val="12"/>
        <color rgb="FFFF0000"/>
        <rFont val="Calibri"/>
        <family val="2"/>
        <scheme val="minor"/>
      </rPr>
      <t>(telefono)</t>
    </r>
  </si>
  <si>
    <r>
      <t xml:space="preserve">NIF </t>
    </r>
    <r>
      <rPr>
        <sz val="12"/>
        <color rgb="FFFF0000"/>
        <rFont val="Calibri"/>
        <family val="2"/>
        <scheme val="minor"/>
      </rPr>
      <t>(nif)</t>
    </r>
  </si>
  <si>
    <r>
      <t xml:space="preserve">Dirección </t>
    </r>
    <r>
      <rPr>
        <sz val="12"/>
        <color rgb="FFFF0000"/>
        <rFont val="Calibri"/>
        <family val="2"/>
        <scheme val="minor"/>
      </rPr>
      <t>(direccion)</t>
    </r>
  </si>
  <si>
    <r>
      <t xml:space="preserve">Localidad </t>
    </r>
    <r>
      <rPr>
        <sz val="12"/>
        <color rgb="FFFF0000"/>
        <rFont val="Calibri"/>
        <family val="2"/>
        <scheme val="minor"/>
      </rPr>
      <t>(localidad)</t>
    </r>
  </si>
  <si>
    <r>
      <t xml:space="preserve">Código Postal </t>
    </r>
    <r>
      <rPr>
        <sz val="12"/>
        <color rgb="FFFF0000"/>
        <rFont val="Calibri"/>
        <family val="2"/>
        <scheme val="minor"/>
      </rPr>
      <t>(cp)</t>
    </r>
  </si>
  <si>
    <r>
      <t>Provincia</t>
    </r>
    <r>
      <rPr>
        <sz val="12"/>
        <color rgb="FFFF0000"/>
        <rFont val="Calibri"/>
        <family val="2"/>
        <scheme val="minor"/>
      </rPr>
      <t xml:space="preserve"> (provincia)</t>
    </r>
  </si>
  <si>
    <t>Consumo</t>
  </si>
  <si>
    <r>
      <t xml:space="preserve">Tipo de Cálculo </t>
    </r>
    <r>
      <rPr>
        <sz val="12"/>
        <color rgb="FFFF0000"/>
        <rFont val="Calibri Light"/>
        <family val="2"/>
        <scheme val="major"/>
      </rPr>
      <t>(tipo_calculo)</t>
    </r>
  </si>
  <si>
    <r>
      <t xml:space="preserve">Potencia contratada (kW) </t>
    </r>
    <r>
      <rPr>
        <sz val="12"/>
        <color rgb="FFFF0000"/>
        <rFont val="Calibri Light"/>
        <family val="2"/>
        <scheme val="major"/>
      </rPr>
      <t>(p_contratada)</t>
    </r>
  </si>
  <si>
    <t>Potencia pico del módulo seleccionado (Wp)</t>
  </si>
  <si>
    <t>Potencia del generador FV (kWp)</t>
  </si>
  <si>
    <r>
      <t>Modelo de modulo</t>
    </r>
    <r>
      <rPr>
        <sz val="12"/>
        <color rgb="FFFF0000"/>
        <rFont val="Calibri Light"/>
        <family val="2"/>
        <scheme val="major"/>
      </rPr>
      <t xml:space="preserve"> (mod_mod)</t>
    </r>
  </si>
  <si>
    <t>Inversores Tipo 1</t>
  </si>
  <si>
    <r>
      <t>Sitema Eléctrico</t>
    </r>
    <r>
      <rPr>
        <sz val="12"/>
        <color rgb="FFFF0000"/>
        <rFont val="Calibri"/>
        <family val="2"/>
        <scheme val="minor"/>
      </rPr>
      <t xml:space="preserve"> (sistema)</t>
    </r>
  </si>
  <si>
    <r>
      <t xml:space="preserve">Modelo del Inversor </t>
    </r>
    <r>
      <rPr>
        <sz val="12"/>
        <color rgb="FFFF0000"/>
        <rFont val="Calibri Light"/>
        <family val="2"/>
        <scheme val="major"/>
      </rPr>
      <t>(mod_inv1)</t>
    </r>
  </si>
  <si>
    <t>Marca de Inversor Seleccionado</t>
  </si>
  <si>
    <r>
      <t>nº de unidades</t>
    </r>
    <r>
      <rPr>
        <sz val="12"/>
        <color rgb="FFFF0000"/>
        <rFont val="Calibri Light"/>
        <family val="2"/>
        <scheme val="major"/>
      </rPr>
      <t xml:space="preserve"> (num_inv1)</t>
    </r>
  </si>
  <si>
    <t>Inversores Tipo 2</t>
  </si>
  <si>
    <r>
      <t xml:space="preserve">Modelo del Inversor </t>
    </r>
    <r>
      <rPr>
        <sz val="12"/>
        <color rgb="FFFF0000"/>
        <rFont val="Calibri Light"/>
        <family val="2"/>
        <scheme val="major"/>
      </rPr>
      <t>(mod_inv2)</t>
    </r>
  </si>
  <si>
    <r>
      <t>nº de unidades</t>
    </r>
    <r>
      <rPr>
        <sz val="12"/>
        <color rgb="FFFF0000"/>
        <rFont val="Calibri Light"/>
        <family val="2"/>
        <scheme val="major"/>
      </rPr>
      <t xml:space="preserve"> (num_inv2)</t>
    </r>
  </si>
  <si>
    <r>
      <t xml:space="preserve">Modelo de meter </t>
    </r>
    <r>
      <rPr>
        <sz val="12"/>
        <color rgb="FFFF0000"/>
        <rFont val="Calibri Light"/>
        <family val="2"/>
        <scheme val="major"/>
      </rPr>
      <t>(mod_meter)</t>
    </r>
  </si>
  <si>
    <r>
      <t xml:space="preserve">nº de unidades </t>
    </r>
    <r>
      <rPr>
        <sz val="12"/>
        <color rgb="FFFF0000"/>
        <rFont val="Calibri Light"/>
        <family val="2"/>
        <scheme val="major"/>
      </rPr>
      <t>(num_meter)</t>
    </r>
  </si>
  <si>
    <r>
      <t xml:space="preserve">Modelo de BMS </t>
    </r>
    <r>
      <rPr>
        <sz val="12"/>
        <color rgb="FFFF0000"/>
        <rFont val="Calibri Light"/>
        <family val="2"/>
        <scheme val="major"/>
      </rPr>
      <t>(mod_bms)</t>
    </r>
  </si>
  <si>
    <r>
      <t xml:space="preserve">nº de unidades </t>
    </r>
    <r>
      <rPr>
        <sz val="12"/>
        <color rgb="FFFF0000"/>
        <rFont val="Calibri Light"/>
        <family val="2"/>
        <scheme val="major"/>
      </rPr>
      <t>(num_bms)</t>
    </r>
  </si>
  <si>
    <r>
      <t xml:space="preserve">Modelo de Batería </t>
    </r>
    <r>
      <rPr>
        <sz val="12"/>
        <color rgb="FFFF0000"/>
        <rFont val="Calibri Light"/>
        <family val="2"/>
        <scheme val="major"/>
      </rPr>
      <t>(mod_bat)</t>
    </r>
  </si>
  <si>
    <r>
      <t xml:space="preserve">nº de unidades </t>
    </r>
    <r>
      <rPr>
        <sz val="12"/>
        <color rgb="FFFF0000"/>
        <rFont val="Calibri Light"/>
        <family val="2"/>
        <scheme val="major"/>
      </rPr>
      <t>(num_bat)</t>
    </r>
  </si>
  <si>
    <r>
      <t xml:space="preserve">Tipo de Estructura </t>
    </r>
    <r>
      <rPr>
        <sz val="12"/>
        <color rgb="FFFF0000"/>
        <rFont val="Calibri Light"/>
        <family val="2"/>
        <scheme val="major"/>
      </rPr>
      <t>(estructura)</t>
    </r>
  </si>
  <si>
    <t>Vivienda habitada todo el año</t>
  </si>
  <si>
    <t>Vivienda de verano</t>
  </si>
  <si>
    <t>Comercio</t>
  </si>
  <si>
    <t>(cap_bat)</t>
  </si>
  <si>
    <t>Potencia total de Inversores</t>
  </si>
  <si>
    <t>Superficie construida (m2)</t>
  </si>
  <si>
    <t>Unifamiliar de 4 Fachadas</t>
  </si>
  <si>
    <t>Superficie Construída</t>
  </si>
  <si>
    <t>Número de plantas</t>
  </si>
  <si>
    <t>número de plantas</t>
  </si>
  <si>
    <t>Pareados de 3 Fachadas</t>
  </si>
  <si>
    <t>Adosados de 2 Fachadas</t>
  </si>
  <si>
    <r>
      <t xml:space="preserve">Fecha </t>
    </r>
    <r>
      <rPr>
        <sz val="12"/>
        <color rgb="FFFF0000"/>
        <rFont val="Calibri"/>
        <family val="2"/>
        <scheme val="minor"/>
      </rPr>
      <t>(fecha)</t>
    </r>
  </si>
  <si>
    <r>
      <t xml:space="preserve">Número de módulos </t>
    </r>
    <r>
      <rPr>
        <sz val="12"/>
        <color rgb="FFFF0000"/>
        <rFont val="Calibri Light"/>
        <family val="2"/>
        <scheme val="major"/>
      </rPr>
      <t>(num_mod)</t>
    </r>
  </si>
  <si>
    <r>
      <t xml:space="preserve">CsEE (Uds) </t>
    </r>
    <r>
      <rPr>
        <sz val="12"/>
        <color rgb="FFFF0000"/>
        <rFont val="Calibri Light"/>
        <family val="2"/>
        <scheme val="major"/>
      </rPr>
      <t>(num_cee)</t>
    </r>
  </si>
  <si>
    <r>
      <t>Adelanto a la firma (€)</t>
    </r>
    <r>
      <rPr>
        <sz val="12"/>
        <color rgb="FFFF0000"/>
        <rFont val="Calibri Light"/>
        <family val="2"/>
        <scheme val="major"/>
      </rPr>
      <t xml:space="preserve"> (adelanto)</t>
    </r>
  </si>
  <si>
    <r>
      <t>Seleccionar Curva Tipo</t>
    </r>
    <r>
      <rPr>
        <sz val="12"/>
        <color rgb="FFFF0000"/>
        <rFont val="Calibri Light"/>
        <family val="2"/>
        <scheme val="major"/>
      </rPr>
      <t xml:space="preserve"> (curva)</t>
    </r>
  </si>
  <si>
    <t>Marca de Módulo Seleccionado</t>
  </si>
  <si>
    <t>Garantía</t>
  </si>
  <si>
    <t>HIKU6 CS6W 540W-MS</t>
  </si>
  <si>
    <t>CANADIAN SOLAR</t>
  </si>
  <si>
    <t>Garantía producto</t>
  </si>
  <si>
    <t>Garantía producción</t>
  </si>
  <si>
    <t>25 años</t>
  </si>
  <si>
    <t>12 años</t>
  </si>
  <si>
    <t>Modelo</t>
  </si>
  <si>
    <r>
      <t>Nombre de Empresa</t>
    </r>
    <r>
      <rPr>
        <sz val="12"/>
        <color rgb="FFFF0000"/>
        <rFont val="Calibri"/>
        <family val="2"/>
        <scheme val="minor"/>
      </rPr>
      <t xml:space="preserve"> (empresa)</t>
    </r>
  </si>
  <si>
    <t>Código postal:</t>
  </si>
  <si>
    <t>Razón Social:</t>
  </si>
  <si>
    <t>NIF:</t>
  </si>
  <si>
    <t>Coeficiente Financiación 24 meses</t>
  </si>
  <si>
    <t>fin24m</t>
  </si>
  <si>
    <t>tabla_margen_de_venta</t>
  </si>
  <si>
    <t>Potencia Mínima FV (kWp)</t>
  </si>
  <si>
    <t>tabla_comerciales</t>
  </si>
  <si>
    <t>Nombre y Apellidos</t>
  </si>
  <si>
    <t>Teléfono</t>
  </si>
  <si>
    <t>usuario</t>
  </si>
  <si>
    <t>contraseña</t>
  </si>
  <si>
    <t>Localidades Asignadas</t>
  </si>
  <si>
    <t>Coste Pequeño Material (€)</t>
  </si>
  <si>
    <t>c_pmat</t>
  </si>
  <si>
    <t>TIPO</t>
  </si>
  <si>
    <t>FOTO</t>
  </si>
  <si>
    <t>SOLARBLOC</t>
  </si>
  <si>
    <t>Coste Tasas y Licencias (€)</t>
  </si>
  <si>
    <t>c_tasas</t>
  </si>
  <si>
    <t>Otros Conceptos</t>
  </si>
  <si>
    <t>p_cee</t>
  </si>
  <si>
    <t>Precio de Venta de CEE (€)</t>
  </si>
  <si>
    <t>Inclinada aluminio con lastre sobre cubierta plana</t>
  </si>
  <si>
    <t>Coplanaria aluminio Microrraíles</t>
  </si>
  <si>
    <t>Coplanaria aluminio</t>
  </si>
  <si>
    <t>Inclinada Este-Oeste con Lastre sobre cubierta plana</t>
  </si>
  <si>
    <t>Inclinada con monobloque prefabricado de hormigón sobre cubierta plana</t>
  </si>
  <si>
    <t>Soporte inclinado de aluminio con lastre, incluyendo juntas de estanqueidad, con perfilería de aluminio EN AW 6005A T6 y tornillería de acero inoxidable A2-70. Soporta cargas de viento de hasta 150 km/h. Certificado ISO:9001</t>
  </si>
  <si>
    <t>Soporte inclinado Este-Oeste, con lastre, sobre cubierta plana.  incluyendo juntas de estanqueidad, con perfilería de aluminio EN AW 6005A T6 y tornillería de acero inoxidable A2-70. Soporta cargas de viento de hasta 150 km/h. Certificado ISO:9001</t>
  </si>
  <si>
    <t>Soporte coplanar contínuo atornillado para cubierta de teja, incluyendo juntas de estanqueidad, con perfilería de aluminio EN AW 6005A T6 y tornillería de acero inoxidable A2-70. Soporta cargas de viento de hasta 150 km/h. Certificado ISO:9001</t>
  </si>
  <si>
    <t>Soporte coplanar microrail de fijación a chapa, apto para cubiertas metálicas de chapa o panel sandwich. Soporta cargas de viento de hasta 150 km/h. Certificado ISO:9001</t>
  </si>
  <si>
    <t>Estructura inclinada prefabricada con monobloque de hormigón lastrado sobre cubierta plana. Soporta cargas de viento de hasta 150 km/h. Certificado ISO:9001</t>
  </si>
  <si>
    <t>Pérgola Especial de Acero Galvanizado</t>
  </si>
  <si>
    <t>Smart Meter</t>
  </si>
  <si>
    <t>SIN BATERÍA</t>
  </si>
  <si>
    <t>CON BATERÍA</t>
  </si>
  <si>
    <t>Módulo de Batería de Litio-Ferrofosfato de 5 kWh</t>
  </si>
  <si>
    <t>Módulo de Batería de Litio-Ferrofostato 5 kWh</t>
  </si>
  <si>
    <t>Capacidad</t>
  </si>
  <si>
    <t>nº de módulos</t>
  </si>
  <si>
    <t>10 años</t>
  </si>
  <si>
    <r>
      <t xml:space="preserve">Reducción </t>
    </r>
    <r>
      <rPr>
        <sz val="18"/>
        <color theme="1" tint="0.249977111117893"/>
        <rFont val="Calibri Light"/>
        <family val="2"/>
        <scheme val="major"/>
      </rPr>
      <t>de la Demanda de la Red:</t>
    </r>
  </si>
  <si>
    <t>Subtotal Venta (sin IVA)</t>
  </si>
  <si>
    <t>LONGI LR5-72HPH 550 (HiMO5 New)  570 Wp</t>
  </si>
  <si>
    <t>2 años</t>
  </si>
  <si>
    <t>1 año</t>
  </si>
  <si>
    <r>
      <t>Comisión de Comercial</t>
    </r>
    <r>
      <rPr>
        <sz val="12"/>
        <color rgb="FFFF0000"/>
        <rFont val="Calibri Light"/>
        <family val="2"/>
        <scheme val="major"/>
      </rPr>
      <t xml:space="preserve"> (comision)</t>
    </r>
  </si>
  <si>
    <t>Margen bruto de Venta (%)</t>
  </si>
  <si>
    <t>Margen neto de Venta (€)</t>
  </si>
  <si>
    <t>Margen bruto de Venta (€)</t>
  </si>
  <si>
    <t>Margen neto de Venta (%)</t>
  </si>
  <si>
    <t>IVA (21%)</t>
  </si>
  <si>
    <t>Aceptación</t>
  </si>
  <si>
    <t>Antes de Instalar</t>
  </si>
  <si>
    <t>Después de Instalar</t>
  </si>
  <si>
    <t>Consumo Recomendado kWh/Wp</t>
  </si>
  <si>
    <r>
      <t xml:space="preserve">Consumo kWh/año </t>
    </r>
    <r>
      <rPr>
        <sz val="12"/>
        <color rgb="FFFF0000"/>
        <rFont val="Calibri Light"/>
        <family val="2"/>
        <scheme val="major"/>
      </rPr>
      <t>(consumo1)</t>
    </r>
  </si>
  <si>
    <t>nº módulos (Criterio Ecovivienda)</t>
  </si>
  <si>
    <t>nº módulos recomendados (por consumo)</t>
  </si>
  <si>
    <r>
      <t xml:space="preserve">Gastos Adicionales (€) </t>
    </r>
    <r>
      <rPr>
        <sz val="12"/>
        <color rgb="FFFF0000"/>
        <rFont val="Calibri"/>
        <family val="2"/>
        <scheme val="minor"/>
      </rPr>
      <t>(adicionales)</t>
    </r>
  </si>
  <si>
    <t>Adicionales</t>
  </si>
  <si>
    <t>Eduardo Rivera</t>
  </si>
  <si>
    <t>Total con IVA (€)</t>
  </si>
  <si>
    <t>CANADIAN SOLAR CS6W-550MS HiKu6</t>
  </si>
  <si>
    <t>SOLARTODAY</t>
  </si>
  <si>
    <r>
      <t xml:space="preserve">Tipo de Instalación </t>
    </r>
    <r>
      <rPr>
        <sz val="12"/>
        <color rgb="FFFF0000"/>
        <rFont val="Calibri Light"/>
        <family val="2"/>
        <scheme val="major"/>
      </rPr>
      <t>(autoconsumo)</t>
    </r>
  </si>
  <si>
    <t>Pérgola</t>
  </si>
  <si>
    <t>Pérgola Especial de Aluminio Lacado</t>
  </si>
  <si>
    <t>Incentivo Total (%)</t>
  </si>
  <si>
    <t xml:space="preserve">Emisiones </t>
  </si>
  <si>
    <t>Sin Bateria</t>
  </si>
  <si>
    <t>Con Batería</t>
  </si>
  <si>
    <t>Presupuesto total, con IVA (€)</t>
  </si>
  <si>
    <t>Financiación a 12 meses</t>
  </si>
  <si>
    <t>Financiación a 24 meses</t>
  </si>
  <si>
    <t>Financiación a 120 meses</t>
  </si>
  <si>
    <r>
      <t xml:space="preserve">Programa de Incentivo </t>
    </r>
    <r>
      <rPr>
        <sz val="12"/>
        <color rgb="FFFF0000"/>
        <rFont val="Calibri"/>
        <family val="2"/>
        <scheme val="minor"/>
      </rPr>
      <t>(programa)</t>
    </r>
  </si>
  <si>
    <t>Perfil de Cliente</t>
  </si>
  <si>
    <t>Tamaño de Empresa</t>
  </si>
  <si>
    <t>Potencia Instalación (Wp)</t>
  </si>
  <si>
    <t>Incentivo por Paneles</t>
  </si>
  <si>
    <t>Incentivo por Batería</t>
  </si>
  <si>
    <t>Incentivo por Pérgola</t>
  </si>
  <si>
    <t>Incentivo Total (€)</t>
  </si>
  <si>
    <t>Incentivo y Presupuesto Final</t>
  </si>
  <si>
    <t>Cálculo del Incentivo</t>
  </si>
  <si>
    <t>Potencia de Inversor Tipo 2</t>
  </si>
  <si>
    <t>Potencia Total</t>
  </si>
  <si>
    <t>Potencia total</t>
  </si>
  <si>
    <t>Incentivos / Ayudas</t>
  </si>
  <si>
    <t>WCCSOLAR</t>
  </si>
  <si>
    <t>nº CUPS (sólo colectivo)</t>
  </si>
  <si>
    <t>Potencia por usuario (kWp/usuario)</t>
  </si>
  <si>
    <t>SOLITEK 440 Wp</t>
  </si>
  <si>
    <t>SOLITEK - TUNGHSU</t>
  </si>
  <si>
    <t>15 años</t>
  </si>
  <si>
    <t>30 años</t>
  </si>
  <si>
    <t>Pérgola de Aluminio</t>
  </si>
  <si>
    <t>Pérgola de Acero Galvanizado</t>
  </si>
  <si>
    <t>Pérgola Bioclimática</t>
  </si>
  <si>
    <t>BIOCLIM</t>
  </si>
  <si>
    <t>Pérgola Bioclimática de Aluminio Estanca Pintada, con canalón y cableado oculto</t>
  </si>
  <si>
    <t>Módulo solar bifacial vidrio-vidrio monocristalino PERC frameless de alto rendimiento</t>
  </si>
  <si>
    <t>Valor Referencia</t>
  </si>
  <si>
    <t xml:space="preserve"> </t>
  </si>
  <si>
    <t>Total después de ayudas (€)</t>
  </si>
  <si>
    <t>Precio Final y Descuentos Aplicados</t>
  </si>
  <si>
    <t>QCELLS BLK M-G11S 405 Wp</t>
  </si>
  <si>
    <t>QCELLS</t>
  </si>
  <si>
    <t>HUAWEI BCU-PowerModule LUNA2000</t>
  </si>
  <si>
    <t>Optimizadores</t>
  </si>
  <si>
    <t>tabla_optimizadores</t>
  </si>
  <si>
    <t>Smart PV Huawei SUN2000-600W-P</t>
  </si>
  <si>
    <t>Optimizador con tecnología de seguimiernto de máxima potencia (MPPT) para asegurar que cada panel esté produciendo la máxima candidad de energía en todo momento</t>
  </si>
  <si>
    <t>Ud de optimizador</t>
  </si>
  <si>
    <r>
      <t>nº de unidades</t>
    </r>
    <r>
      <rPr>
        <sz val="12"/>
        <color rgb="FFFF0000"/>
        <rFont val="Calibri Light"/>
        <family val="2"/>
        <scheme val="major"/>
      </rPr>
      <t xml:space="preserve"> (num_opt)</t>
    </r>
  </si>
  <si>
    <r>
      <t xml:space="preserve">Modelo del Optimizador </t>
    </r>
    <r>
      <rPr>
        <sz val="12"/>
        <color rgb="FFFF0000"/>
        <rFont val="Calibri Light"/>
        <family val="2"/>
        <scheme val="major"/>
      </rPr>
      <t>(mod_opt)</t>
    </r>
  </si>
  <si>
    <t>Optimizador</t>
  </si>
  <si>
    <t>Microinversor Enphase Energy IQ8M-72-M</t>
  </si>
  <si>
    <t>ENHPASE</t>
  </si>
  <si>
    <t>Monofásico</t>
  </si>
  <si>
    <t>ALASKA</t>
  </si>
  <si>
    <t>IQ8HC-72-M-INT</t>
  </si>
  <si>
    <t>Enphase Envoy-S Mono/Tri - Metered</t>
  </si>
  <si>
    <t>Medidor Enhpase Trifásico Monitorización</t>
  </si>
  <si>
    <t>ENPHASE</t>
  </si>
  <si>
    <t>Sin Optimizador</t>
  </si>
  <si>
    <t>Módulos Fotovoltaicos</t>
  </si>
  <si>
    <t>LONGI 450 Wp</t>
  </si>
  <si>
    <t>Marca de Inversor Seleccionado (fab_inv)</t>
  </si>
  <si>
    <t>Consumo Anual (kWh/año) (demanda2)</t>
  </si>
  <si>
    <t>Datos de Contacto</t>
  </si>
  <si>
    <t>Potencia total Inversores Tipo 2 (Wp)</t>
  </si>
  <si>
    <t>MÓDULO GROWATT 5 KWh</t>
  </si>
  <si>
    <t>Validación (sólo en caso Ecovivienda)</t>
  </si>
  <si>
    <t>Consumos Mensuales (kWh/mes)</t>
  </si>
  <si>
    <t>Instalación Fotovoltaica</t>
  </si>
  <si>
    <t>Inversor Híbrido Monofásico de conexión a red con conexión a internet WLAN o Ethernet integrada.</t>
  </si>
  <si>
    <t>Inversor Híbrido Trifásico de conexión a red con conexión a internet WLAN o Ethernet integrada.</t>
  </si>
  <si>
    <t>Inversor Trifásico de conexión a red con conexión a internet WLAN o Ethernet integrada.</t>
  </si>
  <si>
    <t>Potencia de Inversor Tipo 1 (kWp)</t>
  </si>
  <si>
    <t>Potencia total de Inversores (kWp)</t>
  </si>
  <si>
    <t>Potencia total Inversores Tipo 1 (kWp)</t>
  </si>
  <si>
    <t>Producto</t>
  </si>
  <si>
    <t>JINKO</t>
  </si>
  <si>
    <t>JINKO TIGER N-TYPE 410W ALL BLACK JKM410N-63L3-B</t>
  </si>
  <si>
    <t>Tecnología</t>
  </si>
  <si>
    <t>Potencia (kW)</t>
  </si>
  <si>
    <t>Potencia del módulo</t>
  </si>
  <si>
    <t>Particulares</t>
  </si>
  <si>
    <t>Empresas</t>
  </si>
  <si>
    <t>Inversor Trifásico Híbrido de conexión a Red</t>
  </si>
  <si>
    <t>DEYE</t>
  </si>
  <si>
    <t>PYLONTECH</t>
  </si>
  <si>
    <t>PYLONTECH US5000</t>
  </si>
  <si>
    <t>Módulo de Batería Pylontech de 48V</t>
  </si>
  <si>
    <t>7 años</t>
  </si>
  <si>
    <t>Medidor Trifásico DEYE</t>
  </si>
  <si>
    <t>Medidor Trifásico DTSU DEYE</t>
  </si>
  <si>
    <t>BMS Integrada en Inversor</t>
  </si>
  <si>
    <t>BMS Integrada</t>
  </si>
  <si>
    <t>WCC</t>
  </si>
  <si>
    <r>
      <t xml:space="preserve">Referencia Catastral </t>
    </r>
    <r>
      <rPr>
        <sz val="12"/>
        <color rgb="FFFF0000"/>
        <rFont val="Calibri"/>
        <family val="2"/>
        <scheme val="minor"/>
      </rPr>
      <t>(catatro)</t>
    </r>
  </si>
  <si>
    <t>Medición</t>
  </si>
  <si>
    <t>Ecovivienda</t>
  </si>
  <si>
    <t>Módulo de Batería de 3,5 kWh</t>
  </si>
  <si>
    <t>Módulo de Batería de 10,5 kWh</t>
  </si>
  <si>
    <t>CUPS:</t>
  </si>
  <si>
    <t>ENPHASE ENCHARGE BATTERY 3T</t>
  </si>
  <si>
    <t>ENPHASE ENCHARGE BATTERY 10T</t>
  </si>
  <si>
    <r>
      <t>CUPS</t>
    </r>
    <r>
      <rPr>
        <sz val="12"/>
        <color rgb="FFFF0000"/>
        <rFont val="Calibri"/>
        <family val="2"/>
        <scheme val="minor"/>
      </rPr>
      <t xml:space="preserve"> (cups)</t>
    </r>
  </si>
  <si>
    <t>Punto de Recarga</t>
  </si>
  <si>
    <t>Cargador</t>
  </si>
  <si>
    <t>Soporte inclinado de aluminio sobre cubierta plana, incluyendo juntas de estanqueidad, con perfilería de aluminio EN AW 6005A T6 y tornillería de acero inoxidable A2-70. Soporta cargas de viento de hasta 150 km/h. Certificado ISO:9001</t>
  </si>
  <si>
    <t>Inclinada aluminio sobre cubierta plana</t>
  </si>
  <si>
    <t>Montaje FV</t>
  </si>
  <si>
    <t>Montaje Batería</t>
  </si>
  <si>
    <t>Ud de kWh</t>
  </si>
  <si>
    <t>Montaje de la Instalación Fotovoltaica</t>
  </si>
  <si>
    <t>Montaje de la Instalación de Batería</t>
  </si>
  <si>
    <t>Coste Total</t>
  </si>
  <si>
    <t>Margen</t>
  </si>
  <si>
    <t>iBAT
Coste Total (€)</t>
  </si>
  <si>
    <t>Coste Directo</t>
  </si>
  <si>
    <t>Coste Indirecto</t>
  </si>
  <si>
    <t>Opción iFV</t>
  </si>
  <si>
    <t>Opción iFVBAT</t>
  </si>
  <si>
    <t>Opción iBAT</t>
  </si>
  <si>
    <t>Tipo de Vivienda</t>
  </si>
  <si>
    <t>Ud de medidores</t>
  </si>
  <si>
    <t>Ud de instalación</t>
  </si>
  <si>
    <t>SOLO BATERÍA</t>
  </si>
  <si>
    <t>Sin IVA</t>
  </si>
  <si>
    <t>Con IVA</t>
  </si>
  <si>
    <t>Ayudas</t>
  </si>
  <si>
    <t>FV</t>
  </si>
  <si>
    <t>FVBAT</t>
  </si>
  <si>
    <t>BAT</t>
  </si>
  <si>
    <t>Presupuesto con IVA (€)</t>
  </si>
  <si>
    <t>Presupuesto con IVA después de Incentivo (€)</t>
  </si>
  <si>
    <t>UD</t>
  </si>
  <si>
    <t>Módulo</t>
  </si>
  <si>
    <t>Modelo Inversor</t>
  </si>
  <si>
    <t>HUAWEI SUN2000 2KTL L1</t>
  </si>
  <si>
    <t>HUAWEI SUN2000 3KTL L1</t>
  </si>
  <si>
    <t>HUAWEI SUN2000 4KTL L1</t>
  </si>
  <si>
    <t>HUAWEI SUN2000 5KTL L1</t>
  </si>
  <si>
    <t>HUAWEI SUN2000 6KTL L1</t>
  </si>
  <si>
    <t>HUAWEI SUN2000 3KTL M1</t>
  </si>
  <si>
    <t>HUAWEI SUN2000 4KTL M1</t>
  </si>
  <si>
    <t>HUAWEI SUN2000 5KTL M1</t>
  </si>
  <si>
    <t>HUAWEI SUN2000 6KTL M1</t>
  </si>
  <si>
    <t>Modelo Panel</t>
  </si>
  <si>
    <t>Coste
Paneles (€)</t>
  </si>
  <si>
    <t>Coste
Inversor (€)</t>
  </si>
  <si>
    <t>Coste
Medida (€)</t>
  </si>
  <si>
    <t>Coste
Estructura (€)</t>
  </si>
  <si>
    <t>Potencia Paneles (kW)</t>
  </si>
  <si>
    <t>Medidor</t>
  </si>
  <si>
    <t>Coste
Cableado (€)</t>
  </si>
  <si>
    <t>Coste de 
Montaje (€)</t>
  </si>
  <si>
    <t>HUAWEI SUN2000 8KTL M1</t>
  </si>
  <si>
    <t>HUAWEI SUN2000 10KTL M1</t>
  </si>
  <si>
    <t>HUAWEI SUN2000 12KTL M2</t>
  </si>
  <si>
    <t>HUAWEI SUN2000 15KTL M2</t>
  </si>
  <si>
    <t>HUAWEI SUN2000 17KTL M3</t>
  </si>
  <si>
    <t>HUAWEI SUN2000 20KTL M3</t>
  </si>
  <si>
    <t>HUAWEI SUN2000 25KTL M3</t>
  </si>
  <si>
    <t>HUAWEI SUN2000 30KTL M3</t>
  </si>
  <si>
    <t>HUAWEI SUN2000 35KTL M3</t>
  </si>
  <si>
    <t>HUAWEI SUN2000 40KTL M3</t>
  </si>
  <si>
    <t>HUAWEI SUN2000 50KTL M3</t>
  </si>
  <si>
    <t>HUAWEI SUN2000 60KTL M3</t>
  </si>
  <si>
    <t>HUAWEI SUN2000 100KTL M3</t>
  </si>
  <si>
    <t>Margen (€)</t>
  </si>
  <si>
    <t>Precio con IVA (€)</t>
  </si>
  <si>
    <t>HUAWEI - ECOVIVIENDA</t>
  </si>
  <si>
    <t>CEEs</t>
  </si>
  <si>
    <t>Coste indirecto (€)</t>
  </si>
  <si>
    <t>IVA (€)</t>
  </si>
  <si>
    <t>Coste
directo (€)</t>
  </si>
  <si>
    <t>Coste
total (€)</t>
  </si>
  <si>
    <t>Tarifa 2023.10</t>
  </si>
  <si>
    <t>Precios con todo incluído, salvo coste de Tasas/ICIO de Licencia de Obra.</t>
  </si>
  <si>
    <t>Sólo Batería</t>
  </si>
  <si>
    <t>revisar</t>
  </si>
  <si>
    <t>BackupBox Toscano</t>
  </si>
  <si>
    <r>
      <t>Puntos de dto. Sobre margen (%)</t>
    </r>
    <r>
      <rPr>
        <sz val="12"/>
        <color rgb="FFFF0000"/>
        <rFont val="Calibri Light"/>
        <family val="2"/>
        <scheme val="major"/>
      </rPr>
      <t xml:space="preserve"> (descuento)</t>
    </r>
  </si>
  <si>
    <t>LONGI 4Hi-MO6 LR5-54HTB 440W (FullBlack)</t>
  </si>
  <si>
    <t>BETSOLAR</t>
  </si>
  <si>
    <r>
      <t>Tasas</t>
    </r>
    <r>
      <rPr>
        <sz val="12"/>
        <color rgb="FFFF0000"/>
        <rFont val="Calibri Light"/>
        <family val="2"/>
        <scheme val="major"/>
      </rPr>
      <t xml:space="preserve"> (licencia)</t>
    </r>
  </si>
  <si>
    <t>Consumo Total Anual (kWh/año)</t>
  </si>
  <si>
    <t>Precio sin IVA</t>
  </si>
  <si>
    <t>Margen del Comercial</t>
  </si>
  <si>
    <t>Margen Neto de Venta</t>
  </si>
  <si>
    <t>Margen Final Solay</t>
  </si>
  <si>
    <t>Comercial:</t>
  </si>
  <si>
    <t>Margen del Comercial:</t>
  </si>
  <si>
    <t>JINKO SOLAR TIGER NEO N-TYPE 60HL4-V 470</t>
  </si>
  <si>
    <t>MICROINVERSORES - ECOVIVIENDA</t>
  </si>
  <si>
    <t>Tarifa 2023.11</t>
  </si>
  <si>
    <t>Total con Ayudas</t>
  </si>
  <si>
    <t>Ratio (€/Wp)</t>
  </si>
  <si>
    <t>Potencia (kWp)</t>
  </si>
  <si>
    <t>LONGI LR5-72HTD 550-570 (HiMO6) 570 Wp</t>
  </si>
  <si>
    <t>Autoconsumo Individual</t>
  </si>
  <si>
    <t>Cálculo Estimado de Tasas e ICIO</t>
  </si>
  <si>
    <t>Presupuesto neto</t>
  </si>
  <si>
    <t>Gastos Generales (13%)</t>
  </si>
  <si>
    <t>Beneficio Industrial (6%)</t>
  </si>
  <si>
    <t>PEM</t>
  </si>
  <si>
    <t>Coste Licencia, tasas + ICIO (€)</t>
  </si>
  <si>
    <t>Porcentaje Licencia, tasas + ICIO (%)</t>
  </si>
  <si>
    <t>Margen Neto (€)</t>
  </si>
  <si>
    <t>Uds.</t>
  </si>
  <si>
    <t>Precio Ud.</t>
  </si>
  <si>
    <t>Importe (€)</t>
  </si>
  <si>
    <t>Total con IVA:</t>
  </si>
  <si>
    <t>SOLAY INGENIEROS, S.L.</t>
  </si>
  <si>
    <t>B09848912</t>
  </si>
  <si>
    <t>info@solay.es</t>
  </si>
  <si>
    <t>www.solay.es</t>
  </si>
  <si>
    <t>954 664 252</t>
  </si>
  <si>
    <t>Paseo de Bollullos de la Mitación 18</t>
  </si>
  <si>
    <t>4110, Bollullos de la Mitación, Sevilla</t>
  </si>
  <si>
    <t>PRESUPUESTO DE VENTA</t>
  </si>
  <si>
    <t>Datos del Presupuesto de Venta</t>
  </si>
  <si>
    <t>Datos del Cliente</t>
  </si>
  <si>
    <t>Base Imponible:</t>
  </si>
  <si>
    <t>IVA (21,00 %):</t>
  </si>
  <si>
    <t>Servicios Adicionales Incluídos</t>
  </si>
  <si>
    <r>
      <rPr>
        <b/>
        <sz val="14"/>
        <color theme="1" tint="0.249977111117893"/>
        <rFont val="Calibri"/>
        <family val="2"/>
        <scheme val="minor"/>
      </rPr>
      <t xml:space="preserve">SOLAY </t>
    </r>
    <r>
      <rPr>
        <sz val="14"/>
        <color theme="1" tint="0.249977111117893"/>
        <rFont val="Calibri"/>
        <family val="2"/>
        <scheme val="minor"/>
      </rPr>
      <t xml:space="preserve">es marca registrada de </t>
    </r>
    <r>
      <rPr>
        <b/>
        <sz val="14"/>
        <color theme="1" tint="0.249977111117893"/>
        <rFont val="Calibri"/>
        <family val="2"/>
        <scheme val="minor"/>
      </rPr>
      <t>SOLAY INGENIEROS, S,L.</t>
    </r>
    <r>
      <rPr>
        <sz val="14"/>
        <color theme="1" tint="0.249977111117893"/>
        <rFont val="Calibri"/>
        <family val="2"/>
        <scheme val="minor"/>
      </rPr>
      <t xml:space="preserve"> Inscrita en el Registro Mercantil de Sevilla CIF: B09.848.912</t>
    </r>
  </si>
  <si>
    <t>Presupuesto sin IVA (€)</t>
  </si>
  <si>
    <t>Cálculo</t>
  </si>
  <si>
    <t>Perfil</t>
  </si>
  <si>
    <t>Incentivo (€)</t>
  </si>
  <si>
    <t>DYNESS</t>
  </si>
  <si>
    <t>Módulo de Batería Dyness de 48V</t>
  </si>
  <si>
    <t>DYNESS 3,6 kW 48V</t>
  </si>
  <si>
    <t>Nombre del Usuario</t>
  </si>
  <si>
    <t>Empresa (tamaño)</t>
  </si>
  <si>
    <t>tabla_costes_indirecto</t>
  </si>
  <si>
    <t>Adicionales y Opcionales</t>
  </si>
  <si>
    <t>Certificados Energéticos CEEs</t>
  </si>
  <si>
    <t>Excluídas</t>
  </si>
  <si>
    <t>JA SOLAR JAM72S30 545 Wp</t>
  </si>
  <si>
    <t>JINKO SOLAR TIGER PRO P-TYPE 550</t>
  </si>
  <si>
    <t>DEYE HYBRID SUN 6 KW</t>
  </si>
  <si>
    <t>DEYE HYBRID SUN 5 kW 48V</t>
  </si>
  <si>
    <t>Inversor Monofásico Híbrido de Conexión a Red</t>
  </si>
  <si>
    <t>Medidor Monofásico DTSU DEYE</t>
  </si>
  <si>
    <t>Medidor Monofásico DEYE</t>
  </si>
  <si>
    <t>DYNESS 2,4 kW 48V</t>
  </si>
  <si>
    <t>10  años</t>
  </si>
  <si>
    <t>DYNESS 5,1 kW 48V</t>
  </si>
  <si>
    <t xml:space="preserve">FOX-EXX 6KW </t>
  </si>
  <si>
    <t>Inversor Monofásico de Conexión a Red</t>
  </si>
  <si>
    <t>FOX</t>
  </si>
  <si>
    <t>Medidor Monofásico FOX-ESS</t>
  </si>
  <si>
    <t>Medidor Monofásico FOX</t>
  </si>
  <si>
    <t>DEYE HYBRID SUN 10 KW</t>
  </si>
  <si>
    <t>DEYE HYBRID SUN 8 kW 48V</t>
  </si>
  <si>
    <t>N/A</t>
  </si>
  <si>
    <t>Potencia
(Wp)</t>
  </si>
  <si>
    <t>Coste Neto
(€/Ud de módulo)</t>
  </si>
  <si>
    <t>Ratio
(€/Wp)</t>
  </si>
  <si>
    <t>HUAWEI SUN2000 8KTL LC0</t>
  </si>
  <si>
    <t>HUAWEI SUN2000 10KTL LC0</t>
  </si>
  <si>
    <t>Total (con IVA y Tasas)</t>
  </si>
  <si>
    <r>
      <t xml:space="preserve">IVA Aplicable </t>
    </r>
    <r>
      <rPr>
        <sz val="12"/>
        <color rgb="FFFF0000"/>
        <rFont val="Calibri"/>
        <family val="2"/>
        <scheme val="minor"/>
      </rPr>
      <t>(IVA)</t>
    </r>
  </si>
  <si>
    <t>herrera</t>
  </si>
  <si>
    <t>Gestión completa para el cobro de las ayudas e incentivos públicos</t>
  </si>
  <si>
    <t>Gestión completa para la bonificación del IBI y el cobro del mismo</t>
  </si>
  <si>
    <t>Legalización de la Instalación en Industria</t>
  </si>
  <si>
    <t>Servicio de postventa</t>
  </si>
  <si>
    <t>Asesoramiento Energético realizado por nuestros ingenieros, sobre tarifas eléctricsa, precios, etc</t>
  </si>
  <si>
    <t>Ref:</t>
  </si>
  <si>
    <t>LONGI LR5-72HBD 550M G2 HiMO5 Bifacial Double Glass</t>
  </si>
  <si>
    <t>Módulo solar monocristalino PERC Bifacial</t>
  </si>
  <si>
    <t>AIKO</t>
  </si>
  <si>
    <t>Módulo solar N-Type</t>
  </si>
  <si>
    <t>AIKO N-TYPE ABC A-MAH72MW 600W</t>
  </si>
  <si>
    <t>AIKO N-TYPE ABC A-MAH72MW 605W</t>
  </si>
  <si>
    <t>AIKO N-TYPE ABC A-MAH72MW 610W</t>
  </si>
  <si>
    <t>Según Curvas Tipo</t>
  </si>
  <si>
    <t>JA SOLAR JAM72D40-575/GB 575 Wp</t>
  </si>
  <si>
    <t>Trifásica</t>
  </si>
  <si>
    <t>Sinayuda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</si>
</sst>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€&quot;_-;\-* #,##0.00\ &quot;€&quot;_-;_-* &quot;-&quot;??\ &quot;€&quot;_-;_-@_-"/>
    <numFmt numFmtId="164" formatCode="#,##0\ &quot;€&quot;"/>
    <numFmt numFmtId="165" formatCode="#,##0.00\ &quot;€&quot;"/>
    <numFmt numFmtId="166" formatCode="0.0%"/>
    <numFmt numFmtId="167" formatCode="0.0000"/>
    <numFmt numFmtId="168" formatCode="#,##0&quot; €/mes&quot;"/>
    <numFmt numFmtId="169" formatCode="0.000"/>
    <numFmt numFmtId="170" formatCode="0.000000"/>
    <numFmt numFmtId="171" formatCode="#,##0&quot;   kWh/año&quot;"/>
    <numFmt numFmtId="172" formatCode="#,##0&quot; kWh/mes&quot;"/>
    <numFmt numFmtId="173" formatCode="0;0;;@"/>
    <numFmt numFmtId="174" formatCode="0.00000"/>
    <numFmt numFmtId="175" formatCode="#,##0.000"/>
    <numFmt numFmtId="176" formatCode="#,###\ \W"/>
  </numFmts>
  <fonts count="1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sz val="12"/>
      <color theme="1" tint="0.249977111117893"/>
      <name val="Calibri Light"/>
      <family val="2"/>
      <scheme val="major"/>
    </font>
    <font>
      <b/>
      <sz val="16"/>
      <color theme="0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11"/>
      <color theme="1" tint="0.249977111117893"/>
      <name val="Calibri Light"/>
      <family val="2"/>
      <scheme val="major"/>
    </font>
    <font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D1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sz val="16"/>
      <color theme="1"/>
      <name val="Calibri Light"/>
      <family val="2"/>
      <scheme val="major"/>
    </font>
    <font>
      <sz val="20"/>
      <color theme="1" tint="0.249977111117893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 tint="0.249977111117893"/>
      <name val="Calibri"/>
      <family val="2"/>
      <scheme val="minor"/>
    </font>
    <font>
      <sz val="20"/>
      <color theme="1" tint="0.249977111117893"/>
      <name val="Calibri Light"/>
      <family val="2"/>
      <scheme val="major"/>
    </font>
    <font>
      <sz val="28"/>
      <color theme="1" tint="0.249977111117893"/>
      <name val="Calibri Light"/>
      <family val="2"/>
      <scheme val="major"/>
    </font>
    <font>
      <b/>
      <sz val="24"/>
      <color theme="0"/>
      <name val="Calibri"/>
      <family val="2"/>
      <scheme val="minor"/>
    </font>
    <font>
      <b/>
      <sz val="48"/>
      <color theme="1" tint="0.249977111117893"/>
      <name val="Calibri"/>
      <family val="2"/>
      <scheme val="minor"/>
    </font>
    <font>
      <sz val="48"/>
      <color theme="1" tint="0.249977111117893"/>
      <name val="Calibri Light"/>
      <family val="2"/>
      <scheme val="major"/>
    </font>
    <font>
      <sz val="28"/>
      <color theme="1"/>
      <name val="Calibri Light"/>
      <family val="2"/>
      <scheme val="major"/>
    </font>
    <font>
      <b/>
      <sz val="28"/>
      <color rgb="FF92D050"/>
      <name val="Calibri"/>
      <family val="2"/>
      <scheme val="minor"/>
    </font>
    <font>
      <sz val="16"/>
      <color theme="1" tint="0.249977111117893"/>
      <name val="Calibri"/>
      <family val="2"/>
      <scheme val="minor"/>
    </font>
    <font>
      <sz val="12"/>
      <color rgb="FFFF0000"/>
      <name val="Calibri Light"/>
      <family val="2"/>
      <scheme val="major"/>
    </font>
    <font>
      <sz val="12"/>
      <color rgb="FF92D050"/>
      <name val="Calibri"/>
      <family val="2"/>
      <scheme val="minor"/>
    </font>
    <font>
      <sz val="12"/>
      <color rgb="FF92D050"/>
      <name val="Calibri Light"/>
      <family val="2"/>
      <scheme val="major"/>
    </font>
    <font>
      <b/>
      <sz val="12"/>
      <color rgb="FF92D05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20"/>
      <color rgb="FFFFC000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24"/>
      <color rgb="FF92D05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249977111117893"/>
      <name val="Calibri Light"/>
      <family val="2"/>
      <scheme val="major"/>
    </font>
    <font>
      <b/>
      <sz val="48"/>
      <color rgb="FF00B0F0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14"/>
      <color theme="1" tint="0.249977111117893"/>
      <name val="Calibri Light"/>
      <family val="2"/>
      <scheme val="major"/>
    </font>
    <font>
      <b/>
      <sz val="14"/>
      <color theme="1" tint="0.249977111117893"/>
      <name val="Calibri Light"/>
      <family val="2"/>
      <scheme val="major"/>
    </font>
    <font>
      <sz val="14"/>
      <name val="Calibri"/>
      <family val="2"/>
      <scheme val="minor"/>
    </font>
    <font>
      <sz val="14"/>
      <name val="Calibri Light"/>
      <family val="2"/>
      <scheme val="major"/>
    </font>
    <font>
      <b/>
      <sz val="18"/>
      <color rgb="FFFF3B3B"/>
      <name val="Calibri"/>
      <family val="2"/>
      <scheme val="minor"/>
    </font>
    <font>
      <b/>
      <sz val="18"/>
      <color rgb="FFFF33CC"/>
      <name val="Calibri"/>
      <family val="2"/>
      <scheme val="minor"/>
    </font>
    <font>
      <b/>
      <sz val="18"/>
      <color rgb="FF30F030"/>
      <name val="Calibri"/>
      <family val="2"/>
      <scheme val="minor"/>
    </font>
    <font>
      <sz val="18"/>
      <color theme="1" tint="0.249977111117893"/>
      <name val="Calibri Light"/>
      <family val="2"/>
      <scheme val="major"/>
    </font>
    <font>
      <sz val="12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theme="1" tint="0.249977111117893"/>
      <name val="Calibri Light"/>
      <family val="2"/>
      <scheme val="major"/>
    </font>
    <font>
      <b/>
      <sz val="16"/>
      <color rgb="FFFFC000"/>
      <name val="Calibri"/>
      <family val="2"/>
      <scheme val="minor"/>
    </font>
    <font>
      <sz val="12"/>
      <color rgb="FF00B0F0"/>
      <name val="Calibri Light"/>
      <family val="2"/>
      <scheme val="major"/>
    </font>
    <font>
      <b/>
      <sz val="12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2"/>
      <color theme="1"/>
      <name val="Calibri Light"/>
      <family val="2"/>
      <scheme val="major"/>
    </font>
    <font>
      <sz val="16"/>
      <color theme="1" tint="0.249977111117893"/>
      <name val="Calibri Light"/>
      <family val="2"/>
      <scheme val="major"/>
    </font>
    <font>
      <b/>
      <sz val="24"/>
      <color theme="1" tint="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2"/>
      <color theme="0"/>
      <name val="Segoe UI Black"/>
      <family val="2"/>
    </font>
    <font>
      <b/>
      <sz val="20"/>
      <color theme="0"/>
      <name val="Segoe UI"/>
      <family val="2"/>
    </font>
    <font>
      <b/>
      <sz val="14"/>
      <color rgb="FF10B420"/>
      <name val="Arial"/>
      <family val="2"/>
    </font>
    <font>
      <b/>
      <sz val="22"/>
      <color theme="0"/>
      <name val="Arial Black"/>
      <family val="2"/>
    </font>
    <font>
      <sz val="10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474747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1"/>
      <name val="Consolas"/>
      <family val="3"/>
    </font>
    <font>
      <sz val="10"/>
      <name val="Consolas"/>
      <family val="3"/>
    </font>
    <font>
      <b/>
      <u/>
      <sz val="10"/>
      <name val="Consolas"/>
      <family val="3"/>
    </font>
    <font>
      <b/>
      <sz val="10"/>
      <name val="Consolas"/>
      <family val="3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0"/>
      <color rgb="FF474747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6"/>
      <name val="Calibri"/>
      <family val="2"/>
      <scheme val="minor"/>
    </font>
    <font>
      <sz val="12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20"/>
      <color theme="1" tint="0.249977111117893"/>
      <name val="Segoe UI"/>
      <family val="2"/>
    </font>
    <font>
      <b/>
      <sz val="28"/>
      <color theme="1" tint="0.249977111117893"/>
      <name val="Segoe UI"/>
      <family val="2"/>
    </font>
    <font>
      <b/>
      <sz val="12"/>
      <name val="Calibri "/>
    </font>
    <font>
      <sz val="20"/>
      <color rgb="FF000000"/>
      <name val="Calibri Light"/>
      <family val="2"/>
      <scheme val="major"/>
    </font>
    <font>
      <b/>
      <sz val="12"/>
      <color theme="1" tint="0.249977111117893"/>
      <name val="Arial"/>
      <family val="2"/>
    </font>
    <font>
      <sz val="10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12"/>
      <color theme="1" tint="0.249977111117893"/>
      <name val="Arial"/>
      <family val="2"/>
    </font>
    <font>
      <sz val="14"/>
      <color theme="1" tint="0.249977111117893"/>
      <name val="Calibri"/>
      <family val="2"/>
      <scheme val="minor"/>
    </font>
    <font>
      <sz val="16"/>
      <color rgb="FF000000"/>
      <name val="Calibri Light"/>
      <family val="2"/>
      <scheme val="major"/>
    </font>
    <font>
      <sz val="16"/>
      <name val="Calibri Light"/>
      <family val="2"/>
      <scheme val="major"/>
    </font>
    <font>
      <b/>
      <sz val="16"/>
      <name val="Calibri "/>
    </font>
    <font>
      <b/>
      <sz val="2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A81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2115C1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3B3B"/>
        <bgColor indexed="64"/>
      </patternFill>
    </fill>
    <fill>
      <gradientFill>
        <stop position="0">
          <color rgb="FFFFD100"/>
        </stop>
        <stop position="1">
          <color theme="0"/>
        </stop>
      </gradientFill>
    </fill>
    <fill>
      <gradientFill>
        <stop position="0">
          <color rgb="FFFF0000"/>
        </stop>
        <stop position="1">
          <color theme="0"/>
        </stop>
      </gradientFill>
    </fill>
    <fill>
      <gradientFill>
        <stop position="0">
          <color rgb="FF30F030"/>
        </stop>
        <stop position="1">
          <color theme="0"/>
        </stop>
      </gradientFill>
    </fill>
    <fill>
      <gradientFill>
        <stop position="0">
          <color rgb="FFFF33CC"/>
        </stop>
        <stop position="1">
          <color theme="0"/>
        </stop>
      </gradientFill>
    </fill>
    <fill>
      <gradientFill>
        <stop position="0">
          <color rgb="FF00B0F0"/>
        </stop>
        <stop position="1">
          <color theme="0"/>
        </stop>
      </gradientFill>
    </fill>
  </fills>
  <borders count="3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dotted">
        <color theme="1" tint="0.24994659260841701"/>
      </bottom>
      <diagonal/>
    </border>
    <border>
      <left/>
      <right/>
      <top style="dotted">
        <color theme="1" tint="0.24994659260841701"/>
      </top>
      <bottom style="dotted">
        <color theme="1" tint="0.24994659260841701"/>
      </bottom>
      <diagonal/>
    </border>
    <border>
      <left/>
      <right/>
      <top style="dotted">
        <color theme="1" tint="0.24994659260841701"/>
      </top>
      <bottom style="hair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C000"/>
      </bottom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rgb="FFFE9900"/>
      </bottom>
      <diagonal/>
    </border>
    <border>
      <left/>
      <right/>
      <top style="thick">
        <color rgb="FFFFC000"/>
      </top>
      <bottom style="hair">
        <color indexed="64"/>
      </bottom>
      <diagonal/>
    </border>
    <border>
      <left/>
      <right/>
      <top/>
      <bottom style="medium">
        <color rgb="FFFE9900"/>
      </bottom>
      <diagonal/>
    </border>
  </borders>
  <cellStyleXfs count="3">
    <xf numFmtId="0" fontId="0" fillId="0" borderId="0"/>
    <xf numFmtId="44" fontId="75" fillId="0" borderId="0" applyFont="0" applyFill="0" applyBorder="0" applyAlignment="0" applyProtection="0"/>
    <xf numFmtId="44" fontId="90" fillId="0" borderId="0" applyFont="0" applyFill="0" applyBorder="0" applyAlignment="0" applyProtection="0"/>
  </cellStyleXfs>
  <cellXfs count="47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3" fontId="14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10" fontId="14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4" fontId="11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left" vertical="top" wrapText="1"/>
    </xf>
    <xf numFmtId="164" fontId="17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 indent="4"/>
    </xf>
    <xf numFmtId="0" fontId="21" fillId="11" borderId="0" xfId="0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 indent="4"/>
    </xf>
    <xf numFmtId="0" fontId="12" fillId="0" borderId="0" xfId="0" applyFont="1" applyAlignment="1">
      <alignment horizontal="left" vertical="center" wrapText="1" indent="6"/>
    </xf>
    <xf numFmtId="10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69" fontId="6" fillId="3" borderId="0" xfId="0" applyNumberFormat="1" applyFont="1" applyFill="1" applyAlignment="1">
      <alignment horizontal="left" vertical="center"/>
    </xf>
    <xf numFmtId="0" fontId="9" fillId="11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3" borderId="5" xfId="0" applyFont="1" applyFill="1" applyBorder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65" fontId="12" fillId="0" borderId="6" xfId="0" applyNumberFormat="1" applyFont="1" applyBorder="1" applyAlignment="1">
      <alignment horizontal="left" vertical="center" wrapText="1"/>
    </xf>
    <xf numFmtId="14" fontId="12" fillId="0" borderId="0" xfId="0" applyNumberFormat="1" applyFont="1" applyAlignment="1">
      <alignment vertical="center" wrapText="1"/>
    </xf>
    <xf numFmtId="0" fontId="12" fillId="0" borderId="10" xfId="0" applyFont="1" applyBorder="1" applyAlignment="1">
      <alignment horizontal="left" vertical="center" wrapText="1"/>
    </xf>
    <xf numFmtId="165" fontId="12" fillId="0" borderId="8" xfId="0" applyNumberFormat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165" fontId="12" fillId="0" borderId="12" xfId="0" applyNumberFormat="1" applyFont="1" applyBorder="1" applyAlignment="1">
      <alignment horizontal="left" vertical="center" wrapText="1"/>
    </xf>
    <xf numFmtId="0" fontId="12" fillId="0" borderId="13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165" fontId="12" fillId="0" borderId="14" xfId="0" applyNumberFormat="1" applyFont="1" applyBorder="1" applyAlignment="1">
      <alignment horizontal="left" vertical="center" wrapText="1"/>
    </xf>
    <xf numFmtId="0" fontId="12" fillId="0" borderId="15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165" fontId="12" fillId="0" borderId="17" xfId="0" applyNumberFormat="1" applyFont="1" applyBorder="1" applyAlignment="1">
      <alignment horizontal="left" vertical="center" wrapText="1"/>
    </xf>
    <xf numFmtId="2" fontId="11" fillId="3" borderId="0" xfId="0" applyNumberFormat="1" applyFont="1" applyFill="1" applyAlignment="1">
      <alignment horizontal="left" vertical="center" wrapText="1"/>
    </xf>
    <xf numFmtId="1" fontId="12" fillId="0" borderId="13" xfId="0" applyNumberFormat="1" applyFont="1" applyBorder="1" applyAlignment="1">
      <alignment horizontal="left" vertical="center" wrapText="1"/>
    </xf>
    <xf numFmtId="1" fontId="12" fillId="0" borderId="2" xfId="0" applyNumberFormat="1" applyFont="1" applyBorder="1" applyAlignment="1">
      <alignment horizontal="left" vertical="center" wrapText="1"/>
    </xf>
    <xf numFmtId="3" fontId="12" fillId="0" borderId="2" xfId="0" applyNumberFormat="1" applyFont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wrapText="1"/>
    </xf>
    <xf numFmtId="164" fontId="12" fillId="0" borderId="14" xfId="0" applyNumberFormat="1" applyFont="1" applyBorder="1" applyAlignment="1">
      <alignment horizontal="left" vertical="center" wrapText="1"/>
    </xf>
    <xf numFmtId="1" fontId="12" fillId="0" borderId="15" xfId="0" applyNumberFormat="1" applyFont="1" applyBorder="1" applyAlignment="1">
      <alignment horizontal="left" vertical="center" wrapText="1"/>
    </xf>
    <xf numFmtId="1" fontId="12" fillId="0" borderId="16" xfId="0" applyNumberFormat="1" applyFont="1" applyBorder="1" applyAlignment="1">
      <alignment horizontal="left" vertical="center" wrapText="1"/>
    </xf>
    <xf numFmtId="3" fontId="12" fillId="0" borderId="16" xfId="0" applyNumberFormat="1" applyFont="1" applyBorder="1" applyAlignment="1">
      <alignment horizontal="left" vertical="center" wrapText="1"/>
    </xf>
    <xf numFmtId="164" fontId="12" fillId="0" borderId="17" xfId="0" applyNumberFormat="1" applyFont="1" applyBorder="1" applyAlignment="1">
      <alignment horizontal="left" vertical="center" wrapText="1"/>
    </xf>
    <xf numFmtId="2" fontId="11" fillId="3" borderId="18" xfId="0" applyNumberFormat="1" applyFont="1" applyFill="1" applyBorder="1" applyAlignment="1">
      <alignment horizontal="left" vertical="center" wrapText="1"/>
    </xf>
    <xf numFmtId="2" fontId="11" fillId="3" borderId="19" xfId="0" applyNumberFormat="1" applyFont="1" applyFill="1" applyBorder="1" applyAlignment="1">
      <alignment horizontal="left" vertical="center" wrapText="1"/>
    </xf>
    <xf numFmtId="2" fontId="11" fillId="3" borderId="20" xfId="0" applyNumberFormat="1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/>
    </xf>
    <xf numFmtId="10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left" vertical="center"/>
    </xf>
    <xf numFmtId="0" fontId="19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 wrapText="1" indent="2"/>
    </xf>
    <xf numFmtId="0" fontId="5" fillId="7" borderId="0" xfId="0" applyFont="1" applyFill="1" applyAlignment="1">
      <alignment horizontal="left" vertical="center" wrapText="1" indent="2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/>
    <xf numFmtId="0" fontId="6" fillId="0" borderId="0" xfId="0" applyFont="1"/>
    <xf numFmtId="0" fontId="16" fillId="11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 wrapText="1"/>
    </xf>
    <xf numFmtId="10" fontId="14" fillId="2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left" vertical="center" wrapText="1"/>
    </xf>
    <xf numFmtId="0" fontId="16" fillId="13" borderId="0" xfId="0" applyFont="1" applyFill="1" applyAlignment="1">
      <alignment vertical="center"/>
    </xf>
    <xf numFmtId="0" fontId="7" fillId="13" borderId="0" xfId="0" applyFont="1" applyFill="1" applyAlignment="1">
      <alignment horizontal="left" vertical="center" wrapText="1"/>
    </xf>
    <xf numFmtId="10" fontId="15" fillId="2" borderId="0" xfId="0" applyNumberFormat="1" applyFont="1" applyFill="1" applyAlignment="1">
      <alignment horizontal="center" vertical="center" wrapText="1"/>
    </xf>
    <xf numFmtId="165" fontId="12" fillId="0" borderId="1" xfId="0" applyNumberFormat="1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165" fontId="12" fillId="0" borderId="2" xfId="0" applyNumberFormat="1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0" fontId="23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" fontId="12" fillId="0" borderId="1" xfId="0" applyNumberFormat="1" applyFont="1" applyBorder="1" applyAlignment="1">
      <alignment horizontal="left" vertical="center" wrapText="1"/>
    </xf>
    <xf numFmtId="0" fontId="23" fillId="14" borderId="0" xfId="0" applyFont="1" applyFill="1" applyAlignment="1">
      <alignment vertical="center"/>
    </xf>
    <xf numFmtId="0" fontId="23" fillId="15" borderId="0" xfId="0" applyFont="1" applyFill="1" applyAlignment="1">
      <alignment vertical="center"/>
    </xf>
    <xf numFmtId="0" fontId="23" fillId="8" borderId="0" xfId="0" applyFont="1" applyFill="1" applyAlignment="1">
      <alignment vertical="center"/>
    </xf>
    <xf numFmtId="9" fontId="12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3" fillId="16" borderId="0" xfId="0" applyFont="1" applyFill="1" applyAlignment="1">
      <alignment vertical="center"/>
    </xf>
    <xf numFmtId="3" fontId="11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4" fontId="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166" fontId="6" fillId="0" borderId="0" xfId="0" applyNumberFormat="1" applyFont="1" applyAlignment="1">
      <alignment horizontal="left" vertical="center" wrapText="1"/>
    </xf>
    <xf numFmtId="170" fontId="6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0" fontId="6" fillId="0" borderId="0" xfId="0" applyNumberFormat="1" applyFont="1" applyAlignment="1">
      <alignment horizontal="left" vertical="center" wrapText="1"/>
    </xf>
    <xf numFmtId="0" fontId="23" fillId="13" borderId="0" xfId="0" applyFont="1" applyFill="1" applyAlignment="1">
      <alignment horizontal="center" vertical="center" wrapText="1"/>
    </xf>
    <xf numFmtId="165" fontId="13" fillId="0" borderId="2" xfId="0" applyNumberFormat="1" applyFont="1" applyBorder="1" applyAlignment="1">
      <alignment horizontal="left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3" fontId="12" fillId="10" borderId="0" xfId="0" applyNumberFormat="1" applyFont="1" applyFill="1" applyAlignment="1">
      <alignment horizontal="center" vertical="center"/>
    </xf>
    <xf numFmtId="9" fontId="15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wrapText="1"/>
    </xf>
    <xf numFmtId="10" fontId="6" fillId="17" borderId="0" xfId="0" applyNumberFormat="1" applyFont="1" applyFill="1" applyAlignment="1">
      <alignment horizontal="left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9" fillId="19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27" fillId="0" borderId="0" xfId="0" applyFont="1"/>
    <xf numFmtId="0" fontId="9" fillId="4" borderId="0" xfId="0" applyFont="1" applyFill="1" applyAlignment="1">
      <alignment horizontal="center" vertical="center"/>
    </xf>
    <xf numFmtId="0" fontId="4" fillId="0" borderId="0" xfId="0" applyFont="1"/>
    <xf numFmtId="0" fontId="26" fillId="3" borderId="0" xfId="0" applyFont="1" applyFill="1" applyAlignment="1">
      <alignment horizontal="center" vertical="center" wrapText="1"/>
    </xf>
    <xf numFmtId="0" fontId="31" fillId="9" borderId="0" xfId="0" applyFont="1" applyFill="1" applyAlignment="1">
      <alignment horizontal="center" vertical="center" wrapText="1"/>
    </xf>
    <xf numFmtId="0" fontId="31" fillId="20" borderId="0" xfId="0" applyFont="1" applyFill="1" applyAlignment="1">
      <alignment horizontal="center" vertical="center" wrapText="1"/>
    </xf>
    <xf numFmtId="0" fontId="31" fillId="6" borderId="0" xfId="0" applyFont="1" applyFill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left" vertical="center" wrapText="1"/>
    </xf>
    <xf numFmtId="0" fontId="30" fillId="0" borderId="22" xfId="0" applyFont="1" applyBorder="1" applyAlignment="1">
      <alignment horizontal="center" vertical="center" wrapText="1"/>
    </xf>
    <xf numFmtId="3" fontId="30" fillId="0" borderId="22" xfId="0" applyNumberFormat="1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3" fontId="30" fillId="0" borderId="23" xfId="0" applyNumberFormat="1" applyFont="1" applyBorder="1" applyAlignment="1">
      <alignment horizontal="center" vertical="center" wrapText="1"/>
    </xf>
    <xf numFmtId="10" fontId="30" fillId="0" borderId="23" xfId="0" applyNumberFormat="1" applyFont="1" applyBorder="1" applyAlignment="1">
      <alignment horizontal="center" vertical="center" wrapText="1"/>
    </xf>
    <xf numFmtId="166" fontId="30" fillId="0" borderId="22" xfId="0" applyNumberFormat="1" applyFont="1" applyBorder="1" applyAlignment="1">
      <alignment horizontal="center" vertical="center" wrapText="1"/>
    </xf>
    <xf numFmtId="166" fontId="30" fillId="0" borderId="23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164" fontId="34" fillId="0" borderId="2" xfId="0" applyNumberFormat="1" applyFont="1" applyBorder="1" applyAlignment="1">
      <alignment horizontal="center" vertical="center" wrapText="1"/>
    </xf>
    <xf numFmtId="164" fontId="30" fillId="0" borderId="2" xfId="0" applyNumberFormat="1" applyFont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164" fontId="35" fillId="0" borderId="2" xfId="0" applyNumberFormat="1" applyFont="1" applyBorder="1" applyAlignment="1">
      <alignment horizontal="center" vertical="center" wrapText="1"/>
    </xf>
    <xf numFmtId="164" fontId="35" fillId="10" borderId="2" xfId="0" applyNumberFormat="1" applyFont="1" applyFill="1" applyBorder="1" applyAlignment="1">
      <alignment horizontal="center" vertical="center" wrapText="1"/>
    </xf>
    <xf numFmtId="164" fontId="28" fillId="0" borderId="2" xfId="0" applyNumberFormat="1" applyFont="1" applyBorder="1" applyAlignment="1">
      <alignment horizontal="center" vertical="center" wrapText="1"/>
    </xf>
    <xf numFmtId="0" fontId="31" fillId="5" borderId="0" xfId="0" applyFont="1" applyFill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11" fillId="3" borderId="0" xfId="0" applyFont="1" applyFill="1" applyAlignment="1" applyProtection="1">
      <alignment vertical="center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3" borderId="0" xfId="0" applyFont="1" applyFill="1" applyAlignment="1" applyProtection="1">
      <alignment horizontal="left" vertical="center"/>
      <protection locked="0"/>
    </xf>
    <xf numFmtId="0" fontId="36" fillId="0" borderId="0" xfId="0" applyFont="1" applyAlignment="1" applyProtection="1">
      <alignment vertical="center"/>
      <protection locked="0"/>
    </xf>
    <xf numFmtId="0" fontId="24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4"/>
    </xf>
    <xf numFmtId="3" fontId="11" fillId="3" borderId="0" xfId="0" applyNumberFormat="1" applyFont="1" applyFill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3" fontId="12" fillId="0" borderId="0" xfId="0" applyNumberFormat="1" applyFont="1" applyAlignment="1">
      <alignment horizontal="left" vertical="center"/>
    </xf>
    <xf numFmtId="172" fontId="11" fillId="3" borderId="0" xfId="0" applyNumberFormat="1" applyFont="1" applyFill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 indent="2"/>
    </xf>
    <xf numFmtId="0" fontId="13" fillId="0" borderId="0" xfId="0" applyFont="1" applyAlignment="1" applyProtection="1">
      <alignment vertical="center"/>
      <protection locked="0"/>
    </xf>
    <xf numFmtId="0" fontId="39" fillId="0" borderId="0" xfId="0" applyFont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43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42" fillId="3" borderId="0" xfId="0" applyFont="1" applyFill="1" applyAlignment="1">
      <alignment horizontal="center" vertical="center" wrapText="1"/>
    </xf>
    <xf numFmtId="0" fontId="43" fillId="3" borderId="0" xfId="0" applyFont="1" applyFill="1" applyAlignment="1">
      <alignment horizontal="center" vertical="center" wrapText="1"/>
    </xf>
    <xf numFmtId="0" fontId="38" fillId="0" borderId="0" xfId="0" applyFont="1" applyAlignment="1" applyProtection="1">
      <alignment vertical="center"/>
      <protection locked="0"/>
    </xf>
    <xf numFmtId="165" fontId="11" fillId="3" borderId="0" xfId="0" applyNumberFormat="1" applyFont="1" applyFill="1" applyAlignment="1" applyProtection="1">
      <alignment horizontal="left" vertical="center"/>
      <protection locked="0"/>
    </xf>
    <xf numFmtId="4" fontId="11" fillId="3" borderId="0" xfId="0" applyNumberFormat="1" applyFont="1" applyFill="1" applyAlignment="1" applyProtection="1">
      <alignment horizontal="left" vertical="center"/>
      <protection locked="0"/>
    </xf>
    <xf numFmtId="2" fontId="40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 wrapText="1"/>
    </xf>
    <xf numFmtId="0" fontId="44" fillId="0" borderId="0" xfId="0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3" fontId="44" fillId="0" borderId="0" xfId="0" applyNumberFormat="1" applyFont="1" applyAlignment="1">
      <alignment horizontal="center" vertical="center" wrapText="1"/>
    </xf>
    <xf numFmtId="164" fontId="44" fillId="0" borderId="0" xfId="0" applyNumberFormat="1" applyFont="1" applyAlignment="1">
      <alignment horizontal="center" vertical="center" wrapText="1"/>
    </xf>
    <xf numFmtId="164" fontId="46" fillId="0" borderId="0" xfId="0" applyNumberFormat="1" applyFont="1" applyAlignment="1">
      <alignment horizontal="right" vertical="center" wrapText="1"/>
    </xf>
    <xf numFmtId="164" fontId="45" fillId="0" borderId="0" xfId="0" applyNumberFormat="1" applyFont="1" applyAlignment="1">
      <alignment horizontal="right" vertical="center" wrapText="1"/>
    </xf>
    <xf numFmtId="168" fontId="46" fillId="0" borderId="0" xfId="0" applyNumberFormat="1" applyFont="1" applyAlignment="1">
      <alignment horizontal="right" vertical="center" wrapText="1"/>
    </xf>
    <xf numFmtId="0" fontId="48" fillId="0" borderId="0" xfId="0" applyFont="1" applyAlignment="1">
      <alignment vertical="top" wrapText="1"/>
    </xf>
    <xf numFmtId="0" fontId="48" fillId="0" borderId="0" xfId="0" applyFont="1" applyAlignment="1">
      <alignment horizontal="left" vertical="top" wrapText="1"/>
    </xf>
    <xf numFmtId="2" fontId="11" fillId="3" borderId="0" xfId="0" applyNumberFormat="1" applyFont="1" applyFill="1" applyAlignment="1">
      <alignment vertical="center" wrapText="1"/>
    </xf>
    <xf numFmtId="10" fontId="12" fillId="0" borderId="2" xfId="0" applyNumberFormat="1" applyFont="1" applyBorder="1" applyAlignment="1">
      <alignment horizontal="left" vertical="center" wrapText="1"/>
    </xf>
    <xf numFmtId="2" fontId="43" fillId="0" borderId="0" xfId="0" applyNumberFormat="1" applyFont="1" applyAlignment="1">
      <alignment horizontal="center" vertical="center" wrapText="1"/>
    </xf>
    <xf numFmtId="2" fontId="40" fillId="10" borderId="0" xfId="0" applyNumberFormat="1" applyFont="1" applyFill="1" applyAlignment="1" applyProtection="1">
      <alignment horizontal="left" vertical="center"/>
      <protection locked="0"/>
    </xf>
    <xf numFmtId="0" fontId="1" fillId="3" borderId="24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indent="2"/>
    </xf>
    <xf numFmtId="3" fontId="48" fillId="0" borderId="0" xfId="0" applyNumberFormat="1" applyFont="1" applyAlignment="1">
      <alignment horizontal="left" vertical="top" wrapText="1"/>
    </xf>
    <xf numFmtId="0" fontId="49" fillId="0" borderId="0" xfId="0" applyFont="1" applyAlignment="1">
      <alignment horizontal="left" vertical="top" wrapText="1"/>
    </xf>
    <xf numFmtId="9" fontId="50" fillId="0" borderId="0" xfId="0" applyNumberFormat="1" applyFont="1" applyAlignment="1">
      <alignment horizontal="left" vertical="center" wrapText="1"/>
    </xf>
    <xf numFmtId="164" fontId="52" fillId="0" borderId="0" xfId="0" applyNumberFormat="1" applyFont="1" applyAlignment="1">
      <alignment horizontal="right" vertical="center" wrapText="1"/>
    </xf>
    <xf numFmtId="9" fontId="17" fillId="0" borderId="0" xfId="0" applyNumberFormat="1" applyFont="1" applyAlignment="1">
      <alignment horizontal="left" vertical="center" wrapText="1"/>
    </xf>
    <xf numFmtId="0" fontId="47" fillId="0" borderId="0" xfId="0" applyFont="1" applyAlignment="1">
      <alignment horizontal="left" wrapText="1"/>
    </xf>
    <xf numFmtId="164" fontId="53" fillId="0" borderId="0" xfId="0" applyNumberFormat="1" applyFont="1" applyAlignment="1">
      <alignment horizontal="left" vertical="center" wrapText="1"/>
    </xf>
    <xf numFmtId="0" fontId="16" fillId="11" borderId="0" xfId="0" applyFont="1" applyFill="1" applyAlignment="1">
      <alignment horizontal="left" vertical="center" indent="2"/>
    </xf>
    <xf numFmtId="0" fontId="54" fillId="21" borderId="0" xfId="0" applyFont="1" applyFill="1" applyAlignment="1">
      <alignment vertical="center"/>
    </xf>
    <xf numFmtId="0" fontId="14" fillId="0" borderId="0" xfId="0" applyFont="1"/>
    <xf numFmtId="0" fontId="16" fillId="20" borderId="0" xfId="0" applyFont="1" applyFill="1" applyAlignment="1">
      <alignment horizontal="left" vertical="center" indent="2"/>
    </xf>
    <xf numFmtId="0" fontId="16" fillId="22" borderId="0" xfId="0" applyFont="1" applyFill="1" applyAlignment="1">
      <alignment vertical="center"/>
    </xf>
    <xf numFmtId="0" fontId="55" fillId="0" borderId="0" xfId="0" applyFont="1" applyAlignment="1">
      <alignment horizontal="left" indent="1"/>
    </xf>
    <xf numFmtId="0" fontId="56" fillId="0" borderId="0" xfId="0" applyFont="1" applyAlignment="1">
      <alignment vertical="center"/>
    </xf>
    <xf numFmtId="0" fontId="16" fillId="19" borderId="0" xfId="0" applyFont="1" applyFill="1" applyAlignment="1">
      <alignment horizontal="left" vertical="center" indent="2"/>
    </xf>
    <xf numFmtId="0" fontId="16" fillId="24" borderId="0" xfId="0" applyFont="1" applyFill="1" applyAlignment="1">
      <alignment vertical="center"/>
    </xf>
    <xf numFmtId="0" fontId="55" fillId="0" borderId="0" xfId="0" applyFont="1"/>
    <xf numFmtId="0" fontId="16" fillId="18" borderId="0" xfId="0" applyFont="1" applyFill="1" applyAlignment="1">
      <alignment horizontal="left" vertical="center" indent="2"/>
    </xf>
    <xf numFmtId="0" fontId="54" fillId="23" borderId="0" xfId="0" applyFont="1" applyFill="1" applyAlignment="1">
      <alignment vertical="center"/>
    </xf>
    <xf numFmtId="0" fontId="16" fillId="4" borderId="0" xfId="0" applyFont="1" applyFill="1" applyAlignment="1">
      <alignment horizontal="left" vertical="center" indent="2"/>
    </xf>
    <xf numFmtId="0" fontId="54" fillId="25" borderId="0" xfId="0" applyFont="1" applyFill="1" applyAlignment="1">
      <alignment vertical="center"/>
    </xf>
    <xf numFmtId="171" fontId="22" fillId="0" borderId="0" xfId="0" applyNumberFormat="1" applyFont="1" applyAlignment="1">
      <alignment horizontal="right" vertical="center" wrapText="1"/>
    </xf>
    <xf numFmtId="171" fontId="7" fillId="0" borderId="0" xfId="0" applyNumberFormat="1" applyFont="1" applyAlignment="1">
      <alignment horizontal="right" vertical="center" wrapText="1"/>
    </xf>
    <xf numFmtId="171" fontId="57" fillId="0" borderId="0" xfId="0" applyNumberFormat="1" applyFont="1" applyAlignment="1">
      <alignment horizontal="right" vertical="center" wrapText="1"/>
    </xf>
    <xf numFmtId="171" fontId="58" fillId="0" borderId="0" xfId="0" applyNumberFormat="1" applyFont="1" applyAlignment="1">
      <alignment horizontal="right" vertical="center" wrapText="1"/>
    </xf>
    <xf numFmtId="0" fontId="2" fillId="0" borderId="0" xfId="0" applyFont="1"/>
    <xf numFmtId="171" fontId="59" fillId="0" borderId="0" xfId="0" applyNumberFormat="1" applyFont="1" applyAlignment="1">
      <alignment horizontal="right" vertical="center" wrapText="1"/>
    </xf>
    <xf numFmtId="171" fontId="51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10" fontId="7" fillId="0" borderId="0" xfId="0" applyNumberFormat="1" applyFont="1" applyAlignment="1">
      <alignment horizontal="left" vertical="center" indent="3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51" fillId="0" borderId="0" xfId="0" applyFont="1" applyAlignment="1">
      <alignment horizontal="right" wrapText="1"/>
    </xf>
    <xf numFmtId="173" fontId="11" fillId="0" borderId="0" xfId="0" applyNumberFormat="1" applyFont="1" applyAlignment="1">
      <alignment horizontal="left" vertical="center" wrapText="1"/>
    </xf>
    <xf numFmtId="174" fontId="6" fillId="0" borderId="0" xfId="0" applyNumberFormat="1" applyFont="1" applyAlignment="1">
      <alignment horizontal="left" vertical="center" wrapText="1"/>
    </xf>
    <xf numFmtId="165" fontId="40" fillId="0" borderId="0" xfId="0" applyNumberFormat="1" applyFont="1" applyAlignment="1">
      <alignment horizontal="left" vertical="center"/>
    </xf>
    <xf numFmtId="165" fontId="0" fillId="0" borderId="0" xfId="0" applyNumberFormat="1"/>
    <xf numFmtId="0" fontId="11" fillId="3" borderId="0" xfId="0" applyFont="1" applyFill="1" applyAlignment="1" applyProtection="1">
      <alignment horizontal="left" vertical="center" wrapText="1"/>
      <protection locked="0"/>
    </xf>
    <xf numFmtId="0" fontId="1" fillId="0" borderId="0" xfId="0" applyFont="1" applyAlignment="1">
      <alignment vertical="center"/>
    </xf>
    <xf numFmtId="165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left" vertical="center" wrapText="1" indent="6"/>
    </xf>
    <xf numFmtId="10" fontId="12" fillId="2" borderId="0" xfId="0" applyNumberFormat="1" applyFont="1" applyFill="1" applyAlignment="1">
      <alignment horizontal="left" vertical="center"/>
    </xf>
    <xf numFmtId="10" fontId="61" fillId="0" borderId="0" xfId="0" applyNumberFormat="1" applyFont="1" applyAlignment="1">
      <alignment horizontal="left" vertical="center"/>
    </xf>
    <xf numFmtId="10" fontId="11" fillId="3" borderId="0" xfId="0" applyNumberFormat="1" applyFont="1" applyFill="1" applyAlignment="1" applyProtection="1">
      <alignment horizontal="left" vertical="center"/>
      <protection locked="0"/>
    </xf>
    <xf numFmtId="0" fontId="1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2" fillId="5" borderId="0" xfId="0" applyFont="1" applyFill="1" applyAlignment="1">
      <alignment horizontal="left" vertical="center" indent="1"/>
    </xf>
    <xf numFmtId="0" fontId="63" fillId="5" borderId="0" xfId="0" applyFont="1" applyFill="1" applyAlignment="1" applyProtection="1">
      <alignment vertical="center"/>
      <protection locked="0"/>
    </xf>
    <xf numFmtId="0" fontId="63" fillId="5" borderId="0" xfId="0" applyFont="1" applyFill="1" applyAlignment="1">
      <alignment vertical="center"/>
    </xf>
    <xf numFmtId="0" fontId="64" fillId="0" borderId="0" xfId="0" applyFont="1" applyAlignment="1">
      <alignment horizontal="left" vertical="center" wrapText="1"/>
    </xf>
    <xf numFmtId="0" fontId="65" fillId="0" borderId="25" xfId="0" applyFont="1" applyBorder="1"/>
    <xf numFmtId="0" fontId="36" fillId="0" borderId="25" xfId="0" applyFont="1" applyBorder="1" applyAlignment="1">
      <alignment vertical="center"/>
    </xf>
    <xf numFmtId="0" fontId="36" fillId="0" borderId="25" xfId="0" applyFont="1" applyBorder="1" applyAlignment="1" applyProtection="1">
      <alignment vertical="center"/>
      <protection locked="0"/>
    </xf>
    <xf numFmtId="0" fontId="12" fillId="0" borderId="25" xfId="0" applyFont="1" applyBorder="1" applyAlignment="1" applyProtection="1">
      <alignment vertical="center"/>
      <protection locked="0"/>
    </xf>
    <xf numFmtId="0" fontId="66" fillId="0" borderId="0" xfId="0" applyFont="1" applyAlignment="1">
      <alignment horizontal="left" vertical="center"/>
    </xf>
    <xf numFmtId="0" fontId="67" fillId="0" borderId="0" xfId="0" applyFont="1" applyAlignment="1" applyProtection="1">
      <alignment vertical="center"/>
      <protection locked="0"/>
    </xf>
    <xf numFmtId="2" fontId="67" fillId="0" borderId="0" xfId="0" applyNumberFormat="1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3" fontId="67" fillId="0" borderId="0" xfId="0" applyNumberFormat="1" applyFont="1" applyAlignment="1">
      <alignment horizontal="left" vertical="center"/>
    </xf>
    <xf numFmtId="175" fontId="67" fillId="0" borderId="0" xfId="0" applyNumberFormat="1" applyFont="1" applyAlignment="1">
      <alignment horizontal="left" vertical="center"/>
    </xf>
    <xf numFmtId="0" fontId="68" fillId="0" borderId="0" xfId="0" applyFont="1" applyAlignment="1" applyProtection="1">
      <alignment vertical="center"/>
      <protection locked="0"/>
    </xf>
    <xf numFmtId="4" fontId="67" fillId="0" borderId="0" xfId="0" applyNumberFormat="1" applyFont="1" applyAlignment="1">
      <alignment horizontal="left" vertical="center"/>
    </xf>
    <xf numFmtId="165" fontId="69" fillId="0" borderId="0" xfId="0" applyNumberFormat="1" applyFont="1" applyAlignment="1">
      <alignment horizontal="left" vertical="center"/>
    </xf>
    <xf numFmtId="4" fontId="12" fillId="0" borderId="2" xfId="0" applyNumberFormat="1" applyFont="1" applyBorder="1" applyAlignment="1">
      <alignment horizontal="left" vertical="center" wrapText="1"/>
    </xf>
    <xf numFmtId="0" fontId="48" fillId="0" borderId="0" xfId="0" applyFont="1" applyAlignment="1">
      <alignment wrapText="1"/>
    </xf>
    <xf numFmtId="0" fontId="49" fillId="0" borderId="0" xfId="0" applyFont="1" applyAlignment="1">
      <alignment wrapText="1"/>
    </xf>
    <xf numFmtId="0" fontId="48" fillId="0" borderId="0" xfId="0" applyFont="1" applyAlignment="1">
      <alignment horizontal="left" wrapText="1"/>
    </xf>
    <xf numFmtId="3" fontId="48" fillId="0" borderId="0" xfId="0" applyNumberFormat="1" applyFont="1" applyAlignment="1">
      <alignment horizontal="left" wrapText="1"/>
    </xf>
    <xf numFmtId="0" fontId="49" fillId="0" borderId="0" xfId="0" applyFont="1" applyAlignment="1">
      <alignment horizontal="left" wrapText="1"/>
    </xf>
    <xf numFmtId="0" fontId="48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top" wrapText="1" indent="1"/>
    </xf>
    <xf numFmtId="176" fontId="48" fillId="0" borderId="0" xfId="0" applyNumberFormat="1" applyFont="1" applyAlignment="1">
      <alignment horizontal="left" wrapText="1"/>
    </xf>
    <xf numFmtId="0" fontId="49" fillId="0" borderId="0" xfId="0" applyFont="1" applyAlignment="1">
      <alignment vertical="center" wrapText="1"/>
    </xf>
    <xf numFmtId="0" fontId="70" fillId="0" borderId="0" xfId="0" applyFont="1" applyAlignment="1">
      <alignment horizontal="left" vertical="center" wrapText="1"/>
    </xf>
    <xf numFmtId="0" fontId="49" fillId="0" borderId="0" xfId="0" applyFont="1" applyAlignment="1">
      <alignment vertical="top" wrapText="1"/>
    </xf>
    <xf numFmtId="10" fontId="0" fillId="0" borderId="0" xfId="0" applyNumberFormat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 indent="4"/>
    </xf>
    <xf numFmtId="165" fontId="12" fillId="3" borderId="0" xfId="0" applyNumberFormat="1" applyFont="1" applyFill="1" applyAlignment="1">
      <alignment horizontal="left" vertical="center"/>
    </xf>
    <xf numFmtId="165" fontId="65" fillId="0" borderId="0" xfId="0" applyNumberFormat="1" applyFont="1" applyAlignment="1">
      <alignment horizontal="left" vertical="center"/>
    </xf>
    <xf numFmtId="0" fontId="23" fillId="18" borderId="0" xfId="0" applyFont="1" applyFill="1" applyAlignment="1">
      <alignment horizontal="center" vertical="center" wrapText="1"/>
    </xf>
    <xf numFmtId="0" fontId="12" fillId="0" borderId="26" xfId="0" applyFont="1" applyBorder="1" applyAlignment="1">
      <alignment horizontal="left" vertical="center"/>
    </xf>
    <xf numFmtId="165" fontId="13" fillId="0" borderId="26" xfId="0" applyNumberFormat="1" applyFont="1" applyBorder="1" applyAlignment="1">
      <alignment horizontal="left" vertical="center"/>
    </xf>
    <xf numFmtId="165" fontId="12" fillId="0" borderId="26" xfId="0" applyNumberFormat="1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" fontId="12" fillId="0" borderId="27" xfId="0" applyNumberFormat="1" applyFont="1" applyBorder="1" applyAlignment="1">
      <alignment horizontal="left" vertical="center" wrapText="1"/>
    </xf>
    <xf numFmtId="164" fontId="12" fillId="0" borderId="28" xfId="0" applyNumberFormat="1" applyFont="1" applyBorder="1" applyAlignment="1">
      <alignment horizontal="left" vertical="center" wrapText="1"/>
    </xf>
    <xf numFmtId="164" fontId="46" fillId="0" borderId="0" xfId="0" applyNumberFormat="1" applyFont="1" applyAlignment="1">
      <alignment horizontal="left" vertical="center" wrapText="1"/>
    </xf>
    <xf numFmtId="164" fontId="52" fillId="0" borderId="0" xfId="0" applyNumberFormat="1" applyFont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 indent="2"/>
    </xf>
    <xf numFmtId="0" fontId="19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0" fontId="71" fillId="0" borderId="0" xfId="0" applyFont="1" applyAlignment="1">
      <alignment vertical="center" wrapText="1"/>
    </xf>
    <xf numFmtId="0" fontId="63" fillId="5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 shrinkToFit="1"/>
    </xf>
    <xf numFmtId="2" fontId="8" fillId="0" borderId="1" xfId="0" applyNumberFormat="1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 shrinkToFit="1"/>
    </xf>
    <xf numFmtId="2" fontId="8" fillId="0" borderId="2" xfId="0" applyNumberFormat="1" applyFont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 shrinkToFit="1"/>
    </xf>
    <xf numFmtId="2" fontId="8" fillId="0" borderId="26" xfId="0" applyNumberFormat="1" applyFont="1" applyBorder="1" applyAlignment="1">
      <alignment horizontal="center" vertical="center" wrapText="1" shrinkToFit="1"/>
    </xf>
    <xf numFmtId="0" fontId="8" fillId="0" borderId="2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8" fillId="0" borderId="26" xfId="0" applyNumberFormat="1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72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164" fontId="45" fillId="0" borderId="0" xfId="0" applyNumberFormat="1" applyFont="1" applyAlignment="1">
      <alignment horizontal="left" vertical="center" wrapText="1"/>
    </xf>
    <xf numFmtId="0" fontId="74" fillId="0" borderId="0" xfId="0" applyFont="1" applyAlignment="1">
      <alignment horizontal="left" vertical="center"/>
    </xf>
    <xf numFmtId="0" fontId="65" fillId="0" borderId="0" xfId="0" applyFont="1"/>
    <xf numFmtId="165" fontId="12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left" vertical="center"/>
    </xf>
    <xf numFmtId="9" fontId="6" fillId="0" borderId="0" xfId="0" applyNumberFormat="1" applyFont="1" applyAlignment="1">
      <alignment horizontal="left" vertical="center"/>
    </xf>
    <xf numFmtId="4" fontId="69" fillId="0" borderId="0" xfId="0" applyNumberFormat="1" applyFont="1" applyAlignment="1">
      <alignment horizontal="left" vertical="center"/>
    </xf>
    <xf numFmtId="0" fontId="16" fillId="18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indent="2"/>
    </xf>
    <xf numFmtId="0" fontId="81" fillId="0" borderId="0" xfId="0" applyFont="1" applyAlignment="1">
      <alignment horizontal="center" vertical="center"/>
    </xf>
    <xf numFmtId="175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left" vertical="center"/>
    </xf>
    <xf numFmtId="0" fontId="81" fillId="0" borderId="0" xfId="0" applyFont="1" applyAlignment="1">
      <alignment vertical="center"/>
    </xf>
    <xf numFmtId="0" fontId="83" fillId="0" borderId="0" xfId="0" applyFont="1" applyAlignment="1">
      <alignment horizontal="left" vertical="center"/>
    </xf>
    <xf numFmtId="0" fontId="84" fillId="0" borderId="0" xfId="0" applyFont="1" applyAlignment="1">
      <alignment horizontal="right" vertical="center"/>
    </xf>
    <xf numFmtId="0" fontId="85" fillId="0" borderId="0" xfId="0" applyFont="1" applyAlignment="1">
      <alignment horizontal="left" vertical="center"/>
    </xf>
    <xf numFmtId="0" fontId="86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4" fontId="89" fillId="0" borderId="0" xfId="0" applyNumberFormat="1" applyFont="1" applyAlignment="1">
      <alignment vertical="center"/>
    </xf>
    <xf numFmtId="0" fontId="81" fillId="0" borderId="29" xfId="0" applyFont="1" applyBorder="1" applyAlignment="1">
      <alignment horizontal="center" vertical="center"/>
    </xf>
    <xf numFmtId="0" fontId="81" fillId="0" borderId="29" xfId="0" applyFont="1" applyBorder="1" applyAlignment="1">
      <alignment horizontal="left" vertical="center"/>
    </xf>
    <xf numFmtId="0" fontId="93" fillId="0" borderId="1" xfId="0" applyFont="1" applyBorder="1" applyAlignment="1">
      <alignment horizontal="center" vertical="center"/>
    </xf>
    <xf numFmtId="44" fontId="81" fillId="0" borderId="0" xfId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14" fontId="81" fillId="0" borderId="0" xfId="0" applyNumberFormat="1" applyFont="1" applyAlignment="1">
      <alignment horizontal="left" vertical="center"/>
    </xf>
    <xf numFmtId="0" fontId="93" fillId="0" borderId="0" xfId="0" applyFont="1" applyAlignment="1">
      <alignment horizontal="left" vertical="center"/>
    </xf>
    <xf numFmtId="0" fontId="81" fillId="0" borderId="31" xfId="0" applyFont="1" applyBorder="1" applyAlignment="1">
      <alignment vertical="center"/>
    </xf>
    <xf numFmtId="0" fontId="95" fillId="0" borderId="0" xfId="0" applyFont="1" applyAlignment="1">
      <alignment vertical="center"/>
    </xf>
    <xf numFmtId="0" fontId="96" fillId="0" borderId="0" xfId="0" applyFont="1" applyAlignment="1">
      <alignment vertical="center"/>
    </xf>
    <xf numFmtId="0" fontId="98" fillId="0" borderId="0" xfId="0" applyFont="1" applyAlignment="1">
      <alignment horizontal="left" vertical="center" indent="2"/>
    </xf>
    <xf numFmtId="0" fontId="97" fillId="0" borderId="0" xfId="0" applyFont="1" applyAlignment="1">
      <alignment vertical="center"/>
    </xf>
    <xf numFmtId="44" fontId="87" fillId="0" borderId="0" xfId="2" applyFont="1" applyFill="1" applyAlignment="1">
      <alignment vertical="center"/>
    </xf>
    <xf numFmtId="0" fontId="8" fillId="0" borderId="0" xfId="0" applyFont="1" applyAlignment="1">
      <alignment horizontal="left" vertical="center" wrapText="1" indent="2"/>
    </xf>
    <xf numFmtId="0" fontId="77" fillId="5" borderId="0" xfId="0" applyFont="1" applyFill="1" applyAlignment="1">
      <alignment horizontal="left" vertical="center"/>
    </xf>
    <xf numFmtId="0" fontId="78" fillId="5" borderId="0" xfId="0" applyFont="1" applyFill="1" applyAlignment="1">
      <alignment horizontal="left" vertical="center"/>
    </xf>
    <xf numFmtId="0" fontId="79" fillId="5" borderId="0" xfId="0" applyFont="1" applyFill="1" applyAlignment="1">
      <alignment horizontal="left" vertical="center"/>
    </xf>
    <xf numFmtId="0" fontId="100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vertical="center"/>
    </xf>
    <xf numFmtId="14" fontId="98" fillId="0" borderId="0" xfId="0" applyNumberFormat="1" applyFont="1" applyAlignment="1">
      <alignment horizontal="left" vertical="center" indent="2"/>
    </xf>
    <xf numFmtId="0" fontId="102" fillId="0" borderId="0" xfId="0" applyFont="1" applyAlignment="1">
      <alignment horizontal="left" vertical="center" indent="2"/>
    </xf>
    <xf numFmtId="0" fontId="103" fillId="0" borderId="0" xfId="0" applyFont="1" applyAlignment="1">
      <alignment horizontal="center" vertical="center" wrapText="1"/>
    </xf>
    <xf numFmtId="0" fontId="105" fillId="0" borderId="0" xfId="0" applyFont="1" applyAlignment="1">
      <alignment horizontal="left" vertical="center"/>
    </xf>
    <xf numFmtId="0" fontId="105" fillId="0" borderId="0" xfId="0" applyFont="1" applyAlignment="1">
      <alignment horizontal="center" vertical="center"/>
    </xf>
    <xf numFmtId="175" fontId="105" fillId="0" borderId="0" xfId="0" applyNumberFormat="1" applyFont="1" applyAlignment="1">
      <alignment horizontal="center" vertical="center"/>
    </xf>
    <xf numFmtId="0" fontId="91" fillId="0" borderId="30" xfId="0" applyFont="1" applyBorder="1" applyAlignment="1">
      <alignment vertical="center"/>
    </xf>
    <xf numFmtId="0" fontId="92" fillId="0" borderId="30" xfId="0" applyFont="1" applyBorder="1" applyAlignment="1">
      <alignment vertical="center"/>
    </xf>
    <xf numFmtId="0" fontId="82" fillId="0" borderId="0" xfId="0" applyFont="1" applyAlignment="1">
      <alignment vertical="center" wrapText="1"/>
    </xf>
    <xf numFmtId="165" fontId="17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0" fontId="81" fillId="0" borderId="0" xfId="0" applyNumberFormat="1" applyFont="1" applyAlignment="1">
      <alignment horizontal="center" vertical="center"/>
    </xf>
    <xf numFmtId="0" fontId="106" fillId="0" borderId="0" xfId="0" applyFont="1" applyAlignment="1">
      <alignment horizontal="centerContinuous" vertical="center" wrapText="1"/>
    </xf>
    <xf numFmtId="0" fontId="64" fillId="0" borderId="0" xfId="0" applyFont="1" applyAlignment="1">
      <alignment horizontal="centerContinuous" vertical="center" wrapText="1"/>
    </xf>
    <xf numFmtId="0" fontId="106" fillId="0" borderId="0" xfId="0" applyFont="1" applyAlignment="1">
      <alignment vertical="center" wrapText="1"/>
    </xf>
    <xf numFmtId="0" fontId="80" fillId="5" borderId="0" xfId="0" applyFont="1" applyFill="1" applyAlignment="1">
      <alignment vertical="center"/>
    </xf>
    <xf numFmtId="0" fontId="85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165" fontId="72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72" fillId="0" borderId="0" xfId="0" applyFont="1" applyAlignment="1">
      <alignment vertical="center"/>
    </xf>
    <xf numFmtId="0" fontId="10" fillId="0" borderId="30" xfId="0" applyFont="1" applyBorder="1" applyAlignment="1">
      <alignment vertical="center"/>
    </xf>
    <xf numFmtId="0" fontId="99" fillId="0" borderId="0" xfId="0" applyFont="1" applyAlignment="1">
      <alignment vertical="center" wrapText="1"/>
    </xf>
    <xf numFmtId="0" fontId="93" fillId="0" borderId="0" xfId="0" applyFont="1" applyAlignment="1">
      <alignment vertical="center" wrapText="1"/>
    </xf>
    <xf numFmtId="2" fontId="94" fillId="0" borderId="0" xfId="0" applyNumberFormat="1" applyFont="1" applyAlignment="1">
      <alignment horizontal="center" vertical="center"/>
    </xf>
    <xf numFmtId="165" fontId="93" fillId="0" borderId="0" xfId="0" applyNumberFormat="1" applyFont="1" applyAlignment="1">
      <alignment horizontal="center" vertical="center"/>
    </xf>
    <xf numFmtId="44" fontId="81" fillId="0" borderId="0" xfId="1" applyFont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0" fontId="107" fillId="0" borderId="0" xfId="0" applyFont="1" applyAlignment="1">
      <alignment horizontal="center" vertical="center"/>
    </xf>
    <xf numFmtId="2" fontId="107" fillId="0" borderId="0" xfId="0" applyNumberFormat="1" applyFont="1" applyAlignment="1">
      <alignment horizontal="center" vertical="center"/>
    </xf>
    <xf numFmtId="165" fontId="107" fillId="0" borderId="0" xfId="0" applyNumberFormat="1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4" fontId="107" fillId="0" borderId="0" xfId="0" applyNumberFormat="1" applyFont="1" applyAlignment="1">
      <alignment horizontal="center" vertical="center"/>
    </xf>
    <xf numFmtId="0" fontId="104" fillId="0" borderId="0" xfId="0" applyFont="1" applyAlignment="1">
      <alignment horizontal="left"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horizontal="left" vertical="center"/>
    </xf>
    <xf numFmtId="0" fontId="17" fillId="10" borderId="0" xfId="0" applyFont="1" applyFill="1" applyAlignment="1">
      <alignment horizontal="center" vertical="center"/>
    </xf>
    <xf numFmtId="0" fontId="108" fillId="0" borderId="0" xfId="0" applyFont="1" applyAlignment="1">
      <alignment horizontal="center" vertical="center"/>
    </xf>
    <xf numFmtId="175" fontId="108" fillId="0" borderId="0" xfId="0" applyNumberFormat="1" applyFont="1" applyAlignment="1">
      <alignment horizontal="center" vertical="center"/>
    </xf>
    <xf numFmtId="0" fontId="97" fillId="0" borderId="0" xfId="0" applyFont="1" applyAlignment="1">
      <alignment horizontal="left" vertical="center" indent="2"/>
    </xf>
    <xf numFmtId="0" fontId="108" fillId="0" borderId="0" xfId="0" applyFont="1" applyAlignment="1">
      <alignment horizontal="centerContinuous" vertical="center" wrapText="1"/>
    </xf>
    <xf numFmtId="165" fontId="12" fillId="0" borderId="0" xfId="0" applyNumberFormat="1" applyFont="1" applyAlignment="1" applyProtection="1">
      <alignment vertical="center"/>
      <protection locked="0"/>
    </xf>
    <xf numFmtId="14" fontId="11" fillId="3" borderId="0" xfId="0" applyNumberFormat="1" applyFont="1" applyFill="1" applyAlignment="1" applyProtection="1">
      <alignment horizontal="left" vertical="center"/>
      <protection locked="0"/>
    </xf>
    <xf numFmtId="165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165" fontId="13" fillId="2" borderId="0" xfId="0" applyNumberFormat="1" applyFont="1" applyFill="1" applyAlignment="1">
      <alignment horizontal="left" vertical="center"/>
    </xf>
    <xf numFmtId="0" fontId="24" fillId="10" borderId="0" xfId="0" applyFont="1" applyFill="1" applyAlignment="1">
      <alignment horizontal="left" vertical="center"/>
    </xf>
    <xf numFmtId="0" fontId="24" fillId="10" borderId="0" xfId="0" applyFont="1" applyFill="1" applyAlignment="1">
      <alignment horizontal="center" vertical="center"/>
    </xf>
    <xf numFmtId="0" fontId="109" fillId="0" borderId="1" xfId="0" applyFont="1" applyBorder="1" applyAlignment="1">
      <alignment vertical="center" wrapText="1"/>
    </xf>
    <xf numFmtId="2" fontId="110" fillId="0" borderId="1" xfId="0" applyNumberFormat="1" applyFont="1" applyBorder="1" applyAlignment="1">
      <alignment horizontal="center" vertical="center"/>
    </xf>
    <xf numFmtId="165" fontId="109" fillId="0" borderId="1" xfId="0" applyNumberFormat="1" applyFont="1" applyBorder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112" fillId="0" borderId="0" xfId="0" applyFont="1" applyAlignment="1">
      <alignment horizontal="left" vertical="center"/>
    </xf>
    <xf numFmtId="0" fontId="111" fillId="0" borderId="0" xfId="0" applyFont="1" applyAlignment="1">
      <alignment horizontal="left" vertical="center"/>
    </xf>
    <xf numFmtId="0" fontId="111" fillId="0" borderId="0" xfId="0" applyFont="1" applyAlignment="1">
      <alignment vertical="center"/>
    </xf>
    <xf numFmtId="14" fontId="110" fillId="0" borderId="0" xfId="0" applyNumberFormat="1" applyFont="1" applyAlignment="1">
      <alignment horizontal="left" vertical="center"/>
    </xf>
    <xf numFmtId="49" fontId="11" fillId="3" borderId="0" xfId="0" applyNumberFormat="1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2"/>
    </xf>
    <xf numFmtId="0" fontId="11" fillId="0" borderId="0" xfId="0" applyFont="1" applyAlignment="1">
      <alignment vertical="center"/>
    </xf>
    <xf numFmtId="0" fontId="17" fillId="0" borderId="26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0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3" fillId="0" borderId="0" xfId="0" applyFont="1" applyAlignment="1">
      <alignment horizontal="center" vertical="center" wrapText="1"/>
    </xf>
    <xf numFmtId="173" fontId="72" fillId="0" borderId="0" xfId="0" applyNumberFormat="1" applyFont="1" applyAlignment="1">
      <alignment horizontal="left" vertical="center" wrapText="1"/>
    </xf>
    <xf numFmtId="0" fontId="109" fillId="0" borderId="2" xfId="0" applyFont="1" applyBorder="1" applyAlignment="1">
      <alignment horizontal="left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53" fillId="0" borderId="0" xfId="0" applyFont="1" applyAlignment="1" applyProtection="1">
      <alignment horizontal="left" vertical="center" wrapText="1"/>
      <protection locked="0"/>
    </xf>
    <xf numFmtId="0" fontId="73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1" fillId="8" borderId="0" xfId="0" applyFont="1" applyFill="1" applyAlignment="1">
      <alignment horizontal="center" vertical="center" wrapText="1"/>
    </xf>
    <xf numFmtId="0" fontId="31" fillId="19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left" vertical="top" wrapText="1"/>
    </xf>
    <xf numFmtId="0" fontId="42" fillId="3" borderId="2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</cellXfs>
  <cellStyles count="3">
    <cellStyle name="Euro" xfId="2" xr:uid="{04D91E82-D711-4A21-AB3B-13927DE25E3C}"/>
    <cellStyle name="Moneda" xfId="1" builtinId="4"/>
    <cellStyle name="Normal" xfId="0" builtinId="0"/>
  </cellStyles>
  <dxfs count="6">
    <dxf>
      <font>
        <b/>
        <i val="0"/>
        <color rgb="FF30F030"/>
      </font>
    </dxf>
    <dxf>
      <font>
        <b/>
        <i val="0"/>
        <color rgb="FFFF0000"/>
      </font>
    </dxf>
    <dxf>
      <font>
        <b/>
        <i val="0"/>
        <color rgb="FF30F030"/>
      </font>
    </dxf>
    <dxf>
      <font>
        <b/>
        <i val="0"/>
        <color rgb="FFFF0000"/>
      </font>
    </dxf>
    <dxf>
      <font>
        <b/>
        <i val="0"/>
        <color rgb="FF30F03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D100"/>
      <color rgb="FF30F030"/>
      <color rgb="FF00B0F0"/>
      <color rgb="FF92D050"/>
      <color rgb="FFFF33CC"/>
      <color rgb="FFFF3B3B"/>
      <color rgb="FF2115C1"/>
      <color rgb="FF7030A0"/>
      <color rgb="FFFF0000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2115C1"/>
                </a:solidFill>
                <a:latin typeface="+mn-lt"/>
                <a:ea typeface="+mn-ea"/>
                <a:cs typeface="+mn-cs"/>
              </a:defRPr>
            </a:pPr>
            <a:r>
              <a:rPr lang="es-ES" sz="1600" b="0">
                <a:solidFill>
                  <a:srgbClr val="2115C1"/>
                </a:solidFill>
              </a:rPr>
              <a:t>Perfil</a:t>
            </a:r>
            <a:r>
              <a:rPr lang="es-ES" sz="1600" b="0" baseline="0">
                <a:solidFill>
                  <a:srgbClr val="2115C1"/>
                </a:solidFill>
              </a:rPr>
              <a:t> de </a:t>
            </a:r>
            <a:r>
              <a:rPr lang="es-ES" sz="1600" b="1" baseline="0">
                <a:solidFill>
                  <a:srgbClr val="2115C1"/>
                </a:solidFill>
              </a:rPr>
              <a:t>Consumo Mensual Real</a:t>
            </a:r>
            <a:endParaRPr lang="es-ES" sz="1600" b="1">
              <a:solidFill>
                <a:srgbClr val="2115C1"/>
              </a:solidFill>
            </a:endParaRPr>
          </a:p>
        </c:rich>
      </c:tx>
      <c:layout>
        <c:manualLayout>
          <c:xMode val="edge"/>
          <c:yMode val="edge"/>
          <c:x val="6.3190095220328854E-2"/>
          <c:y val="3.302143098034533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581711329337785"/>
          <c:y val="0.24102793657642113"/>
          <c:w val="0.73577177100543589"/>
          <c:h val="0.50538704922158706"/>
        </c:manualLayout>
      </c:layout>
      <c:areaChart>
        <c:grouping val="standard"/>
        <c:varyColors val="0"/>
        <c:ser>
          <c:idx val="1"/>
          <c:order val="0"/>
          <c:tx>
            <c:strRef>
              <c:f>t.con!$B$5</c:f>
              <c:strCache>
                <c:ptCount val="1"/>
                <c:pt idx="0">
                  <c:v>Vivienda habitada todo el año</c:v>
                </c:pt>
              </c:strCache>
            </c:strRef>
          </c:tx>
          <c:spPr>
            <a:solidFill>
              <a:srgbClr val="2115C1"/>
            </a:solidFill>
            <a:ln w="25400">
              <a:noFill/>
            </a:ln>
          </c:spPr>
          <c:val>
            <c:numRef>
              <c:f>datos!$C$40:$C$48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DEA3-4F38-803C-BB79A1862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22351"/>
        <c:axId val="675122207"/>
      </c:areaChart>
      <c:catAx>
        <c:axId val="129892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122207"/>
        <c:crosses val="autoZero"/>
        <c:auto val="1"/>
        <c:lblAlgn val="ctr"/>
        <c:lblOffset val="100"/>
        <c:noMultiLvlLbl val="0"/>
      </c:catAx>
      <c:valAx>
        <c:axId val="6751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89223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662657020270997E-2"/>
          <c:y val="0.17680723621222055"/>
          <c:w val="0.88916481663088953"/>
          <c:h val="0.74813047259607146"/>
        </c:manualLayout>
      </c:layout>
      <c:areaChart>
        <c:grouping val="standard"/>
        <c:varyColors val="0"/>
        <c:ser>
          <c:idx val="1"/>
          <c:order val="0"/>
          <c:tx>
            <c:v>Producción Fotovoltaica</c:v>
          </c:tx>
          <c:spPr>
            <a:solidFill>
              <a:srgbClr val="FFD100">
                <a:alpha val="50196"/>
              </a:srgbClr>
            </a:solidFill>
            <a:ln w="25400">
              <a:noFill/>
            </a:ln>
            <a:effectLst/>
          </c:spPr>
          <c:val>
            <c:numRef>
              <c:f>cálculos!$C$14:$N$14</c:f>
              <c:numCache>
                <c:formatCode>#,##0</c:formatCode>
                <c:ptCount val="12"/>
                <c:pt idx="0">
                  <c:v>1812.8417904365149</c:v>
                </c:pt>
                <c:pt idx="1">
                  <c:v>1806.7271372939683</c:v>
                </c:pt>
                <c:pt idx="2">
                  <c:v>2145.0203224053612</c:v>
                </c:pt>
                <c:pt idx="3">
                  <c:v>2173.1477268610756</c:v>
                </c:pt>
                <c:pt idx="4">
                  <c:v>2370.3452907082046</c:v>
                </c:pt>
                <c:pt idx="5">
                  <c:v>2353.3771282376374</c:v>
                </c:pt>
                <c:pt idx="6">
                  <c:v>2500.5874026444485</c:v>
                </c:pt>
                <c:pt idx="7">
                  <c:v>2469.2498052888968</c:v>
                </c:pt>
                <c:pt idx="8">
                  <c:v>2209.6827793877919</c:v>
                </c:pt>
                <c:pt idx="9">
                  <c:v>2022.7272595544284</c:v>
                </c:pt>
                <c:pt idx="10">
                  <c:v>1722.0391912696975</c:v>
                </c:pt>
                <c:pt idx="11">
                  <c:v>1733.5041659119722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8-41A3-86BB-1B6220D1D63B}"/>
            </c:ext>
          </c:extLst>
        </c:ser>
        <c:ser>
          <c:idx val="0"/>
          <c:order val="2"/>
          <c:tx>
            <c:v>Demanda Actual de la Red</c:v>
          </c:tx>
          <c:spPr>
            <a:solidFill>
              <a:srgbClr val="FF3B3B">
                <a:alpha val="49804"/>
              </a:srgbClr>
            </a:solidFill>
            <a:ln>
              <a:noFill/>
            </a:ln>
            <a:effectLst/>
          </c:spPr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Ref>
              <c:f>cálculos!$C$7:$N$7</c:f>
              <c:numCache>
                <c:formatCode>#,##0</c:formatCode>
                <c:ptCount val="12"/>
                <c:pt idx="0">
                  <c:v>2180.52</c:v>
                </c:pt>
                <c:pt idx="1">
                  <c:v>1998.81</c:v>
                </c:pt>
                <c:pt idx="2">
                  <c:v>1090.26</c:v>
                </c:pt>
                <c:pt idx="3">
                  <c:v>1090.26</c:v>
                </c:pt>
                <c:pt idx="4">
                  <c:v>1271.97</c:v>
                </c:pt>
                <c:pt idx="5">
                  <c:v>1271.97</c:v>
                </c:pt>
                <c:pt idx="6">
                  <c:v>1635.3899999999999</c:v>
                </c:pt>
                <c:pt idx="7">
                  <c:v>1817.1000000000001</c:v>
                </c:pt>
                <c:pt idx="8">
                  <c:v>1090.26</c:v>
                </c:pt>
                <c:pt idx="9">
                  <c:v>1090.26</c:v>
                </c:pt>
                <c:pt idx="10">
                  <c:v>1453.68</c:v>
                </c:pt>
                <c:pt idx="11">
                  <c:v>2180.52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8-41A3-86BB-1B6220D1D63B}"/>
            </c:ext>
          </c:extLst>
        </c:ser>
        <c:ser>
          <c:idx val="6"/>
          <c:order val="3"/>
          <c:tx>
            <c:v>Demanda Futura de la Red</c:v>
          </c:tx>
          <c:spPr>
            <a:solidFill>
              <a:srgbClr val="FF33CC">
                <a:alpha val="74902"/>
              </a:srgbClr>
            </a:solidFill>
            <a:ln w="25400">
              <a:noFill/>
            </a:ln>
            <a:effectLst/>
          </c:spPr>
          <c:val>
            <c:numRef>
              <c:f>cálculos!$C$28:$N$28</c:f>
              <c:numCache>
                <c:formatCode>#,##0</c:formatCode>
                <c:ptCount val="12"/>
                <c:pt idx="0">
                  <c:v>1185.1007064091145</c:v>
                </c:pt>
                <c:pt idx="1">
                  <c:v>1066.8369311074675</c:v>
                </c:pt>
                <c:pt idx="2">
                  <c:v>512.83097381676509</c:v>
                </c:pt>
                <c:pt idx="3">
                  <c:v>511.61979323353751</c:v>
                </c:pt>
                <c:pt idx="4">
                  <c:v>599.70279150203839</c:v>
                </c:pt>
                <c:pt idx="5">
                  <c:v>600.5552256625167</c:v>
                </c:pt>
                <c:pt idx="6">
                  <c:v>795.34180716600986</c:v>
                </c:pt>
                <c:pt idx="7">
                  <c:v>904.13314098966384</c:v>
                </c:pt>
                <c:pt idx="8">
                  <c:v>510.04657497597543</c:v>
                </c:pt>
                <c:pt idx="9">
                  <c:v>518.09697635253769</c:v>
                </c:pt>
                <c:pt idx="10">
                  <c:v>737.13328011649105</c:v>
                </c:pt>
                <c:pt idx="11">
                  <c:v>1191.9333446992791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D8-41A3-86BB-1B6220D1D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022352"/>
        <c:axId val="1040015824"/>
      </c:areaChart>
      <c:barChart>
        <c:barDir val="col"/>
        <c:grouping val="stacked"/>
        <c:varyColors val="0"/>
        <c:ser>
          <c:idx val="2"/>
          <c:order val="1"/>
          <c:tx>
            <c:v>Autoconsumo</c:v>
          </c:tx>
          <c:spPr>
            <a:solidFill>
              <a:srgbClr val="30F030">
                <a:alpha val="74902"/>
              </a:srgbClr>
            </a:solidFill>
            <a:ln>
              <a:noFill/>
            </a:ln>
            <a:effectLst/>
          </c:spPr>
          <c:invertIfNegative val="0"/>
          <c:val>
            <c:numRef>
              <c:f>cálculos!$C$27:$N$27</c:f>
              <c:numCache>
                <c:formatCode>#,##0</c:formatCode>
                <c:ptCount val="12"/>
                <c:pt idx="0">
                  <c:v>995.41929359088556</c:v>
                </c:pt>
                <c:pt idx="1">
                  <c:v>931.97306889253252</c:v>
                </c:pt>
                <c:pt idx="2">
                  <c:v>577.4290261832349</c:v>
                </c:pt>
                <c:pt idx="3">
                  <c:v>578.64020676646248</c:v>
                </c:pt>
                <c:pt idx="4">
                  <c:v>672.26720849796163</c:v>
                </c:pt>
                <c:pt idx="5">
                  <c:v>671.41477433748332</c:v>
                </c:pt>
                <c:pt idx="6">
                  <c:v>840.04819283399002</c:v>
                </c:pt>
                <c:pt idx="7">
                  <c:v>912.96685901033629</c:v>
                </c:pt>
                <c:pt idx="8">
                  <c:v>580.21342502402456</c:v>
                </c:pt>
                <c:pt idx="9">
                  <c:v>572.1630236474623</c:v>
                </c:pt>
                <c:pt idx="10">
                  <c:v>716.54671988350901</c:v>
                </c:pt>
                <c:pt idx="11">
                  <c:v>988.58665530072074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D8-41A3-86BB-1B6220D1D63B}"/>
            </c:ext>
          </c:extLst>
        </c:ser>
        <c:ser>
          <c:idx val="3"/>
          <c:order val="4"/>
          <c:tx>
            <c:v>Excedente</c:v>
          </c:tx>
          <c:spPr>
            <a:solidFill>
              <a:srgbClr val="00B0F0">
                <a:alpha val="74902"/>
              </a:srgbClr>
            </a:solidFill>
            <a:ln>
              <a:noFill/>
            </a:ln>
            <a:effectLst/>
          </c:spPr>
          <c:invertIfNegative val="0"/>
          <c:val>
            <c:numRef>
              <c:f>cálculos!$C$29:$N$29</c:f>
              <c:numCache>
                <c:formatCode>#,##0</c:formatCode>
                <c:ptCount val="12"/>
                <c:pt idx="0">
                  <c:v>817.42249684562944</c:v>
                </c:pt>
                <c:pt idx="1">
                  <c:v>874.75406840143592</c:v>
                </c:pt>
                <c:pt idx="2">
                  <c:v>1567.5912962221264</c:v>
                </c:pt>
                <c:pt idx="3">
                  <c:v>1594.507520094613</c:v>
                </c:pt>
                <c:pt idx="4">
                  <c:v>1698.0780822102429</c:v>
                </c:pt>
                <c:pt idx="5">
                  <c:v>1681.9623539001541</c:v>
                </c:pt>
                <c:pt idx="6">
                  <c:v>1660.5392098104585</c:v>
                </c:pt>
                <c:pt idx="7">
                  <c:v>1556.2829462785605</c:v>
                </c:pt>
                <c:pt idx="8">
                  <c:v>1629.4693543637673</c:v>
                </c:pt>
                <c:pt idx="9">
                  <c:v>1450.5642359069661</c:v>
                </c:pt>
                <c:pt idx="10">
                  <c:v>1005.4924713861885</c:v>
                </c:pt>
                <c:pt idx="11">
                  <c:v>744.91751061125149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D8-41A3-86BB-1B6220D1D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0022352"/>
        <c:axId val="1040015824"/>
      </c:barChart>
      <c:catAx>
        <c:axId val="1040022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ES"/>
          </a:p>
        </c:txPr>
        <c:crossAx val="1040015824"/>
        <c:crossesAt val="0"/>
        <c:auto val="1"/>
        <c:lblAlgn val="ctr"/>
        <c:lblOffset val="100"/>
        <c:noMultiLvlLbl val="0"/>
      </c:catAx>
      <c:valAx>
        <c:axId val="1040015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1040022352"/>
        <c:crosses val="autoZero"/>
        <c:crossBetween val="between"/>
      </c:valAx>
      <c:spPr>
        <a:noFill/>
        <a:ln cap="flat"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E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E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E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ES"/>
          </a:p>
        </c:txPr>
      </c:legendEntry>
      <c:layout>
        <c:manualLayout>
          <c:xMode val="edge"/>
          <c:yMode val="edge"/>
          <c:x val="1.7939852780001712E-2"/>
          <c:y val="2.2725023713956252E-2"/>
          <c:w val="0.9626929405844995"/>
          <c:h val="5.8717592311849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976085451568124E-2"/>
          <c:y val="0.13333341296536963"/>
          <c:w val="0.88916481663088953"/>
          <c:h val="0.75960386247228806"/>
        </c:manualLayout>
      </c:layout>
      <c:areaChart>
        <c:grouping val="standard"/>
        <c:varyColors val="0"/>
        <c:ser>
          <c:idx val="1"/>
          <c:order val="0"/>
          <c:tx>
            <c:v>Producción Fotovoltaica</c:v>
          </c:tx>
          <c:spPr>
            <a:solidFill>
              <a:srgbClr val="FFD100">
                <a:alpha val="50196"/>
              </a:srgbClr>
            </a:solidFill>
            <a:ln w="25400">
              <a:noFill/>
            </a:ln>
            <a:effectLst/>
          </c:spPr>
          <c:val>
            <c:numRef>
              <c:f>cálculos!$C$14:$N$14</c:f>
              <c:numCache>
                <c:formatCode>#,##0</c:formatCode>
                <c:ptCount val="12"/>
                <c:pt idx="0">
                  <c:v>1812.8417904365149</c:v>
                </c:pt>
                <c:pt idx="1">
                  <c:v>1806.7271372939683</c:v>
                </c:pt>
                <c:pt idx="2">
                  <c:v>2145.0203224053612</c:v>
                </c:pt>
                <c:pt idx="3">
                  <c:v>2173.1477268610756</c:v>
                </c:pt>
                <c:pt idx="4">
                  <c:v>2370.3452907082046</c:v>
                </c:pt>
                <c:pt idx="5">
                  <c:v>2353.3771282376374</c:v>
                </c:pt>
                <c:pt idx="6">
                  <c:v>2500.5874026444485</c:v>
                </c:pt>
                <c:pt idx="7">
                  <c:v>2469.2498052888968</c:v>
                </c:pt>
                <c:pt idx="8">
                  <c:v>2209.6827793877919</c:v>
                </c:pt>
                <c:pt idx="9">
                  <c:v>2022.7272595544284</c:v>
                </c:pt>
                <c:pt idx="10">
                  <c:v>1722.0391912696975</c:v>
                </c:pt>
                <c:pt idx="11">
                  <c:v>1733.5041659119722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A-4990-A45C-34D4E0E7CE3B}"/>
            </c:ext>
          </c:extLst>
        </c:ser>
        <c:ser>
          <c:idx val="0"/>
          <c:order val="2"/>
          <c:tx>
            <c:v>Demanda Actual de la Red</c:v>
          </c:tx>
          <c:spPr>
            <a:solidFill>
              <a:srgbClr val="FF3B3B">
                <a:alpha val="50196"/>
              </a:srgbClr>
            </a:solidFill>
            <a:ln>
              <a:noFill/>
            </a:ln>
            <a:effectLst/>
          </c:spPr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Ref>
              <c:f>cálculos!$C$7:$N$7</c:f>
              <c:numCache>
                <c:formatCode>#,##0</c:formatCode>
                <c:ptCount val="12"/>
                <c:pt idx="0">
                  <c:v>2180.52</c:v>
                </c:pt>
                <c:pt idx="1">
                  <c:v>1998.81</c:v>
                </c:pt>
                <c:pt idx="2">
                  <c:v>1090.26</c:v>
                </c:pt>
                <c:pt idx="3">
                  <c:v>1090.26</c:v>
                </c:pt>
                <c:pt idx="4">
                  <c:v>1271.97</c:v>
                </c:pt>
                <c:pt idx="5">
                  <c:v>1271.97</c:v>
                </c:pt>
                <c:pt idx="6">
                  <c:v>1635.3899999999999</c:v>
                </c:pt>
                <c:pt idx="7">
                  <c:v>1817.1000000000001</c:v>
                </c:pt>
                <c:pt idx="8">
                  <c:v>1090.26</c:v>
                </c:pt>
                <c:pt idx="9">
                  <c:v>1090.26</c:v>
                </c:pt>
                <c:pt idx="10">
                  <c:v>1453.68</c:v>
                </c:pt>
                <c:pt idx="11">
                  <c:v>2180.52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A-4990-A45C-34D4E0E7CE3B}"/>
            </c:ext>
          </c:extLst>
        </c:ser>
        <c:ser>
          <c:idx val="6"/>
          <c:order val="4"/>
          <c:tx>
            <c:v>Demanda Futura de la Red</c:v>
          </c:tx>
          <c:spPr>
            <a:solidFill>
              <a:srgbClr val="FF33CC">
                <a:alpha val="74902"/>
              </a:srgbClr>
            </a:solidFill>
            <a:ln w="25400">
              <a:noFill/>
            </a:ln>
            <a:effectLst/>
          </c:spPr>
          <c:val>
            <c:numRef>
              <c:f>cálculos!$C$50:$N$50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FA-4990-A45C-34D4E0E7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022352"/>
        <c:axId val="1040015824"/>
      </c:areaChart>
      <c:barChart>
        <c:barDir val="col"/>
        <c:grouping val="stacked"/>
        <c:varyColors val="0"/>
        <c:ser>
          <c:idx val="2"/>
          <c:order val="1"/>
          <c:tx>
            <c:v>Autoconsumo</c:v>
          </c:tx>
          <c:spPr>
            <a:solidFill>
              <a:srgbClr val="30F030">
                <a:alpha val="74902"/>
              </a:srgbClr>
            </a:solidFill>
            <a:ln>
              <a:noFill/>
            </a:ln>
            <a:effectLst/>
          </c:spPr>
          <c:invertIfNegative val="0"/>
          <c:val>
            <c:numRef>
              <c:f>cálculos!$C$49:$N$49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FA-4990-A45C-34D4E0E7CE3B}"/>
            </c:ext>
          </c:extLst>
        </c:ser>
        <c:ser>
          <c:idx val="3"/>
          <c:order val="3"/>
          <c:tx>
            <c:v>Excedente</c:v>
          </c:tx>
          <c:spPr>
            <a:solidFill>
              <a:srgbClr val="00B0F0">
                <a:alpha val="74902"/>
              </a:srgbClr>
            </a:solidFill>
            <a:ln>
              <a:noFill/>
            </a:ln>
            <a:effectLst/>
          </c:spPr>
          <c:invertIfNegative val="0"/>
          <c:val>
            <c:numRef>
              <c:f>cálculos!$C$51:$N$51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FA-4990-A45C-34D4E0E7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0022352"/>
        <c:axId val="1040015824"/>
      </c:barChart>
      <c:catAx>
        <c:axId val="1040022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ES"/>
          </a:p>
        </c:txPr>
        <c:crossAx val="1040015824"/>
        <c:crossesAt val="0"/>
        <c:auto val="1"/>
        <c:lblAlgn val="ctr"/>
        <c:lblOffset val="100"/>
        <c:noMultiLvlLbl val="0"/>
      </c:catAx>
      <c:valAx>
        <c:axId val="1040015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1040022352"/>
        <c:crosses val="autoZero"/>
        <c:crossBetween val="between"/>
      </c:valAx>
      <c:spPr>
        <a:noFill/>
        <a:ln cap="flat">
          <a:noFill/>
        </a:ln>
        <a:effectLst/>
      </c:spPr>
    </c:plotArea>
    <c:legend>
      <c:legendPos val="t"/>
      <c:layout>
        <c:manualLayout>
          <c:xMode val="edge"/>
          <c:yMode val="edge"/>
          <c:x val="4.1154215176439683E-2"/>
          <c:y val="2.3196987543586199E-2"/>
          <c:w val="0.94657373024931035"/>
          <c:h val="0.1077806926144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2115C1"/>
                </a:solidFill>
                <a:latin typeface="+mn-lt"/>
                <a:ea typeface="+mn-ea"/>
                <a:cs typeface="+mn-cs"/>
              </a:defRPr>
            </a:pPr>
            <a:r>
              <a:rPr lang="es-ES" sz="2000" b="0">
                <a:solidFill>
                  <a:srgbClr val="2115C1"/>
                </a:solidFill>
              </a:rPr>
              <a:t>Perfil</a:t>
            </a:r>
            <a:r>
              <a:rPr lang="es-ES" sz="2000" b="0" baseline="0">
                <a:solidFill>
                  <a:srgbClr val="2115C1"/>
                </a:solidFill>
              </a:rPr>
              <a:t> de </a:t>
            </a:r>
            <a:r>
              <a:rPr lang="es-ES" sz="2000" b="1" baseline="0">
                <a:solidFill>
                  <a:srgbClr val="2115C1"/>
                </a:solidFill>
              </a:rPr>
              <a:t>Consumo Mensual 1</a:t>
            </a:r>
            <a:endParaRPr lang="es-ES" sz="2000" b="1">
              <a:solidFill>
                <a:srgbClr val="2115C1"/>
              </a:solidFill>
            </a:endParaRPr>
          </a:p>
        </c:rich>
      </c:tx>
      <c:layout>
        <c:manualLayout>
          <c:xMode val="edge"/>
          <c:yMode val="edge"/>
          <c:x val="3.5641787954938851E-2"/>
          <c:y val="2.770081547293219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50300513311988E-2"/>
          <c:y val="0.21363052825912665"/>
          <c:w val="0.84614278253987929"/>
          <c:h val="0.60584380696054752"/>
        </c:manualLayout>
      </c:layout>
      <c:areaChart>
        <c:grouping val="standard"/>
        <c:varyColors val="0"/>
        <c:ser>
          <c:idx val="1"/>
          <c:order val="0"/>
          <c:tx>
            <c:strRef>
              <c:f>t.con!$B$5</c:f>
              <c:strCache>
                <c:ptCount val="1"/>
                <c:pt idx="0">
                  <c:v>Vivienda habitada todo el año</c:v>
                </c:pt>
              </c:strCache>
            </c:strRef>
          </c:tx>
          <c:spPr>
            <a:solidFill>
              <a:srgbClr val="2115C1">
                <a:alpha val="50196"/>
              </a:srgbClr>
            </a:solidFill>
          </c:spPr>
          <c:val>
            <c:numRef>
              <c:f>t.con!$C$5:$N$5</c:f>
              <c:numCache>
                <c:formatCode>0%</c:formatCode>
                <c:ptCount val="12"/>
                <c:pt idx="0">
                  <c:v>0.12</c:v>
                </c:pt>
                <c:pt idx="1">
                  <c:v>0.11</c:v>
                </c:pt>
                <c:pt idx="2">
                  <c:v>0.06</c:v>
                </c:pt>
                <c:pt idx="3">
                  <c:v>0.06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0.09</c:v>
                </c:pt>
                <c:pt idx="7">
                  <c:v>0.1</c:v>
                </c:pt>
                <c:pt idx="8">
                  <c:v>0.06</c:v>
                </c:pt>
                <c:pt idx="9">
                  <c:v>0.06</c:v>
                </c:pt>
                <c:pt idx="10">
                  <c:v>0.08</c:v>
                </c:pt>
                <c:pt idx="1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DA-4B98-94F5-91E4188B5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22351"/>
        <c:axId val="675122207"/>
      </c:areaChart>
      <c:catAx>
        <c:axId val="129892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122207"/>
        <c:crosses val="autoZero"/>
        <c:auto val="1"/>
        <c:lblAlgn val="ctr"/>
        <c:lblOffset val="100"/>
        <c:noMultiLvlLbl val="0"/>
      </c:catAx>
      <c:valAx>
        <c:axId val="6751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89223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399FF"/>
                </a:solidFill>
                <a:latin typeface="+mn-lt"/>
                <a:ea typeface="+mn-ea"/>
                <a:cs typeface="+mn-cs"/>
              </a:defRPr>
            </a:pPr>
            <a:r>
              <a:rPr lang="es-ES" sz="2000" b="0">
                <a:solidFill>
                  <a:srgbClr val="3399FF"/>
                </a:solidFill>
              </a:rPr>
              <a:t>Perfil</a:t>
            </a:r>
            <a:r>
              <a:rPr lang="es-ES" sz="2000" b="0" baseline="0">
                <a:solidFill>
                  <a:srgbClr val="3399FF"/>
                </a:solidFill>
              </a:rPr>
              <a:t> de </a:t>
            </a:r>
            <a:r>
              <a:rPr lang="es-ES" sz="2000" b="1" baseline="0">
                <a:solidFill>
                  <a:srgbClr val="3399FF"/>
                </a:solidFill>
              </a:rPr>
              <a:t>Consumo Mensual 2</a:t>
            </a:r>
            <a:endParaRPr lang="es-ES" sz="2000" b="1">
              <a:solidFill>
                <a:srgbClr val="3399FF"/>
              </a:solidFill>
            </a:endParaRPr>
          </a:p>
        </c:rich>
      </c:tx>
      <c:layout>
        <c:manualLayout>
          <c:xMode val="edge"/>
          <c:yMode val="edge"/>
          <c:x val="3.5641787954938851E-2"/>
          <c:y val="2.770081547293219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50300513311988E-2"/>
          <c:y val="0.21363052825912665"/>
          <c:w val="0.84614278253987929"/>
          <c:h val="0.60584380696054752"/>
        </c:manualLayout>
      </c:layout>
      <c:areaChart>
        <c:grouping val="standard"/>
        <c:varyColors val="0"/>
        <c:ser>
          <c:idx val="1"/>
          <c:order val="0"/>
          <c:tx>
            <c:strRef>
              <c:f>t.con!$B$6</c:f>
              <c:strCache>
                <c:ptCount val="1"/>
                <c:pt idx="0">
                  <c:v>Vivienda de verano</c:v>
                </c:pt>
              </c:strCache>
            </c:strRef>
          </c:tx>
          <c:spPr>
            <a:solidFill>
              <a:srgbClr val="3399FF">
                <a:alpha val="50196"/>
              </a:srgbClr>
            </a:solidFill>
            <a:ln w="25400">
              <a:noFill/>
            </a:ln>
          </c:spPr>
          <c:val>
            <c:numRef>
              <c:f>t.con!$C$6:$N$6</c:f>
              <c:numCache>
                <c:formatCode>0%</c:formatCode>
                <c:ptCount val="12"/>
                <c:pt idx="0">
                  <c:v>0.08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0.09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0.09</c:v>
                </c:pt>
                <c:pt idx="10">
                  <c:v>7.0000000000000007E-2</c:v>
                </c:pt>
                <c:pt idx="1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E-4A4B-A62E-0B0FD0863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22351"/>
        <c:axId val="675122207"/>
      </c:areaChart>
      <c:catAx>
        <c:axId val="129892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122207"/>
        <c:crosses val="autoZero"/>
        <c:auto val="1"/>
        <c:lblAlgn val="ctr"/>
        <c:lblOffset val="100"/>
        <c:noMultiLvlLbl val="0"/>
      </c:catAx>
      <c:valAx>
        <c:axId val="6751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89223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  <a:r>
              <a:rPr lang="es-ES" sz="2000" b="0">
                <a:solidFill>
                  <a:srgbClr val="92D050"/>
                </a:solidFill>
              </a:rPr>
              <a:t>Perfil</a:t>
            </a:r>
            <a:r>
              <a:rPr lang="es-ES" sz="2000" b="0" baseline="0">
                <a:solidFill>
                  <a:srgbClr val="92D050"/>
                </a:solidFill>
              </a:rPr>
              <a:t> de </a:t>
            </a:r>
            <a:r>
              <a:rPr lang="es-ES" sz="2000" b="1" baseline="0">
                <a:solidFill>
                  <a:srgbClr val="92D050"/>
                </a:solidFill>
              </a:rPr>
              <a:t>Consumo Mensual 3</a:t>
            </a:r>
            <a:endParaRPr lang="es-ES" sz="2000" b="1">
              <a:solidFill>
                <a:srgbClr val="92D050"/>
              </a:solidFill>
            </a:endParaRPr>
          </a:p>
        </c:rich>
      </c:tx>
      <c:layout>
        <c:manualLayout>
          <c:xMode val="edge"/>
          <c:yMode val="edge"/>
          <c:x val="4.092623897701024E-2"/>
          <c:y val="3.125641294838145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50300513311988E-2"/>
          <c:y val="0.21363052825912665"/>
          <c:w val="0.84614278253987929"/>
          <c:h val="0.60584380696054752"/>
        </c:manualLayout>
      </c:layout>
      <c:areaChart>
        <c:grouping val="standard"/>
        <c:varyColors val="0"/>
        <c:ser>
          <c:idx val="1"/>
          <c:order val="0"/>
          <c:tx>
            <c:strRef>
              <c:f>t.con!$B$7</c:f>
              <c:strCache>
                <c:ptCount val="1"/>
                <c:pt idx="0">
                  <c:v>Comercio</c:v>
                </c:pt>
              </c:strCache>
            </c:strRef>
          </c:tx>
          <c:spPr>
            <a:solidFill>
              <a:srgbClr val="92D050">
                <a:alpha val="50196"/>
              </a:srgbClr>
            </a:solidFill>
            <a:ln w="25400">
              <a:noFill/>
            </a:ln>
          </c:spPr>
          <c:val>
            <c:numRef>
              <c:f>t.con!$C$7:$N$7</c:f>
              <c:numCache>
                <c:formatCode>0%</c:formatCode>
                <c:ptCount val="12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0.06</c:v>
                </c:pt>
                <c:pt idx="1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7-4718-A545-1624FEE32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22351"/>
        <c:axId val="675122207"/>
      </c:areaChart>
      <c:catAx>
        <c:axId val="129892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122207"/>
        <c:crosses val="autoZero"/>
        <c:auto val="1"/>
        <c:lblAlgn val="ctr"/>
        <c:lblOffset val="100"/>
        <c:noMultiLvlLbl val="0"/>
      </c:catAx>
      <c:valAx>
        <c:axId val="6751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89223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s-ES" sz="2000" b="0">
                <a:solidFill>
                  <a:srgbClr val="7030A0"/>
                </a:solidFill>
              </a:rPr>
              <a:t>Perfil</a:t>
            </a:r>
            <a:r>
              <a:rPr lang="es-ES" sz="2000" b="0" baseline="0">
                <a:solidFill>
                  <a:srgbClr val="7030A0"/>
                </a:solidFill>
              </a:rPr>
              <a:t> de </a:t>
            </a:r>
            <a:r>
              <a:rPr lang="es-ES" sz="2000" b="1" baseline="0">
                <a:solidFill>
                  <a:srgbClr val="7030A0"/>
                </a:solidFill>
              </a:rPr>
              <a:t>Consumo Mensual 4</a:t>
            </a:r>
            <a:endParaRPr lang="es-ES" sz="2000" b="1">
              <a:solidFill>
                <a:srgbClr val="7030A0"/>
              </a:solidFill>
            </a:endParaRPr>
          </a:p>
        </c:rich>
      </c:tx>
      <c:layout>
        <c:manualLayout>
          <c:xMode val="edge"/>
          <c:yMode val="edge"/>
          <c:x val="3.2258075440885763E-2"/>
          <c:y val="4.54900181234015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50300513311988E-2"/>
          <c:y val="0.21363052825912665"/>
          <c:w val="0.84614278253987929"/>
          <c:h val="0.60584380696054752"/>
        </c:manualLayout>
      </c:layout>
      <c:areaChart>
        <c:grouping val="standard"/>
        <c:varyColors val="0"/>
        <c:ser>
          <c:idx val="1"/>
          <c:order val="0"/>
          <c:tx>
            <c:strRef>
              <c:f>t.con!$B$7</c:f>
              <c:strCache>
                <c:ptCount val="1"/>
                <c:pt idx="0">
                  <c:v>Comercio</c:v>
                </c:pt>
              </c:strCache>
            </c:strRef>
          </c:tx>
          <c:spPr>
            <a:solidFill>
              <a:srgbClr val="7030A0">
                <a:alpha val="50196"/>
              </a:srgbClr>
            </a:solidFill>
            <a:ln w="25400">
              <a:noFill/>
            </a:ln>
          </c:spPr>
          <c:val>
            <c:numRef>
              <c:f>t.con!$C$7:$N$7</c:f>
              <c:numCache>
                <c:formatCode>0%</c:formatCode>
                <c:ptCount val="12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0.06</c:v>
                </c:pt>
                <c:pt idx="1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2-4354-AB56-5CB87A8FF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22351"/>
        <c:axId val="675122207"/>
      </c:areaChart>
      <c:catAx>
        <c:axId val="129892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122207"/>
        <c:crosses val="autoZero"/>
        <c:auto val="1"/>
        <c:lblAlgn val="ctr"/>
        <c:lblOffset val="100"/>
        <c:noMultiLvlLbl val="0"/>
      </c:catAx>
      <c:valAx>
        <c:axId val="6751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89223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1.emf"/><Relationship Id="rId7" Type="http://schemas.openxmlformats.org/officeDocument/2006/relationships/image" Target="../media/image11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10" Type="http://schemas.openxmlformats.org/officeDocument/2006/relationships/image" Target="../media/image14.jpeg"/><Relationship Id="rId4" Type="http://schemas.openxmlformats.org/officeDocument/2006/relationships/image" Target="../media/image8.jpeg"/><Relationship Id="rId9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39</xdr:row>
      <xdr:rowOff>106680</xdr:rowOff>
    </xdr:from>
    <xdr:to>
      <xdr:col>4</xdr:col>
      <xdr:colOff>0</xdr:colOff>
      <xdr:row>48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0311BA-4A37-4CC7-ADB9-157C97230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102</xdr:row>
          <xdr:rowOff>44825</xdr:rowOff>
        </xdr:from>
        <xdr:to>
          <xdr:col>1</xdr:col>
          <xdr:colOff>1849210</xdr:colOff>
          <xdr:row>102</xdr:row>
          <xdr:rowOff>1278328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93F58C38-3448-4FAC-B9EF-8B3ED9D0E04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BUSCA" spid="_x0000_s33220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5430"/>
            <a:stretch>
              <a:fillRect/>
            </a:stretch>
          </xdr:blipFill>
          <xdr:spPr>
            <a:xfrm>
              <a:off x="457200" y="24572260"/>
              <a:ext cx="1837765" cy="121920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752666</xdr:colOff>
      <xdr:row>39</xdr:row>
      <xdr:rowOff>159340</xdr:rowOff>
    </xdr:from>
    <xdr:to>
      <xdr:col>3</xdr:col>
      <xdr:colOff>980738</xdr:colOff>
      <xdr:row>44</xdr:row>
      <xdr:rowOff>69983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90DEC8-3B48-45C3-A172-B88544B81E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8" t="9972" r="6576" b="15446"/>
        <a:stretch/>
      </xdr:blipFill>
      <xdr:spPr>
        <a:xfrm>
          <a:off x="1469842" y="12243764"/>
          <a:ext cx="2379602" cy="1102948"/>
        </a:xfrm>
        <a:prstGeom prst="rect">
          <a:avLst/>
        </a:prstGeom>
      </xdr:spPr>
    </xdr:pic>
    <xdr:clientData/>
  </xdr:twoCellAnchor>
  <xdr:twoCellAnchor editAs="oneCell">
    <xdr:from>
      <xdr:col>0</xdr:col>
      <xdr:colOff>283187</xdr:colOff>
      <xdr:row>0</xdr:row>
      <xdr:rowOff>24927</xdr:rowOff>
    </xdr:from>
    <xdr:to>
      <xdr:col>3</xdr:col>
      <xdr:colOff>206116</xdr:colOff>
      <xdr:row>5</xdr:row>
      <xdr:rowOff>97973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7B9447-9948-4D42-B319-C9BE3727E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187" y="24927"/>
          <a:ext cx="2785872" cy="11398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1056836</xdr:colOff>
      <xdr:row>0</xdr:row>
      <xdr:rowOff>135161</xdr:rowOff>
    </xdr:from>
    <xdr:to>
      <xdr:col>6</xdr:col>
      <xdr:colOff>1057421</xdr:colOff>
      <xdr:row>4</xdr:row>
      <xdr:rowOff>158607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8FC7DE40-3497-4F8F-832D-9CE344A761A0}"/>
            </a:ext>
          </a:extLst>
        </xdr:cNvPr>
        <xdr:cNvCxnSpPr/>
      </xdr:nvCxnSpPr>
      <xdr:spPr>
        <a:xfrm flipH="1">
          <a:off x="9107142" y="135161"/>
          <a:ext cx="585" cy="857164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2771853</xdr:colOff>
      <xdr:row>1</xdr:row>
      <xdr:rowOff>8619</xdr:rowOff>
    </xdr:from>
    <xdr:to>
      <xdr:col>3</xdr:col>
      <xdr:colOff>2772438</xdr:colOff>
      <xdr:row>4</xdr:row>
      <xdr:rowOff>202050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4DDD0C91-C9D3-4D46-B648-272B97ACAA05}"/>
            </a:ext>
          </a:extLst>
        </xdr:cNvPr>
        <xdr:cNvCxnSpPr/>
      </xdr:nvCxnSpPr>
      <xdr:spPr>
        <a:xfrm flipH="1">
          <a:off x="6537029" y="178948"/>
          <a:ext cx="585" cy="856820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188264</xdr:colOff>
      <xdr:row>11</xdr:row>
      <xdr:rowOff>143431</xdr:rowOff>
    </xdr:from>
    <xdr:to>
      <xdr:col>3</xdr:col>
      <xdr:colOff>1488146</xdr:colOff>
      <xdr:row>19</xdr:row>
      <xdr:rowOff>251010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DE29979-AFC7-4333-A98B-FC21B94D50FE}"/>
            </a:ext>
          </a:extLst>
        </xdr:cNvPr>
        <xdr:cNvSpPr/>
      </xdr:nvSpPr>
      <xdr:spPr>
        <a:xfrm>
          <a:off x="519958" y="3532090"/>
          <a:ext cx="3836894" cy="1882591"/>
        </a:xfrm>
        <a:prstGeom prst="rect">
          <a:avLst/>
        </a:prstGeom>
        <a:noFill/>
        <a:ln w="19050">
          <a:solidFill>
            <a:schemeClr val="tx1">
              <a:lumMod val="75000"/>
              <a:lumOff val="25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2823887</xdr:colOff>
      <xdr:row>11</xdr:row>
      <xdr:rowOff>143431</xdr:rowOff>
    </xdr:from>
    <xdr:to>
      <xdr:col>7</xdr:col>
      <xdr:colOff>1344706</xdr:colOff>
      <xdr:row>19</xdr:row>
      <xdr:rowOff>251010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8DBB0215-6358-43DA-B8C1-AE5EE549282A}"/>
            </a:ext>
          </a:extLst>
        </xdr:cNvPr>
        <xdr:cNvSpPr/>
      </xdr:nvSpPr>
      <xdr:spPr>
        <a:xfrm>
          <a:off x="5692593" y="3532090"/>
          <a:ext cx="4912654" cy="1882591"/>
        </a:xfrm>
        <a:prstGeom prst="rect">
          <a:avLst/>
        </a:prstGeom>
        <a:noFill/>
        <a:ln w="19050">
          <a:solidFill>
            <a:schemeClr val="tx1">
              <a:lumMod val="75000"/>
              <a:lumOff val="25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1009650</xdr:colOff>
      <xdr:row>15</xdr:row>
      <xdr:rowOff>17398</xdr:rowOff>
    </xdr:from>
    <xdr:to>
      <xdr:col>9</xdr:col>
      <xdr:colOff>8496300</xdr:colOff>
      <xdr:row>68</xdr:row>
      <xdr:rowOff>2552700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BBC260-22E9-4276-9F70-568C4873C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11790312</xdr:colOff>
      <xdr:row>16</xdr:row>
      <xdr:rowOff>60960</xdr:rowOff>
    </xdr:from>
    <xdr:to>
      <xdr:col>31</xdr:col>
      <xdr:colOff>121920</xdr:colOff>
      <xdr:row>68</xdr:row>
      <xdr:rowOff>3108960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E59296-6A76-48A3-91A9-19CD40CE7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9</xdr:row>
      <xdr:rowOff>123825</xdr:rowOff>
    </xdr:from>
    <xdr:to>
      <xdr:col>5</xdr:col>
      <xdr:colOff>695325</xdr:colOff>
      <xdr:row>27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10911F-B070-4A9D-940C-7B46BED5F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9</xdr:row>
      <xdr:rowOff>123825</xdr:rowOff>
    </xdr:from>
    <xdr:to>
      <xdr:col>13</xdr:col>
      <xdr:colOff>480058</xdr:colOff>
      <xdr:row>27</xdr:row>
      <xdr:rowOff>87630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308A7CC-DCCE-448F-A5EE-75EFCA767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142875</xdr:rowOff>
    </xdr:from>
    <xdr:to>
      <xdr:col>5</xdr:col>
      <xdr:colOff>685798</xdr:colOff>
      <xdr:row>46</xdr:row>
      <xdr:rowOff>112395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D33C343-FA08-4D14-A595-0C6B54004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180975</xdr:colOff>
      <xdr:row>28</xdr:row>
      <xdr:rowOff>152400</xdr:rowOff>
    </xdr:from>
    <xdr:to>
      <xdr:col>13</xdr:col>
      <xdr:colOff>470533</xdr:colOff>
      <xdr:row>46</xdr:row>
      <xdr:rowOff>120015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4B13EA9-CF08-455C-9F4D-E09764D5F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62753</xdr:colOff>
      <xdr:row>2</xdr:row>
      <xdr:rowOff>57785</xdr:rowOff>
    </xdr:from>
    <xdr:to>
      <xdr:col>1</xdr:col>
      <xdr:colOff>1742661</xdr:colOff>
      <xdr:row>2</xdr:row>
      <xdr:rowOff>1228613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A7743-0A2D-3D20-72E9-84763BA0A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430"/>
        <a:stretch/>
      </xdr:blipFill>
      <xdr:spPr>
        <a:xfrm>
          <a:off x="2408388" y="773402"/>
          <a:ext cx="1679908" cy="1170828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3</xdr:row>
      <xdr:rowOff>42985</xdr:rowOff>
    </xdr:from>
    <xdr:to>
      <xdr:col>1</xdr:col>
      <xdr:colOff>1758269</xdr:colOff>
      <xdr:row>3</xdr:row>
      <xdr:rowOff>1021819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86199AA-12B7-27D1-F21C-964AC1527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6138" y="2154814"/>
          <a:ext cx="1713445" cy="97883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90897</xdr:colOff>
          <xdr:row>2</xdr:row>
          <xdr:rowOff>51163</xdr:rowOff>
        </xdr:from>
        <xdr:to>
          <xdr:col>9</xdr:col>
          <xdr:colOff>1928662</xdr:colOff>
          <xdr:row>2</xdr:row>
          <xdr:rowOff>1198645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93CFED3C-19E5-43E3-A1BA-33CE8D533D9E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BUSCA" spid="_x0000_s62516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r="5430"/>
            <a:stretch>
              <a:fillRect/>
            </a:stretch>
          </xdr:blipFill>
          <xdr:spPr>
            <a:xfrm>
              <a:off x="16496309" y="875916"/>
              <a:ext cx="1837765" cy="1147482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1</xdr:col>
      <xdr:colOff>60960</xdr:colOff>
      <xdr:row>9</xdr:row>
      <xdr:rowOff>45720</xdr:rowOff>
    </xdr:from>
    <xdr:to>
      <xdr:col>1</xdr:col>
      <xdr:colOff>1746666</xdr:colOff>
      <xdr:row>9</xdr:row>
      <xdr:rowOff>1123039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7775151-736D-44A0-ACF5-6D6423859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6080760"/>
          <a:ext cx="1685706" cy="1077319"/>
        </a:xfrm>
        <a:prstGeom prst="rect">
          <a:avLst/>
        </a:prstGeom>
      </xdr:spPr>
    </xdr:pic>
    <xdr:clientData/>
  </xdr:twoCellAnchor>
  <xdr:twoCellAnchor editAs="oneCell">
    <xdr:from>
      <xdr:col>1</xdr:col>
      <xdr:colOff>35858</xdr:colOff>
      <xdr:row>4</xdr:row>
      <xdr:rowOff>68659</xdr:rowOff>
    </xdr:from>
    <xdr:to>
      <xdr:col>1</xdr:col>
      <xdr:colOff>1743763</xdr:colOff>
      <xdr:row>5</xdr:row>
      <xdr:rowOff>12488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86A7F73-12D4-7621-A6FB-7F4A403A1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611" y="3278024"/>
          <a:ext cx="1707905" cy="1046488"/>
        </a:xfrm>
        <a:prstGeom prst="rect">
          <a:avLst/>
        </a:prstGeom>
      </xdr:spPr>
    </xdr:pic>
    <xdr:clientData/>
  </xdr:twoCellAnchor>
  <xdr:twoCellAnchor editAs="oneCell">
    <xdr:from>
      <xdr:col>1</xdr:col>
      <xdr:colOff>53788</xdr:colOff>
      <xdr:row>6</xdr:row>
      <xdr:rowOff>88485</xdr:rowOff>
    </xdr:from>
    <xdr:to>
      <xdr:col>1</xdr:col>
      <xdr:colOff>1739151</xdr:colOff>
      <xdr:row>6</xdr:row>
      <xdr:rowOff>1076048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CB2309D-42BE-3D21-8DC3-C90F5AC9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2541" y="4400509"/>
          <a:ext cx="1685363" cy="987563"/>
        </a:xfrm>
        <a:prstGeom prst="rect">
          <a:avLst/>
        </a:prstGeom>
      </xdr:spPr>
    </xdr:pic>
    <xdr:clientData/>
  </xdr:twoCellAnchor>
  <xdr:twoCellAnchor editAs="oneCell">
    <xdr:from>
      <xdr:col>1</xdr:col>
      <xdr:colOff>23253</xdr:colOff>
      <xdr:row>7</xdr:row>
      <xdr:rowOff>68710</xdr:rowOff>
    </xdr:from>
    <xdr:to>
      <xdr:col>1</xdr:col>
      <xdr:colOff>1729684</xdr:colOff>
      <xdr:row>7</xdr:row>
      <xdr:rowOff>1093244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1AF1F33-CD72-0E8B-3A7C-50E91B8B1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166" y="5564635"/>
          <a:ext cx="1706431" cy="1024534"/>
        </a:xfrm>
        <a:prstGeom prst="rect">
          <a:avLst/>
        </a:prstGeom>
      </xdr:spPr>
    </xdr:pic>
    <xdr:clientData/>
  </xdr:twoCellAnchor>
  <xdr:twoCellAnchor editAs="oneCell">
    <xdr:from>
      <xdr:col>1</xdr:col>
      <xdr:colOff>30534</xdr:colOff>
      <xdr:row>8</xdr:row>
      <xdr:rowOff>42259</xdr:rowOff>
    </xdr:from>
    <xdr:to>
      <xdr:col>1</xdr:col>
      <xdr:colOff>1733548</xdr:colOff>
      <xdr:row>8</xdr:row>
      <xdr:rowOff>1118494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4550BE-2F0C-5E20-A857-BE4F79A7D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8447" y="6757384"/>
          <a:ext cx="1703014" cy="1076235"/>
        </a:xfrm>
        <a:prstGeom prst="rect">
          <a:avLst/>
        </a:prstGeom>
      </xdr:spPr>
    </xdr:pic>
    <xdr:clientData/>
  </xdr:twoCellAnchor>
  <xdr:twoCellAnchor editAs="oneCell">
    <xdr:from>
      <xdr:col>1</xdr:col>
      <xdr:colOff>79510</xdr:colOff>
      <xdr:row>10</xdr:row>
      <xdr:rowOff>178951</xdr:rowOff>
    </xdr:from>
    <xdr:to>
      <xdr:col>1</xdr:col>
      <xdr:colOff>1721110</xdr:colOff>
      <xdr:row>10</xdr:row>
      <xdr:rowOff>1183723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9618B8-041D-4BBB-843D-14DCC9DCE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0824" y="9246751"/>
          <a:ext cx="1641600" cy="1004772"/>
        </a:xfrm>
        <a:prstGeom prst="rect">
          <a:avLst/>
        </a:prstGeom>
      </xdr:spPr>
    </xdr:pic>
    <xdr:clientData/>
  </xdr:twoCellAnchor>
  <xdr:twoCellAnchor editAs="oneCell">
    <xdr:from>
      <xdr:col>1</xdr:col>
      <xdr:colOff>32658</xdr:colOff>
      <xdr:row>5</xdr:row>
      <xdr:rowOff>304800</xdr:rowOff>
    </xdr:from>
    <xdr:to>
      <xdr:col>1</xdr:col>
      <xdr:colOff>1706880</xdr:colOff>
      <xdr:row>5</xdr:row>
      <xdr:rowOff>1080950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2D3942E-91A2-4711-959C-DEA1903698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762"/>
        <a:stretch/>
      </xdr:blipFill>
      <xdr:spPr>
        <a:xfrm>
          <a:off x="2383972" y="4637314"/>
          <a:ext cx="1674222" cy="776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toniod.olivero@gmail.com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E283-B195-4D3A-85A6-335519D6205F}">
  <sheetPr codeName="Hoja1">
    <tabColor rgb="FF92D050"/>
  </sheetPr>
  <dimension ref="A2:I142"/>
  <sheetViews>
    <sheetView showGridLines="0" showZeros="0" topLeftCell="A106" zoomScale="85" zoomScaleNormal="85" zoomScaleSheetLayoutView="55" workbookViewId="0">
      <selection activeCell="H112" sqref="H112"/>
    </sheetView>
  </sheetViews>
  <sheetFormatPr baseColWidth="10" defaultColWidth="11.5546875" defaultRowHeight="15.6"/>
  <cols>
    <col min="1" max="1" width="6.6640625" style="127" customWidth="1"/>
    <col min="2" max="2" width="54.88671875" style="26" customWidth="1"/>
    <col min="3" max="3" width="9.44140625" style="127" customWidth="1"/>
    <col min="4" max="4" width="41.109375" style="127" customWidth="1"/>
    <col min="5" max="5" width="8.5546875" style="26" customWidth="1"/>
    <col min="6" max="6" width="45.77734375" style="127" customWidth="1"/>
    <col min="7" max="7" width="9.5546875" style="127" customWidth="1"/>
    <col min="8" max="8" width="34.5546875" style="127" customWidth="1"/>
    <col min="9" max="9" width="20" style="127" customWidth="1"/>
    <col min="10" max="16384" width="11.5546875" style="127"/>
  </cols>
  <sheetData>
    <row r="2" spans="2:8" ht="15.6" customHeight="1">
      <c r="B2" s="26" t="s">
        <v>224</v>
      </c>
      <c r="C2" s="166"/>
      <c r="D2" s="127" t="s">
        <v>269</v>
      </c>
      <c r="E2" s="166"/>
      <c r="F2" s="166"/>
      <c r="G2" s="166"/>
      <c r="H2" s="166"/>
    </row>
    <row r="3" spans="2:8" ht="19.2" customHeight="1">
      <c r="B3" s="186" t="s">
        <v>225</v>
      </c>
      <c r="D3" s="420">
        <f ca="1">TODAY()</f>
        <v>45568</v>
      </c>
      <c r="F3" s="26"/>
      <c r="G3" s="26"/>
      <c r="H3" s="26"/>
    </row>
    <row r="4" spans="2:8" ht="21" customHeight="1">
      <c r="B4" s="175" t="s">
        <v>584</v>
      </c>
      <c r="D4" s="175"/>
      <c r="F4" s="26"/>
      <c r="G4" s="26"/>
      <c r="H4" s="26"/>
    </row>
    <row r="5" spans="2:8" ht="21" customHeight="1">
      <c r="B5" s="172" t="s">
        <v>346</v>
      </c>
      <c r="D5" s="175"/>
      <c r="F5" s="26"/>
      <c r="G5" s="26"/>
      <c r="H5" s="26"/>
    </row>
    <row r="6" spans="2:8" ht="21" customHeight="1">
      <c r="B6" s="127"/>
      <c r="F6" s="26"/>
      <c r="G6" s="26"/>
      <c r="H6" s="26"/>
    </row>
    <row r="7" spans="2:8" ht="28.8">
      <c r="B7" s="266" t="s">
        <v>142</v>
      </c>
      <c r="C7" s="267"/>
      <c r="D7" s="267"/>
      <c r="E7" s="268"/>
      <c r="F7" s="267"/>
      <c r="G7" s="267"/>
      <c r="H7" s="267"/>
    </row>
    <row r="8" spans="2:8" ht="32.4" customHeight="1" thickBot="1">
      <c r="B8" s="270" t="s">
        <v>416</v>
      </c>
      <c r="C8" s="271"/>
      <c r="D8" s="272"/>
      <c r="E8" s="271"/>
      <c r="F8" s="272"/>
      <c r="G8" s="273"/>
      <c r="H8" s="273"/>
    </row>
    <row r="9" spans="2:8" ht="16.2" customHeight="1">
      <c r="B9" s="174"/>
      <c r="C9" s="166"/>
      <c r="D9" s="173"/>
      <c r="E9" s="166"/>
      <c r="F9" s="173"/>
    </row>
    <row r="10" spans="2:8">
      <c r="B10" s="26" t="s">
        <v>227</v>
      </c>
      <c r="C10" s="26"/>
      <c r="D10" s="127" t="s">
        <v>231</v>
      </c>
      <c r="F10" s="127" t="s">
        <v>283</v>
      </c>
      <c r="H10" s="127" t="s">
        <v>455</v>
      </c>
    </row>
    <row r="11" spans="2:8" ht="19.8" customHeight="1">
      <c r="B11" s="172"/>
      <c r="C11" s="26"/>
      <c r="D11" s="254" t="s">
        <v>389</v>
      </c>
      <c r="F11" s="172"/>
      <c r="H11" s="254" t="s">
        <v>389</v>
      </c>
    </row>
    <row r="12" spans="2:8" ht="19.2" customHeight="1">
      <c r="B12" s="26" t="s">
        <v>228</v>
      </c>
      <c r="D12" s="127" t="s">
        <v>229</v>
      </c>
      <c r="F12" s="127" t="s">
        <v>230</v>
      </c>
      <c r="H12" s="127" t="s">
        <v>141</v>
      </c>
    </row>
    <row r="13" spans="2:8" ht="22.2" customHeight="1">
      <c r="B13" s="172" t="s">
        <v>389</v>
      </c>
      <c r="D13" s="167" t="s">
        <v>389</v>
      </c>
      <c r="F13" s="254" t="s">
        <v>389</v>
      </c>
      <c r="H13" s="254" t="s">
        <v>389</v>
      </c>
    </row>
    <row r="14" spans="2:8" ht="32.4" customHeight="1" thickBot="1">
      <c r="B14" s="270" t="s">
        <v>226</v>
      </c>
      <c r="C14" s="271"/>
      <c r="D14" s="272"/>
      <c r="E14" s="271"/>
      <c r="F14" s="272"/>
      <c r="G14" s="273"/>
      <c r="H14" s="273"/>
    </row>
    <row r="15" spans="2:8" ht="17.399999999999999" customHeight="1">
      <c r="B15" s="174"/>
      <c r="C15" s="166"/>
      <c r="D15" s="173"/>
      <c r="E15" s="166"/>
      <c r="F15" s="173"/>
    </row>
    <row r="16" spans="2:8">
      <c r="B16" s="26" t="s">
        <v>232</v>
      </c>
      <c r="D16" s="127" t="s">
        <v>233</v>
      </c>
      <c r="F16" s="127" t="s">
        <v>234</v>
      </c>
      <c r="H16" s="127" t="s">
        <v>235</v>
      </c>
    </row>
    <row r="17" spans="2:8" ht="16.2" customHeight="1">
      <c r="B17" s="254" t="s">
        <v>389</v>
      </c>
      <c r="D17" s="167" t="s">
        <v>389</v>
      </c>
      <c r="F17" s="435" t="s">
        <v>389</v>
      </c>
      <c r="H17" s="167" t="s">
        <v>389</v>
      </c>
    </row>
    <row r="18" spans="2:8" ht="21">
      <c r="B18" s="133"/>
    </row>
    <row r="19" spans="2:8">
      <c r="B19" s="26" t="s">
        <v>447</v>
      </c>
    </row>
    <row r="20" spans="2:8">
      <c r="B20" s="172" t="s">
        <v>389</v>
      </c>
    </row>
    <row r="21" spans="2:8" ht="36" customHeight="1" thickBot="1">
      <c r="B21" s="270" t="s">
        <v>374</v>
      </c>
      <c r="C21" s="271"/>
      <c r="D21" s="272"/>
      <c r="E21" s="271"/>
      <c r="F21" s="272"/>
      <c r="G21" s="273"/>
      <c r="H21" s="273"/>
    </row>
    <row r="23" spans="2:8">
      <c r="B23" s="26" t="s">
        <v>361</v>
      </c>
      <c r="D23" s="422" t="s">
        <v>585</v>
      </c>
      <c r="F23" s="423"/>
    </row>
    <row r="24" spans="2:8" ht="21">
      <c r="B24" s="167" t="s">
        <v>632</v>
      </c>
      <c r="D24" s="167" t="s">
        <v>20</v>
      </c>
      <c r="F24" s="173"/>
    </row>
    <row r="26" spans="2:8" ht="21">
      <c r="B26" s="26" t="s">
        <v>419</v>
      </c>
      <c r="C26" s="166"/>
      <c r="D26" s="173"/>
      <c r="E26" s="166"/>
      <c r="F26" s="173"/>
    </row>
    <row r="27" spans="2:8">
      <c r="H27" s="191" t="s">
        <v>290</v>
      </c>
    </row>
    <row r="28" spans="2:8">
      <c r="B28" s="26" t="s">
        <v>473</v>
      </c>
      <c r="D28" s="127" t="s">
        <v>264</v>
      </c>
      <c r="F28" s="127" t="s">
        <v>265</v>
      </c>
      <c r="H28" s="212">
        <f>IF(B29=ecov!N5,
VLOOKUP(D29,ecov!B17:D26,MATCH(F29,ecov!B17:D17,0),),
IF(B29=ecov!N6,
VLOOKUP(D29,ecov!E17:G26,MATCH(F29,ecov!E17:G17,0),),
IF(B29=ecov!N7,
VLOOKUP(D29,ecov!H17:J26,MATCH(F29,ecov!H17:J17,0),),
)))</f>
        <v>4.05</v>
      </c>
    </row>
    <row r="29" spans="2:8">
      <c r="B29" s="167" t="s">
        <v>268</v>
      </c>
      <c r="D29" s="172">
        <v>125</v>
      </c>
      <c r="F29" s="172">
        <v>1</v>
      </c>
      <c r="H29" s="212" t="str">
        <f>IF(H28&lt;=p_gen,"CUMPLE","NO CUMPLE")</f>
        <v>CUMPLE</v>
      </c>
    </row>
    <row r="30" spans="2:8" ht="21" customHeight="1">
      <c r="B30" s="26" t="s">
        <v>389</v>
      </c>
      <c r="H30" s="191"/>
    </row>
    <row r="31" spans="2:8" ht="28.8">
      <c r="B31" s="266" t="s">
        <v>236</v>
      </c>
      <c r="C31" s="267"/>
      <c r="D31" s="267"/>
      <c r="E31" s="268"/>
      <c r="F31" s="267"/>
      <c r="G31" s="267"/>
      <c r="H31" s="267"/>
    </row>
    <row r="33" spans="1:8">
      <c r="B33" s="175" t="s">
        <v>237</v>
      </c>
      <c r="D33" s="175" t="s">
        <v>238</v>
      </c>
    </row>
    <row r="34" spans="1:8">
      <c r="B34" s="177" t="s">
        <v>629</v>
      </c>
      <c r="D34" s="193">
        <v>4</v>
      </c>
    </row>
    <row r="35" spans="1:8">
      <c r="B35" s="178" t="s">
        <v>273</v>
      </c>
      <c r="D35" s="175" t="s">
        <v>341</v>
      </c>
    </row>
    <row r="36" spans="1:8" ht="18" customHeight="1">
      <c r="B36" s="177" t="s">
        <v>257</v>
      </c>
      <c r="D36" s="177">
        <v>18171</v>
      </c>
      <c r="E36" s="168"/>
    </row>
    <row r="37" spans="1:8">
      <c r="A37" s="128"/>
      <c r="B37" s="127"/>
      <c r="E37" s="169"/>
    </row>
    <row r="38" spans="1:8" ht="32.4" customHeight="1" thickBot="1">
      <c r="B38" s="270" t="s">
        <v>420</v>
      </c>
      <c r="C38" s="271"/>
      <c r="D38" s="272"/>
      <c r="E38" s="271"/>
      <c r="F38" s="272"/>
      <c r="G38" s="273"/>
      <c r="H38" s="273"/>
    </row>
    <row r="39" spans="1:8">
      <c r="A39" s="128"/>
      <c r="B39" s="178"/>
      <c r="C39" s="179"/>
      <c r="E39" s="171"/>
    </row>
    <row r="40" spans="1:8">
      <c r="A40" s="128"/>
      <c r="B40" s="175" t="s">
        <v>25</v>
      </c>
      <c r="D40" s="175" t="s">
        <v>29</v>
      </c>
      <c r="E40" s="171"/>
      <c r="F40" s="127" t="s">
        <v>33</v>
      </c>
    </row>
    <row r="41" spans="1:8">
      <c r="A41" s="128"/>
      <c r="B41" s="180">
        <v>330</v>
      </c>
      <c r="D41" s="180">
        <v>212</v>
      </c>
      <c r="E41" s="171"/>
      <c r="F41" s="180">
        <v>283</v>
      </c>
    </row>
    <row r="42" spans="1:8">
      <c r="A42" s="128"/>
      <c r="B42" s="175" t="s">
        <v>26</v>
      </c>
      <c r="D42" s="175" t="s">
        <v>30</v>
      </c>
      <c r="E42" s="171"/>
      <c r="F42" s="127" t="s">
        <v>34</v>
      </c>
    </row>
    <row r="43" spans="1:8">
      <c r="A43" s="128"/>
      <c r="B43" s="180">
        <v>276</v>
      </c>
      <c r="D43" s="180">
        <v>408</v>
      </c>
      <c r="E43" s="171"/>
      <c r="F43" s="180">
        <v>320</v>
      </c>
    </row>
    <row r="44" spans="1:8">
      <c r="A44" s="128"/>
      <c r="B44" s="175" t="s">
        <v>27</v>
      </c>
      <c r="D44" s="127" t="s">
        <v>31</v>
      </c>
      <c r="E44" s="171"/>
      <c r="F44" s="127" t="s">
        <v>35</v>
      </c>
    </row>
    <row r="45" spans="1:8">
      <c r="A45" s="128"/>
      <c r="B45" s="180">
        <v>232</v>
      </c>
      <c r="D45" s="180">
        <v>454</v>
      </c>
      <c r="E45" s="171"/>
      <c r="F45" s="180">
        <v>469</v>
      </c>
    </row>
    <row r="46" spans="1:8">
      <c r="A46" s="128"/>
      <c r="B46" s="175" t="s">
        <v>28</v>
      </c>
      <c r="D46" s="127" t="s">
        <v>32</v>
      </c>
      <c r="E46" s="171"/>
      <c r="F46" s="127" t="s">
        <v>36</v>
      </c>
    </row>
    <row r="47" spans="1:8">
      <c r="A47" s="128"/>
      <c r="B47" s="180">
        <v>154</v>
      </c>
      <c r="D47" s="180">
        <v>311</v>
      </c>
      <c r="E47" s="171"/>
      <c r="F47" s="180">
        <v>569</v>
      </c>
    </row>
    <row r="48" spans="1:8">
      <c r="A48" s="128"/>
      <c r="B48" s="175"/>
      <c r="E48" s="171"/>
    </row>
    <row r="49" spans="1:9">
      <c r="A49" s="128"/>
      <c r="B49" s="274" t="s">
        <v>536</v>
      </c>
      <c r="C49" s="179">
        <f>SUM(C40:C48)</f>
        <v>0</v>
      </c>
      <c r="E49" s="171"/>
    </row>
    <row r="50" spans="1:9" ht="17.399999999999999" customHeight="1">
      <c r="A50" s="128"/>
      <c r="B50" s="278">
        <f>B41+B43+B45+B47+D41+D43+D45+D47+F41+F43+F45+F47</f>
        <v>4018</v>
      </c>
      <c r="C50" s="179"/>
      <c r="E50" s="171"/>
    </row>
    <row r="51" spans="1:9" ht="18.600000000000001" customHeight="1">
      <c r="A51" s="128"/>
      <c r="B51" s="176"/>
      <c r="C51" s="179"/>
      <c r="E51" s="171"/>
    </row>
    <row r="52" spans="1:9" ht="28.8">
      <c r="B52" s="266" t="s">
        <v>421</v>
      </c>
      <c r="C52" s="267"/>
      <c r="D52" s="267"/>
      <c r="E52" s="268"/>
      <c r="F52" s="267"/>
      <c r="G52" s="267"/>
      <c r="H52" s="267"/>
    </row>
    <row r="53" spans="1:9" ht="19.2" customHeight="1">
      <c r="A53" s="128"/>
      <c r="B53" s="176"/>
      <c r="C53" s="179"/>
      <c r="E53" s="171"/>
    </row>
    <row r="54" spans="1:9">
      <c r="A54" s="128"/>
      <c r="B54" s="175" t="s">
        <v>350</v>
      </c>
      <c r="C54" s="179"/>
      <c r="D54" s="127" t="s">
        <v>243</v>
      </c>
      <c r="E54" s="171"/>
      <c r="F54" s="127" t="s">
        <v>376</v>
      </c>
    </row>
    <row r="55" spans="1:9" ht="19.8" customHeight="1">
      <c r="A55" s="128"/>
      <c r="B55" s="167" t="s">
        <v>550</v>
      </c>
      <c r="C55" s="179"/>
      <c r="D55" s="167" t="s">
        <v>631</v>
      </c>
      <c r="E55" s="171"/>
      <c r="F55" s="172">
        <v>1</v>
      </c>
    </row>
    <row r="56" spans="1:9" ht="32.4" customHeight="1" thickBot="1">
      <c r="B56" s="270" t="s">
        <v>412</v>
      </c>
      <c r="C56" s="271"/>
      <c r="D56" s="272"/>
      <c r="E56" s="271"/>
      <c r="F56" s="272"/>
      <c r="G56" s="273"/>
      <c r="H56" s="273"/>
    </row>
    <row r="57" spans="1:9" ht="19.8" customHeight="1">
      <c r="B57" s="174"/>
      <c r="C57" s="166"/>
      <c r="D57" s="173"/>
      <c r="E57" s="166"/>
      <c r="F57" s="173"/>
    </row>
    <row r="58" spans="1:9" ht="21">
      <c r="B58" s="175" t="s">
        <v>241</v>
      </c>
      <c r="C58" s="166"/>
      <c r="D58" s="175" t="s">
        <v>270</v>
      </c>
      <c r="E58" s="166"/>
      <c r="F58" s="173"/>
    </row>
    <row r="59" spans="1:9" ht="19.2" customHeight="1">
      <c r="A59" s="128"/>
      <c r="B59" s="172" t="s">
        <v>627</v>
      </c>
      <c r="C59" s="166"/>
      <c r="D59" s="172">
        <v>27</v>
      </c>
      <c r="E59" s="169"/>
    </row>
    <row r="60" spans="1:9" ht="19.2" customHeight="1">
      <c r="A60" s="128"/>
      <c r="B60" s="127"/>
      <c r="C60" s="181"/>
      <c r="D60" s="182"/>
      <c r="E60" s="169"/>
    </row>
    <row r="61" spans="1:9" ht="19.2" customHeight="1">
      <c r="A61" s="128"/>
      <c r="B61" s="274" t="s">
        <v>274</v>
      </c>
      <c r="C61" s="181"/>
      <c r="D61" s="274" t="s">
        <v>342</v>
      </c>
      <c r="E61" s="169"/>
      <c r="F61" s="274" t="s">
        <v>415</v>
      </c>
    </row>
    <row r="62" spans="1:9" ht="19.2" customHeight="1">
      <c r="A62" s="128"/>
      <c r="B62" s="275" t="str">
        <f>VLOOKUP(mod_mod,t.mod!A2:H28,2,)</f>
        <v>AIKO</v>
      </c>
      <c r="C62" s="181"/>
      <c r="D62" s="275">
        <f>H30</f>
        <v>0</v>
      </c>
      <c r="E62" s="169"/>
      <c r="F62" s="278">
        <f>IF(tipo_calculo="Según Curvas Tipo",consumo1,consumo2)</f>
        <v>18171</v>
      </c>
      <c r="I62" s="182"/>
    </row>
    <row r="63" spans="1:9">
      <c r="A63" s="128"/>
      <c r="B63" s="274" t="s">
        <v>239</v>
      </c>
      <c r="C63" s="277">
        <f>VLOOKUP(mod_mod,t.mod!A2:H28,7,)</f>
        <v>605</v>
      </c>
      <c r="D63" s="274" t="s">
        <v>343</v>
      </c>
      <c r="E63" s="171"/>
      <c r="I63" s="182"/>
    </row>
    <row r="64" spans="1:9">
      <c r="A64" s="128"/>
      <c r="B64" s="274" t="s">
        <v>240</v>
      </c>
      <c r="C64" s="276">
        <f>num_mod*p_mod/1000</f>
        <v>16.335000000000001</v>
      </c>
      <c r="D64" s="276">
        <f>F62/(crecom*p_mod)</f>
        <v>16.894524793388431</v>
      </c>
      <c r="E64" s="171"/>
      <c r="I64" s="182"/>
    </row>
    <row r="65" spans="1:9">
      <c r="A65" s="128"/>
      <c r="B65" s="274" t="s">
        <v>377</v>
      </c>
      <c r="C65" s="276">
        <f>p_gen/F55</f>
        <v>16.335000000000001</v>
      </c>
      <c r="D65" s="194"/>
      <c r="E65" s="171"/>
      <c r="I65" s="182"/>
    </row>
    <row r="66" spans="1:9" ht="32.4" customHeight="1" thickBot="1">
      <c r="B66" s="270" t="s">
        <v>242</v>
      </c>
      <c r="C66" s="271"/>
      <c r="D66" s="272"/>
      <c r="E66" s="271"/>
      <c r="F66" s="272"/>
      <c r="G66" s="273"/>
      <c r="H66" s="273"/>
    </row>
    <row r="67" spans="1:9">
      <c r="A67" s="128"/>
      <c r="B67" s="181"/>
      <c r="C67" s="179"/>
      <c r="E67" s="171"/>
    </row>
    <row r="68" spans="1:9">
      <c r="A68" s="128"/>
      <c r="B68" s="175" t="s">
        <v>244</v>
      </c>
      <c r="C68" s="179"/>
      <c r="D68" s="175" t="s">
        <v>246</v>
      </c>
      <c r="E68" s="171"/>
      <c r="F68" s="274" t="s">
        <v>425</v>
      </c>
      <c r="H68" s="274" t="s">
        <v>426</v>
      </c>
    </row>
    <row r="69" spans="1:9">
      <c r="A69" s="128"/>
      <c r="B69" s="172" t="s">
        <v>511</v>
      </c>
      <c r="C69" s="179"/>
      <c r="D69" s="172">
        <v>1</v>
      </c>
      <c r="E69" s="171"/>
      <c r="F69" s="279">
        <f>VLOOKUP(mod_inv1,t.inv!A2:H36,7,)</f>
        <v>20</v>
      </c>
      <c r="H69" s="279">
        <f>F72+F79</f>
        <v>20</v>
      </c>
    </row>
    <row r="70" spans="1:9">
      <c r="A70" s="128"/>
      <c r="B70" s="181"/>
      <c r="C70" s="179"/>
      <c r="E70" s="171"/>
    </row>
    <row r="71" spans="1:9">
      <c r="A71" s="128"/>
      <c r="B71" s="274" t="s">
        <v>414</v>
      </c>
      <c r="C71" s="179"/>
      <c r="E71" s="171"/>
      <c r="F71" s="274" t="s">
        <v>427</v>
      </c>
    </row>
    <row r="72" spans="1:9">
      <c r="A72" s="128"/>
      <c r="B72" s="277" t="str">
        <f>VLOOKUP(mod_inv1,t.inv!A2:H36,3,)</f>
        <v>HUAWEI</v>
      </c>
      <c r="C72" s="179"/>
      <c r="E72" s="171"/>
      <c r="F72" s="279">
        <f>pot_inv1*num_inv1</f>
        <v>20</v>
      </c>
    </row>
    <row r="73" spans="1:9" ht="32.4" customHeight="1" thickBot="1">
      <c r="B73" s="270" t="s">
        <v>247</v>
      </c>
      <c r="C73" s="271"/>
      <c r="D73" s="272"/>
      <c r="E73" s="271"/>
      <c r="F73" s="272"/>
      <c r="G73" s="273"/>
      <c r="H73" s="273"/>
    </row>
    <row r="74" spans="1:9">
      <c r="A74" s="128"/>
      <c r="B74" s="181"/>
      <c r="C74" s="179"/>
      <c r="E74" s="171"/>
    </row>
    <row r="75" spans="1:9">
      <c r="A75" s="128"/>
      <c r="B75" s="175" t="s">
        <v>248</v>
      </c>
      <c r="C75" s="179"/>
      <c r="D75" s="175" t="s">
        <v>249</v>
      </c>
      <c r="E75" s="171"/>
      <c r="F75" s="274" t="s">
        <v>371</v>
      </c>
    </row>
    <row r="76" spans="1:9">
      <c r="A76" s="128"/>
      <c r="B76" s="172" t="s">
        <v>492</v>
      </c>
      <c r="C76" s="179"/>
      <c r="D76" s="172">
        <v>0</v>
      </c>
      <c r="E76" s="171"/>
      <c r="F76" s="279">
        <f>VLOOKUP(mod_inv2,t.inv!A2:H36,7,)</f>
        <v>6</v>
      </c>
    </row>
    <row r="77" spans="1:9">
      <c r="A77" s="128"/>
      <c r="B77" s="181"/>
      <c r="C77" s="179"/>
      <c r="E77" s="171"/>
    </row>
    <row r="78" spans="1:9">
      <c r="A78" s="128"/>
      <c r="B78" s="274" t="s">
        <v>245</v>
      </c>
      <c r="C78" s="179"/>
      <c r="E78" s="171"/>
      <c r="F78" s="274" t="s">
        <v>417</v>
      </c>
      <c r="G78" s="280"/>
      <c r="H78" s="274" t="s">
        <v>261</v>
      </c>
    </row>
    <row r="79" spans="1:9">
      <c r="A79" s="128"/>
      <c r="B79" s="277" t="str">
        <f>VLOOKUP(mod_inv2,t.inv!A2:H27,3,)</f>
        <v>HUAWEI</v>
      </c>
      <c r="C79" s="179"/>
      <c r="D79" s="278"/>
      <c r="E79" s="171"/>
      <c r="F79" s="279">
        <f>pot_inv2*num_inv2</f>
        <v>0</v>
      </c>
      <c r="H79" s="279">
        <f>H69</f>
        <v>20</v>
      </c>
    </row>
    <row r="80" spans="1:9" ht="32.4" customHeight="1" thickBot="1">
      <c r="B80" s="270" t="s">
        <v>395</v>
      </c>
      <c r="C80" s="271"/>
      <c r="D80" s="272"/>
      <c r="E80" s="271"/>
      <c r="F80" s="272"/>
      <c r="G80" s="273"/>
      <c r="H80" s="273"/>
    </row>
    <row r="81" spans="1:8">
      <c r="A81" s="128"/>
      <c r="B81" s="185"/>
      <c r="C81" s="179"/>
      <c r="D81" s="184"/>
      <c r="E81" s="171"/>
      <c r="F81" s="184"/>
      <c r="H81" s="184"/>
    </row>
    <row r="82" spans="1:8">
      <c r="A82" s="128"/>
      <c r="B82" s="175" t="s">
        <v>401</v>
      </c>
      <c r="C82" s="179"/>
      <c r="D82" s="175" t="s">
        <v>400</v>
      </c>
      <c r="E82" s="171"/>
    </row>
    <row r="83" spans="1:8">
      <c r="A83" s="128"/>
      <c r="B83" s="172" t="s">
        <v>411</v>
      </c>
      <c r="C83" s="179"/>
      <c r="D83" s="172"/>
      <c r="E83" s="171"/>
    </row>
    <row r="84" spans="1:8" ht="32.4" customHeight="1" thickBot="1">
      <c r="B84" s="270" t="s">
        <v>84</v>
      </c>
      <c r="C84" s="271"/>
      <c r="D84" s="272"/>
      <c r="E84" s="271"/>
      <c r="F84" s="272"/>
      <c r="G84" s="273"/>
      <c r="H84" s="273"/>
    </row>
    <row r="85" spans="1:8" ht="21">
      <c r="A85" s="128"/>
      <c r="B85" s="174"/>
      <c r="C85" s="166"/>
      <c r="D85" s="173"/>
      <c r="E85" s="166"/>
      <c r="F85" s="173"/>
    </row>
    <row r="86" spans="1:8" ht="21">
      <c r="A86" s="128"/>
      <c r="B86" s="175" t="s">
        <v>250</v>
      </c>
      <c r="C86" s="166"/>
      <c r="D86" s="175" t="s">
        <v>251</v>
      </c>
      <c r="E86" s="166"/>
      <c r="F86" s="173"/>
    </row>
    <row r="87" spans="1:8" ht="21">
      <c r="A87" s="128"/>
      <c r="B87" s="172" t="s">
        <v>86</v>
      </c>
      <c r="C87" s="166"/>
      <c r="D87" s="172">
        <v>1</v>
      </c>
      <c r="E87" s="166"/>
      <c r="F87" s="173"/>
    </row>
    <row r="88" spans="1:8" ht="32.4" customHeight="1" thickBot="1">
      <c r="B88" s="270" t="s">
        <v>78</v>
      </c>
      <c r="C88" s="271"/>
      <c r="D88" s="272"/>
      <c r="E88" s="271"/>
      <c r="F88" s="272"/>
      <c r="G88" s="273"/>
      <c r="H88" s="273"/>
    </row>
    <row r="89" spans="1:8" ht="21">
      <c r="A89" s="128"/>
      <c r="B89" s="174"/>
      <c r="C89" s="166"/>
      <c r="D89" s="173"/>
      <c r="E89" s="166"/>
      <c r="F89" s="173"/>
    </row>
    <row r="90" spans="1:8">
      <c r="A90" s="128"/>
      <c r="B90" s="175" t="s">
        <v>252</v>
      </c>
      <c r="D90" s="175" t="s">
        <v>253</v>
      </c>
      <c r="E90" s="171"/>
    </row>
    <row r="91" spans="1:8">
      <c r="A91" s="128"/>
      <c r="B91" s="172" t="s">
        <v>152</v>
      </c>
      <c r="D91" s="172">
        <v>0</v>
      </c>
      <c r="E91" s="171"/>
    </row>
    <row r="92" spans="1:8" ht="32.4" customHeight="1" thickBot="1">
      <c r="B92" s="270" t="s">
        <v>77</v>
      </c>
      <c r="C92" s="271"/>
      <c r="D92" s="272"/>
      <c r="E92" s="271"/>
      <c r="F92" s="272"/>
      <c r="G92" s="273"/>
      <c r="H92" s="273"/>
    </row>
    <row r="93" spans="1:8" ht="16.2" customHeight="1">
      <c r="A93" s="128"/>
      <c r="B93" s="174"/>
      <c r="C93" s="166"/>
      <c r="D93" s="173"/>
      <c r="E93" s="166"/>
      <c r="F93" s="173"/>
    </row>
    <row r="94" spans="1:8" ht="21">
      <c r="A94" s="128"/>
      <c r="B94" s="175" t="s">
        <v>254</v>
      </c>
      <c r="C94" s="166"/>
      <c r="D94" s="175" t="s">
        <v>255</v>
      </c>
      <c r="E94" s="170"/>
    </row>
    <row r="95" spans="1:8" ht="21">
      <c r="A95" s="128"/>
      <c r="B95" s="172" t="s">
        <v>583</v>
      </c>
      <c r="C95" s="166"/>
      <c r="D95" s="172">
        <v>0</v>
      </c>
      <c r="E95" s="170"/>
    </row>
    <row r="96" spans="1:8">
      <c r="A96" s="128"/>
      <c r="B96" s="181"/>
      <c r="E96" s="170"/>
    </row>
    <row r="97" spans="1:8">
      <c r="A97" s="128"/>
      <c r="B97" s="274" t="s">
        <v>193</v>
      </c>
      <c r="C97" s="281">
        <f>VLOOKUP(mod_bat,t.bat!A2:G12,5,)</f>
        <v>3.6</v>
      </c>
      <c r="E97" s="170"/>
    </row>
    <row r="98" spans="1:8">
      <c r="A98" s="128"/>
      <c r="B98" s="274" t="s">
        <v>192</v>
      </c>
      <c r="C98" s="281">
        <f>C97*num_bat</f>
        <v>0</v>
      </c>
      <c r="D98" s="182" t="s">
        <v>260</v>
      </c>
      <c r="E98" s="170"/>
    </row>
    <row r="99" spans="1:8" ht="32.4" customHeight="1" thickBot="1">
      <c r="B99" s="270" t="s">
        <v>135</v>
      </c>
      <c r="C99" s="271"/>
      <c r="D99" s="272"/>
      <c r="E99" s="271"/>
      <c r="F99" s="272"/>
      <c r="G99" s="273"/>
      <c r="H99" s="273"/>
    </row>
    <row r="100" spans="1:8" ht="19.2" customHeight="1">
      <c r="A100" s="128"/>
      <c r="B100" s="174"/>
      <c r="C100" s="166"/>
      <c r="D100" s="173"/>
      <c r="E100" s="166"/>
      <c r="F100" s="173"/>
    </row>
    <row r="101" spans="1:8">
      <c r="A101" s="128"/>
      <c r="B101" s="175" t="s">
        <v>256</v>
      </c>
      <c r="E101" s="170"/>
    </row>
    <row r="102" spans="1:8" ht="17.399999999999999" customHeight="1">
      <c r="A102" s="128"/>
      <c r="B102" s="436" t="s">
        <v>309</v>
      </c>
      <c r="C102" s="436"/>
      <c r="D102" s="436"/>
      <c r="E102" s="170"/>
    </row>
    <row r="103" spans="1:8" ht="102.6" customHeight="1">
      <c r="A103" s="128"/>
      <c r="B103" s="127">
        <f>t.est!J3</f>
        <v>0</v>
      </c>
      <c r="E103" s="170"/>
    </row>
    <row r="104" spans="1:8" ht="32.4" customHeight="1" thickBot="1">
      <c r="B104" s="270" t="s">
        <v>587</v>
      </c>
      <c r="C104" s="271"/>
      <c r="D104" s="272"/>
      <c r="E104" s="271"/>
      <c r="F104" s="272"/>
      <c r="G104" s="273"/>
      <c r="H104" s="273"/>
    </row>
    <row r="105" spans="1:8" ht="18" customHeight="1">
      <c r="B105" s="338"/>
      <c r="C105" s="166"/>
      <c r="D105" s="173"/>
      <c r="E105" s="166"/>
      <c r="F105" s="173"/>
    </row>
    <row r="106" spans="1:8" ht="21.6" customHeight="1">
      <c r="B106" s="175" t="s">
        <v>531</v>
      </c>
      <c r="C106" s="166"/>
      <c r="D106" s="173"/>
      <c r="E106" s="166"/>
      <c r="F106" s="173"/>
    </row>
    <row r="107" spans="1:8" ht="26.4" customHeight="1">
      <c r="A107" s="128"/>
      <c r="B107" s="127" t="s">
        <v>588</v>
      </c>
      <c r="E107" s="170"/>
    </row>
    <row r="108" spans="1:8" ht="32.4" customHeight="1" thickBot="1">
      <c r="B108" s="270" t="s">
        <v>136</v>
      </c>
      <c r="C108" s="271"/>
      <c r="D108" s="272"/>
      <c r="E108" s="271"/>
      <c r="F108" s="272"/>
      <c r="G108" s="273"/>
      <c r="H108" s="273"/>
    </row>
    <row r="109" spans="1:8" ht="19.8" customHeight="1">
      <c r="A109" s="128"/>
      <c r="B109" s="174"/>
      <c r="C109" s="166"/>
      <c r="D109" s="173"/>
      <c r="E109" s="166"/>
      <c r="F109" s="173"/>
    </row>
    <row r="110" spans="1:8" ht="19.8" customHeight="1">
      <c r="A110" s="128"/>
      <c r="B110" s="175" t="s">
        <v>272</v>
      </c>
      <c r="C110" s="166"/>
      <c r="D110" s="175" t="s">
        <v>532</v>
      </c>
      <c r="E110" s="166"/>
      <c r="F110" s="175" t="s">
        <v>271</v>
      </c>
      <c r="H110" s="127" t="s">
        <v>344</v>
      </c>
    </row>
    <row r="111" spans="1:8">
      <c r="A111" s="128"/>
      <c r="B111" s="192">
        <v>500</v>
      </c>
      <c r="D111" s="260">
        <v>0</v>
      </c>
      <c r="E111" s="170"/>
      <c r="F111" s="172">
        <v>0</v>
      </c>
      <c r="H111" s="192">
        <v>4395.5</v>
      </c>
    </row>
    <row r="112" spans="1:8">
      <c r="A112" s="128"/>
      <c r="B112" s="175" t="s">
        <v>331</v>
      </c>
      <c r="D112" s="45" t="s">
        <v>188</v>
      </c>
      <c r="E112" s="127"/>
      <c r="F112" s="175" t="s">
        <v>535</v>
      </c>
      <c r="H112" s="127" t="s">
        <v>614</v>
      </c>
    </row>
    <row r="113" spans="1:9" ht="19.2" customHeight="1">
      <c r="A113" s="128"/>
      <c r="B113" s="192">
        <v>0</v>
      </c>
      <c r="C113" s="166"/>
      <c r="D113" s="172">
        <v>1550</v>
      </c>
      <c r="E113" s="170"/>
      <c r="F113" s="172" t="s">
        <v>589</v>
      </c>
      <c r="H113" s="260">
        <v>0.21</v>
      </c>
    </row>
    <row r="114" spans="1:9" ht="19.2" customHeight="1">
      <c r="A114" s="128"/>
      <c r="B114" s="166"/>
      <c r="C114" s="166"/>
      <c r="D114" s="183"/>
      <c r="E114" s="170"/>
      <c r="F114" s="183"/>
      <c r="H114" s="419"/>
    </row>
    <row r="115" spans="1:9" ht="19.2" customHeight="1">
      <c r="A115" s="128"/>
      <c r="B115" s="166"/>
      <c r="C115" s="166"/>
      <c r="D115" s="183"/>
      <c r="E115" s="170"/>
      <c r="F115" s="183"/>
    </row>
    <row r="116" spans="1:9" ht="28.8">
      <c r="B116" s="266" t="s">
        <v>456</v>
      </c>
      <c r="C116" s="267"/>
      <c r="D116" s="267"/>
      <c r="E116" s="268"/>
      <c r="F116" s="267"/>
      <c r="G116" s="267"/>
      <c r="H116" s="267"/>
    </row>
    <row r="117" spans="1:9" ht="19.2" customHeight="1">
      <c r="A117" s="128"/>
      <c r="B117" s="166"/>
      <c r="C117" s="166"/>
      <c r="D117" s="183"/>
      <c r="E117" s="170"/>
      <c r="F117" s="183"/>
    </row>
    <row r="118" spans="1:9" ht="21.6" thickBot="1">
      <c r="B118" s="270" t="s">
        <v>457</v>
      </c>
      <c r="C118" s="271"/>
      <c r="D118" s="272"/>
      <c r="E118" s="271"/>
      <c r="F118" s="272"/>
      <c r="G118" s="273"/>
      <c r="H118" s="273"/>
    </row>
    <row r="119" spans="1:9" ht="19.2" customHeight="1">
      <c r="A119" s="128"/>
      <c r="B119" s="166"/>
      <c r="C119" s="166"/>
      <c r="D119" s="183"/>
      <c r="E119" s="170"/>
      <c r="F119" s="183"/>
    </row>
    <row r="120" spans="1:9" ht="19.2" customHeight="1">
      <c r="A120" s="128"/>
      <c r="B120" s="166"/>
      <c r="C120" s="166"/>
      <c r="D120" s="183"/>
      <c r="E120" s="170"/>
      <c r="F120" s="183"/>
    </row>
    <row r="121" spans="1:9" ht="19.2" customHeight="1">
      <c r="A121" s="128"/>
      <c r="B121" s="166"/>
      <c r="C121" s="166"/>
      <c r="D121" s="252"/>
      <c r="E121" s="170"/>
      <c r="F121" s="252"/>
    </row>
    <row r="122" spans="1:9" ht="28.8">
      <c r="B122" s="266" t="s">
        <v>391</v>
      </c>
      <c r="C122" s="267"/>
      <c r="D122" s="267"/>
      <c r="E122" s="268"/>
      <c r="F122" s="267"/>
      <c r="G122" s="267"/>
      <c r="H122" s="267"/>
    </row>
    <row r="123" spans="1:9" ht="19.2" customHeight="1">
      <c r="A123" s="128"/>
      <c r="B123" s="166"/>
      <c r="C123" s="166"/>
      <c r="D123" s="252"/>
      <c r="E123" s="170"/>
      <c r="F123" s="252"/>
    </row>
    <row r="124" spans="1:9" ht="19.2" customHeight="1">
      <c r="A124" s="128"/>
      <c r="B124" s="298" t="s">
        <v>470</v>
      </c>
      <c r="C124" s="166"/>
      <c r="D124" s="298" t="s">
        <v>471</v>
      </c>
      <c r="E124" s="170"/>
      <c r="F124" s="298" t="s">
        <v>472</v>
      </c>
      <c r="I124" s="127">
        <v>77038.02</v>
      </c>
    </row>
    <row r="125" spans="1:9" ht="19.2" customHeight="1">
      <c r="A125" s="128"/>
      <c r="B125" s="274" t="s">
        <v>347</v>
      </c>
      <c r="C125" s="166"/>
      <c r="D125" s="274" t="s">
        <v>347</v>
      </c>
      <c r="E125" s="170"/>
      <c r="F125" s="274" t="s">
        <v>347</v>
      </c>
      <c r="I125" s="419">
        <f>B126-I124</f>
        <v>-57043.099120000006</v>
      </c>
    </row>
    <row r="126" spans="1:9" ht="19.2" customHeight="1">
      <c r="A126" s="128"/>
      <c r="B126" s="282">
        <f>ppto!G44</f>
        <v>19994.920879999998</v>
      </c>
      <c r="C126" s="166"/>
      <c r="D126" s="282">
        <f>ppto!H44</f>
        <v>19994.920879999998</v>
      </c>
      <c r="E126" s="170"/>
      <c r="F126" s="282">
        <f>ppto!I44</f>
        <v>5894.5150000000003</v>
      </c>
    </row>
    <row r="127" spans="1:9" ht="19.2" customHeight="1">
      <c r="A127" s="128"/>
      <c r="B127" s="274" t="s">
        <v>580</v>
      </c>
      <c r="C127" s="166"/>
      <c r="D127" s="274" t="s">
        <v>580</v>
      </c>
      <c r="E127" s="170"/>
      <c r="F127" s="274" t="s">
        <v>580</v>
      </c>
    </row>
    <row r="128" spans="1:9" ht="19.2" customHeight="1">
      <c r="A128" s="128"/>
      <c r="B128" s="282">
        <f>incentivo!C36</f>
        <v>0</v>
      </c>
      <c r="C128" s="166"/>
      <c r="D128" s="282">
        <f>incentivo!D36</f>
        <v>0</v>
      </c>
      <c r="E128" s="170"/>
      <c r="F128" s="282">
        <f>incentivo!E36</f>
        <v>0</v>
      </c>
    </row>
    <row r="129" spans="1:6" ht="19.2" customHeight="1">
      <c r="A129" s="128"/>
      <c r="B129" s="274" t="s">
        <v>390</v>
      </c>
      <c r="C129" s="166"/>
      <c r="D129" s="274" t="s">
        <v>390</v>
      </c>
      <c r="E129" s="170"/>
      <c r="F129" s="274" t="s">
        <v>390</v>
      </c>
    </row>
    <row r="130" spans="1:6" ht="21">
      <c r="A130" s="128"/>
      <c r="B130" s="282">
        <f>B126-B128</f>
        <v>19994.920879999998</v>
      </c>
      <c r="C130" s="166"/>
      <c r="D130" s="282">
        <f>D126-D128</f>
        <v>19994.920879999998</v>
      </c>
      <c r="E130" s="166"/>
      <c r="F130" s="282">
        <f>F126-F128</f>
        <v>5894.5150000000003</v>
      </c>
    </row>
    <row r="131" spans="1:6">
      <c r="B131" s="274" t="s">
        <v>547</v>
      </c>
      <c r="D131" s="274" t="s">
        <v>547</v>
      </c>
      <c r="F131" s="274" t="s">
        <v>547</v>
      </c>
    </row>
    <row r="132" spans="1:6" ht="21">
      <c r="B132" s="282">
        <f>B126/(1000*p_gen)</f>
        <v>1.2240539259259258</v>
      </c>
      <c r="D132" s="282">
        <f>D126/(1000*p_gen)</f>
        <v>1.2240539259259258</v>
      </c>
      <c r="F132" s="282" t="s">
        <v>607</v>
      </c>
    </row>
    <row r="133" spans="1:6">
      <c r="B133" s="274" t="s">
        <v>548</v>
      </c>
      <c r="D133" s="274" t="s">
        <v>548</v>
      </c>
      <c r="F133" s="274" t="s">
        <v>548</v>
      </c>
    </row>
    <row r="134" spans="1:6" ht="21">
      <c r="B134" s="342">
        <f>p_gen</f>
        <v>16.335000000000001</v>
      </c>
      <c r="D134" s="342">
        <f>p_gen</f>
        <v>16.335000000000001</v>
      </c>
      <c r="F134" s="342" t="s">
        <v>607</v>
      </c>
    </row>
    <row r="135" spans="1:6">
      <c r="B135" s="274" t="s">
        <v>558</v>
      </c>
      <c r="D135" s="274" t="s">
        <v>558</v>
      </c>
      <c r="F135" s="274" t="s">
        <v>558</v>
      </c>
    </row>
    <row r="136" spans="1:6" ht="21">
      <c r="B136" s="282">
        <f>ppto!G26</f>
        <v>3210.6779999999994</v>
      </c>
      <c r="D136" s="282">
        <f>ppto!H26</f>
        <v>3210.6779999999994</v>
      </c>
      <c r="F136" s="282">
        <f>ppto!I26</f>
        <v>126</v>
      </c>
    </row>
    <row r="140" spans="1:6">
      <c r="B140" s="339"/>
    </row>
    <row r="142" spans="1:6">
      <c r="B142" s="339"/>
    </row>
  </sheetData>
  <mergeCells count="1">
    <mergeCell ref="B102:D102"/>
  </mergeCells>
  <dataValidations count="9">
    <dataValidation type="list" allowBlank="1" showInputMessage="1" showErrorMessage="1" sqref="D24" xr:uid="{9BD7CA2F-5D38-420A-A674-1525BB341FB2}">
      <formula1>"Pequeña,Mediana,Grande"</formula1>
    </dataValidation>
    <dataValidation type="list" allowBlank="1" showInputMessage="1" showErrorMessage="1" sqref="B11" xr:uid="{D801CF4D-B6AB-45C0-B7D7-31059C6BFCE5}">
      <formula1>"Particular, Empresa Pequeña, Empresa Mediana, Empresa Grande,"</formula1>
    </dataValidation>
    <dataValidation type="list" allowBlank="1" showInputMessage="1" showErrorMessage="1" sqref="D55" xr:uid="{04098871-A47F-4703-B7D9-543D9F51141F}">
      <formula1>"Monofásica,Trifásica"</formula1>
    </dataValidation>
    <dataValidation type="list" allowBlank="1" showInputMessage="1" showErrorMessage="1" sqref="B34" xr:uid="{C76AADE6-16FB-46C9-B741-13D02F505BEA}">
      <formula1>"Consumo Mensual Real, Según Curvas Tipo,"</formula1>
    </dataValidation>
    <dataValidation type="list" allowBlank="1" showInputMessage="1" showErrorMessage="1" sqref="B3" xr:uid="{25294C78-3B4F-4D3D-8752-2AC368E9C7EC}">
      <formula1>"Oficina Técnica, Formulario Web, Gestores Comerciales"</formula1>
    </dataValidation>
    <dataValidation type="list" allowBlank="1" showInputMessage="1" showErrorMessage="1" sqref="B55" xr:uid="{22192ABD-66F2-43BF-BF11-D7EF7942924C}">
      <formula1>"Autoconsumo Individual,Autoconsumo Colectivo,Generación"</formula1>
    </dataValidation>
    <dataValidation type="list" allowBlank="1" showInputMessage="1" showErrorMessage="1" sqref="F29" xr:uid="{684F39A6-4955-4FB1-9C18-498A7254B5FA}">
      <formula1>"1,2,"</formula1>
    </dataValidation>
    <dataValidation type="list" allowBlank="1" showInputMessage="1" showErrorMessage="1" sqref="B24" xr:uid="{0C04FD24-D4F1-4963-98BA-7AE9A1C36A6B}">
      <formula1>"Sinayuda,AAE,Ecovivienda"</formula1>
    </dataValidation>
    <dataValidation type="list" allowBlank="1" showInputMessage="1" showErrorMessage="1" sqref="F113" xr:uid="{1BA26313-B9B9-46DE-AD9A-C417B9BEEC2B}">
      <formula1>"Incluídas,Excluídas"</formula1>
    </dataValidation>
  </dataValidations>
  <hyperlinks>
    <hyperlink ref="H13" r:id="rId1" display="antoniod.olivero@gmail.com" xr:uid="{CD4BF18B-A1D1-4D4A-99B7-AF51DFD80DE7}"/>
  </hyperlinks>
  <pageMargins left="0.7" right="0.7" top="0.75" bottom="0.75" header="0.3" footer="0.3"/>
  <pageSetup paperSize="9" scale="31" orientation="portrait" horizontalDpi="360" verticalDpi="360" r:id="rId2"/>
  <ignoredErrors>
    <ignoredError sqref="D3" unlockedFormula="1"/>
  </ignoredError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5DCF5320-F549-4849-96BC-2A0529E2EAC5}">
          <x14:formula1>
            <xm:f>t.mod!$A$3:$A$30</xm:f>
          </x14:formula1>
          <xm:sqref>B59</xm:sqref>
        </x14:dataValidation>
        <x14:dataValidation type="list" allowBlank="1" showInputMessage="1" showErrorMessage="1" xr:uid="{58545D66-6852-47E3-9989-C5625C082FDE}">
          <x14:formula1>
            <xm:f>t.met!$A$3:$A$22</xm:f>
          </x14:formula1>
          <xm:sqref>B87</xm:sqref>
        </x14:dataValidation>
        <x14:dataValidation type="list" allowBlank="1" showInputMessage="1" showErrorMessage="1" xr:uid="{22627A1F-8CCB-4BDA-92C6-E12AC64AC002}">
          <x14:formula1>
            <xm:f>t.inv!$A$4:$A$34</xm:f>
          </x14:formula1>
          <xm:sqref>B76 B69</xm:sqref>
        </x14:dataValidation>
        <x14:dataValidation type="list" allowBlank="1" showInputMessage="1" showErrorMessage="1" xr:uid="{7E6E9CD2-BBF7-40DB-A54E-2CB868921298}">
          <x14:formula1>
            <xm:f>t.bms!$A$3:$A$9</xm:f>
          </x14:formula1>
          <xm:sqref>B91</xm:sqref>
        </x14:dataValidation>
        <x14:dataValidation type="list" allowBlank="1" showInputMessage="1" showErrorMessage="1" xr:uid="{41AF9BBF-0C01-44A3-9865-C0DB7AE903D6}">
          <x14:formula1>
            <xm:f>ecov!$N$5:$N$7</xm:f>
          </x14:formula1>
          <xm:sqref>B29</xm:sqref>
        </x14:dataValidation>
        <x14:dataValidation type="list" allowBlank="1" showInputMessage="1" showErrorMessage="1" xr:uid="{E62E8FCF-6B0E-4E31-9777-38168E52D3F7}">
          <x14:formula1>
            <xm:f>ecov!$B$5:$B$13</xm:f>
          </x14:formula1>
          <xm:sqref>D29</xm:sqref>
        </x14:dataValidation>
        <x14:dataValidation type="list" allowBlank="1" showInputMessage="1" showErrorMessage="1" xr:uid="{68C0D771-6564-4C14-B293-DC3AC92BCE50}">
          <x14:formula1>
            <xm:f>t.con!$B$5:$B$8</xm:f>
          </x14:formula1>
          <xm:sqref>B36</xm:sqref>
        </x14:dataValidation>
        <x14:dataValidation type="list" allowBlank="1" showInputMessage="1" showErrorMessage="1" xr:uid="{D0649225-ABE8-4DB8-9195-32F312E11554}">
          <x14:formula1>
            <xm:f>t.est!$A$3:$A$12</xm:f>
          </x14:formula1>
          <xm:sqref>B102:D102</xm:sqref>
        </x14:dataValidation>
        <x14:dataValidation type="list" allowBlank="1" showInputMessage="1" showErrorMessage="1" xr:uid="{EA0371BE-2206-420D-914E-23A3D4F1F8BA}">
          <x14:formula1>
            <xm:f>t.opt!$A$3:$A$18</xm:f>
          </x14:formula1>
          <xm:sqref>B83</xm:sqref>
        </x14:dataValidation>
        <x14:dataValidation type="list" allowBlank="1" showInputMessage="1" showErrorMessage="1" xr:uid="{67A28881-5178-4F77-819A-921A00E8C6DD}">
          <x14:formula1>
            <xm:f>t.bat!$A$3:$A$23</xm:f>
          </x14:formula1>
          <xm:sqref>B95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E5E9-0A9D-44AA-80E9-D8B0F7FEC9AF}">
  <sheetPr codeName="Hoja2">
    <tabColor rgb="FFFFD100"/>
  </sheetPr>
  <dimension ref="B1:L45"/>
  <sheetViews>
    <sheetView showGridLines="0" zoomScale="85" zoomScaleNormal="85" workbookViewId="0">
      <selection activeCell="D17" sqref="D17"/>
    </sheetView>
  </sheetViews>
  <sheetFormatPr baseColWidth="10" defaultColWidth="11.5546875" defaultRowHeight="15.6"/>
  <cols>
    <col min="1" max="1" width="4.21875" style="45" customWidth="1"/>
    <col min="2" max="2" width="42.5546875" style="45" customWidth="1"/>
    <col min="3" max="3" width="53.21875" style="45" customWidth="1"/>
    <col min="4" max="4" width="26.77734375" style="45" customWidth="1"/>
    <col min="5" max="5" width="15.6640625" style="45" customWidth="1"/>
    <col min="6" max="6" width="24" style="45" customWidth="1"/>
    <col min="7" max="7" width="22.77734375" style="45" customWidth="1"/>
    <col min="8" max="8" width="21.88671875" style="45" customWidth="1"/>
    <col min="9" max="9" width="20.109375" style="45" customWidth="1"/>
    <col min="10" max="10" width="11.6640625" style="45" customWidth="1"/>
    <col min="11" max="11" width="13.77734375" style="45" customWidth="1"/>
    <col min="12" max="16384" width="11.5546875" style="45"/>
  </cols>
  <sheetData>
    <row r="1" spans="2:12" ht="31.2">
      <c r="B1" s="85" t="s">
        <v>134</v>
      </c>
      <c r="C1" s="85" t="s">
        <v>83</v>
      </c>
      <c r="D1" s="85" t="s">
        <v>118</v>
      </c>
      <c r="E1" s="85" t="s">
        <v>448</v>
      </c>
      <c r="F1" s="85" t="s">
        <v>149</v>
      </c>
      <c r="G1" s="105" t="s">
        <v>170</v>
      </c>
      <c r="H1" s="125" t="s">
        <v>171</v>
      </c>
      <c r="I1" s="299" t="s">
        <v>467</v>
      </c>
      <c r="K1" s="86"/>
    </row>
    <row r="2" spans="2:12" ht="18">
      <c r="B2" s="441" t="str">
        <f xml:space="preserve"> "Instalación de Autoconsumo Fotovoltaico de "&amp;p_gen&amp;" kWp"</f>
        <v>Instalación de Autoconsumo Fotovoltaico de 16,335 kWp</v>
      </c>
      <c r="C2" s="441"/>
      <c r="G2" s="87"/>
      <c r="H2" s="87"/>
      <c r="I2" s="87"/>
    </row>
    <row r="3" spans="2:12">
      <c r="B3" s="102" t="s">
        <v>82</v>
      </c>
      <c r="C3" s="102" t="str">
        <f>mod_mod</f>
        <v>AIKO N-TYPE ABC A-MAH72MW 605W</v>
      </c>
      <c r="D3" s="102" t="s">
        <v>115</v>
      </c>
      <c r="E3" s="102">
        <f>num_mod</f>
        <v>27</v>
      </c>
      <c r="F3" s="103">
        <f>VLOOKUP(mod_mod,t.mod!A2:H28,8,)</f>
        <v>78.650000000000006</v>
      </c>
      <c r="G3" s="103">
        <f>E3*F3</f>
        <v>2123.5500000000002</v>
      </c>
      <c r="H3" s="103">
        <f>E3*F3</f>
        <v>2123.5500000000002</v>
      </c>
      <c r="I3" s="103"/>
      <c r="K3" s="87">
        <f>G3*($G$32/$G$16)</f>
        <v>4667.2677769516731</v>
      </c>
      <c r="L3" s="87">
        <f>IF(E3=0,0,K3/E3)</f>
        <v>172.86176951672863</v>
      </c>
    </row>
    <row r="4" spans="2:12">
      <c r="B4" s="102" t="s">
        <v>143</v>
      </c>
      <c r="C4" s="102" t="str">
        <f>mod_inv1</f>
        <v>HUAWEI SUN2000 20KTL M3</v>
      </c>
      <c r="D4" s="102" t="s">
        <v>116</v>
      </c>
      <c r="E4" s="102">
        <f>num_inv1</f>
        <v>1</v>
      </c>
      <c r="F4" s="103">
        <f>VLOOKUP(mod_inv1,t.inv!A2:H261,8,)</f>
        <v>1784</v>
      </c>
      <c r="G4" s="103">
        <f>E4*F4</f>
        <v>1784</v>
      </c>
      <c r="H4" s="103">
        <f>E4*F4</f>
        <v>1784</v>
      </c>
      <c r="I4" s="103"/>
      <c r="K4" s="87">
        <f t="shared" ref="K4:K10" si="0">G4*($G$32/$G$16)</f>
        <v>3920.9840663425789</v>
      </c>
      <c r="L4" s="87">
        <f t="shared" ref="L4:L10" si="1">IF(E4=0,0,K4/E4)</f>
        <v>3920.9840663425789</v>
      </c>
    </row>
    <row r="5" spans="2:12">
      <c r="B5" s="102" t="s">
        <v>144</v>
      </c>
      <c r="C5" s="102" t="str">
        <f>mod_inv2</f>
        <v>HUAWEI SUN2000 6KTL L1</v>
      </c>
      <c r="D5" s="102" t="s">
        <v>116</v>
      </c>
      <c r="E5" s="102">
        <f>num_inv2</f>
        <v>0</v>
      </c>
      <c r="F5" s="103">
        <f>VLOOKUP(mod_inv2,t.inv!A2:H261,8,)</f>
        <v>780</v>
      </c>
      <c r="G5" s="103">
        <f t="shared" ref="G5" si="2">E5*F5</f>
        <v>0</v>
      </c>
      <c r="H5" s="103">
        <f t="shared" ref="H5:H9" si="3">E5*F5</f>
        <v>0</v>
      </c>
      <c r="I5" s="103"/>
      <c r="K5" s="87">
        <f t="shared" si="0"/>
        <v>0</v>
      </c>
      <c r="L5" s="87">
        <f t="shared" si="1"/>
        <v>0</v>
      </c>
    </row>
    <row r="6" spans="2:12">
      <c r="B6" s="102" t="s">
        <v>183</v>
      </c>
      <c r="C6" s="102" t="str">
        <f>mod_meter</f>
        <v>Medidor Monofásico DDSU</v>
      </c>
      <c r="D6" s="102" t="s">
        <v>474</v>
      </c>
      <c r="E6" s="102">
        <f>num_meter</f>
        <v>1</v>
      </c>
      <c r="F6" s="103">
        <f>VLOOKUP(C6,t.met!A2:F13,6,)</f>
        <v>95</v>
      </c>
      <c r="G6" s="101">
        <f t="shared" ref="G6:G9" si="4">E6*F6</f>
        <v>95</v>
      </c>
      <c r="H6" s="103">
        <f>E6*F6</f>
        <v>95</v>
      </c>
      <c r="I6" s="103"/>
      <c r="K6" s="87">
        <f t="shared" si="0"/>
        <v>208.79679725478979</v>
      </c>
      <c r="L6" s="87">
        <f t="shared" si="1"/>
        <v>208.79679725478979</v>
      </c>
    </row>
    <row r="7" spans="2:12">
      <c r="B7" s="102" t="s">
        <v>135</v>
      </c>
      <c r="C7" s="102" t="str">
        <f>estructura</f>
        <v>Coplanaria aluminio</v>
      </c>
      <c r="D7" s="102" t="s">
        <v>115</v>
      </c>
      <c r="E7" s="102">
        <f>num_mod</f>
        <v>27</v>
      </c>
      <c r="F7" s="103">
        <f>VLOOKUP(estructura,t.est!A3:F11,6,)</f>
        <v>32</v>
      </c>
      <c r="G7" s="103">
        <f t="shared" si="4"/>
        <v>864</v>
      </c>
      <c r="H7" s="103">
        <f t="shared" si="3"/>
        <v>864</v>
      </c>
      <c r="I7" s="103"/>
      <c r="K7" s="87">
        <f t="shared" si="0"/>
        <v>1898.9519245067199</v>
      </c>
      <c r="L7" s="87">
        <f t="shared" si="1"/>
        <v>70.331552759508142</v>
      </c>
    </row>
    <row r="8" spans="2:12">
      <c r="B8" s="102" t="s">
        <v>395</v>
      </c>
      <c r="C8" s="102" t="str">
        <f>mod_opt</f>
        <v>Sin Optimizador</v>
      </c>
      <c r="D8" s="102" t="s">
        <v>399</v>
      </c>
      <c r="E8" s="102">
        <f>num_opt</f>
        <v>0</v>
      </c>
      <c r="F8" s="103">
        <f>VLOOKUP(C8,t.opt!A3:H21,8,)</f>
        <v>0</v>
      </c>
      <c r="G8" s="103">
        <f t="shared" si="4"/>
        <v>0</v>
      </c>
      <c r="H8" s="103">
        <f>E8*F8</f>
        <v>0</v>
      </c>
      <c r="I8" s="103"/>
      <c r="K8" s="87">
        <f t="shared" si="0"/>
        <v>0</v>
      </c>
      <c r="L8" s="87">
        <f t="shared" si="1"/>
        <v>0</v>
      </c>
    </row>
    <row r="9" spans="2:12">
      <c r="B9" s="102" t="s">
        <v>184</v>
      </c>
      <c r="C9" s="102" t="s">
        <v>185</v>
      </c>
      <c r="D9" s="102" t="s">
        <v>475</v>
      </c>
      <c r="E9" s="102">
        <v>1</v>
      </c>
      <c r="F9" s="103">
        <f>c_pmat</f>
        <v>552</v>
      </c>
      <c r="G9" s="103">
        <f t="shared" si="4"/>
        <v>552</v>
      </c>
      <c r="H9" s="103">
        <f t="shared" si="3"/>
        <v>552</v>
      </c>
      <c r="I9" s="103"/>
      <c r="K9" s="87">
        <f t="shared" si="0"/>
        <v>1213.2192851015154</v>
      </c>
      <c r="L9" s="87">
        <f t="shared" si="1"/>
        <v>1213.2192851015154</v>
      </c>
    </row>
    <row r="10" spans="2:12">
      <c r="B10" s="102" t="s">
        <v>460</v>
      </c>
      <c r="C10" s="102" t="s">
        <v>463</v>
      </c>
      <c r="D10" s="102" t="s">
        <v>115</v>
      </c>
      <c r="E10" s="102">
        <f>num_mod</f>
        <v>27</v>
      </c>
      <c r="F10" s="103">
        <f>IF(num_mod=0,0,VLOOKUP(num_mod,t.mon!A3:F263,6,)/E3)</f>
        <v>77.777777777777771</v>
      </c>
      <c r="G10" s="103">
        <f>E10*F10</f>
        <v>2100</v>
      </c>
      <c r="H10" s="103">
        <f>E10*F10</f>
        <v>2100</v>
      </c>
      <c r="I10" s="103"/>
      <c r="K10" s="87">
        <f t="shared" si="0"/>
        <v>4615.5081498427217</v>
      </c>
      <c r="L10" s="87">
        <f t="shared" si="1"/>
        <v>170.94474629047116</v>
      </c>
    </row>
    <row r="11" spans="2:12" ht="18">
      <c r="B11" s="441" t="str">
        <f xml:space="preserve"> "Instalación de Baterías de "&amp;cap_bat&amp;" kWh"</f>
        <v>Instalación de Baterías de 0 kWh</v>
      </c>
      <c r="C11" s="441"/>
      <c r="D11" s="102"/>
      <c r="E11" s="102"/>
      <c r="F11" s="126"/>
      <c r="G11" s="103"/>
      <c r="H11" s="103"/>
      <c r="I11" s="103"/>
    </row>
    <row r="12" spans="2:12">
      <c r="B12" s="102" t="s">
        <v>78</v>
      </c>
      <c r="C12" s="102" t="str">
        <f>mod_bms</f>
        <v>BMS LUNA 2000</v>
      </c>
      <c r="D12" s="102" t="s">
        <v>117</v>
      </c>
      <c r="E12" s="102">
        <f>num_bms</f>
        <v>0</v>
      </c>
      <c r="F12" s="103">
        <f>VLOOKUP(C12,t.bms!A3:G22,7,)</f>
        <v>735</v>
      </c>
      <c r="G12" s="103"/>
      <c r="H12" s="103">
        <f>E12*F12</f>
        <v>0</v>
      </c>
      <c r="I12" s="103">
        <f>E12*F12</f>
        <v>0</v>
      </c>
    </row>
    <row r="13" spans="2:12">
      <c r="B13" s="102" t="s">
        <v>148</v>
      </c>
      <c r="C13" s="102" t="str">
        <f>mod_bat</f>
        <v>DYNESS 3,6 kW 48V</v>
      </c>
      <c r="D13" s="102" t="s">
        <v>119</v>
      </c>
      <c r="E13" s="102">
        <f>num_bat</f>
        <v>0</v>
      </c>
      <c r="F13" s="103">
        <f>VLOOKUP(mod_bat,t.bat!A3:G23,7,)</f>
        <v>745.83</v>
      </c>
      <c r="G13" s="103"/>
      <c r="H13" s="103">
        <f>E13*F13</f>
        <v>0</v>
      </c>
      <c r="I13" s="103">
        <f t="shared" ref="I13:I14" si="5">E13*F13</f>
        <v>0</v>
      </c>
    </row>
    <row r="14" spans="2:12">
      <c r="B14" s="102" t="s">
        <v>461</v>
      </c>
      <c r="C14" s="102" t="s">
        <v>464</v>
      </c>
      <c r="D14" s="102" t="s">
        <v>462</v>
      </c>
      <c r="E14" s="102">
        <f>num_bms</f>
        <v>0</v>
      </c>
      <c r="F14" s="126">
        <f>SUM(F12:F13)*0.15</f>
        <v>222.12449999999998</v>
      </c>
      <c r="G14" s="103"/>
      <c r="H14" s="126">
        <f>E14*F14*0.5</f>
        <v>0</v>
      </c>
      <c r="I14" s="126">
        <f t="shared" si="5"/>
        <v>0</v>
      </c>
    </row>
    <row r="15" spans="2:12" ht="14.4" customHeight="1">
      <c r="B15" s="440"/>
      <c r="C15" s="440"/>
      <c r="D15" s="300"/>
      <c r="E15" s="300"/>
      <c r="F15" s="301"/>
      <c r="G15" s="302"/>
      <c r="H15" s="302"/>
      <c r="I15" s="302"/>
    </row>
    <row r="16" spans="2:12" ht="18">
      <c r="B16" s="303"/>
      <c r="C16" s="303"/>
      <c r="E16" s="437" t="s">
        <v>468</v>
      </c>
      <c r="F16" s="437"/>
      <c r="G16" s="104">
        <f>SUM(G3:G14)</f>
        <v>7518.55</v>
      </c>
      <c r="H16" s="104">
        <f>SUM(H3:H14)</f>
        <v>7518.55</v>
      </c>
      <c r="I16" s="104">
        <f>SUM(I3:I14)</f>
        <v>0</v>
      </c>
    </row>
    <row r="17" spans="2:10">
      <c r="E17" s="437" t="s">
        <v>469</v>
      </c>
      <c r="F17" s="437"/>
      <c r="G17" s="87">
        <f>VLOOKUP(num_mod,t.coi!A2:E263,5)</f>
        <v>1400</v>
      </c>
      <c r="H17" s="87">
        <f>VLOOKUP(num_mod,t.coi!A2:E263,5)</f>
        <v>1400</v>
      </c>
      <c r="I17" s="424">
        <v>350</v>
      </c>
    </row>
    <row r="18" spans="2:10">
      <c r="E18" s="437" t="s">
        <v>465</v>
      </c>
      <c r="F18" s="437"/>
      <c r="G18" s="104">
        <f>G16+G17</f>
        <v>8918.5499999999993</v>
      </c>
      <c r="H18" s="104">
        <f>H16+H17</f>
        <v>8918.5499999999993</v>
      </c>
      <c r="I18" s="104">
        <f>I16+I17</f>
        <v>350</v>
      </c>
      <c r="J18" s="87"/>
    </row>
    <row r="19" spans="2:10">
      <c r="E19" s="248"/>
      <c r="F19" s="248"/>
      <c r="G19" s="104"/>
      <c r="H19" s="104"/>
      <c r="I19" s="104"/>
      <c r="J19" s="87"/>
    </row>
    <row r="20" spans="2:10">
      <c r="B20" s="248"/>
      <c r="E20" s="248" t="s">
        <v>466</v>
      </c>
      <c r="F20" s="248"/>
      <c r="G20" s="104"/>
      <c r="H20" s="104"/>
      <c r="I20" s="104"/>
      <c r="J20" s="87"/>
    </row>
    <row r="21" spans="2:10">
      <c r="B21" s="215"/>
      <c r="C21" s="87"/>
      <c r="E21" s="438" t="s">
        <v>332</v>
      </c>
      <c r="F21" s="438"/>
      <c r="G21" s="44">
        <f>margen_venta</f>
        <v>0.36</v>
      </c>
      <c r="H21" s="44">
        <f>margen_venta</f>
        <v>0.36</v>
      </c>
      <c r="I21" s="44">
        <f>margen_venta</f>
        <v>0.36</v>
      </c>
      <c r="J21" s="87"/>
    </row>
    <row r="22" spans="2:10">
      <c r="B22" s="215"/>
      <c r="C22" s="87"/>
      <c r="E22" s="438" t="s">
        <v>334</v>
      </c>
      <c r="F22" s="438"/>
      <c r="G22" s="87">
        <f>G18*G21</f>
        <v>3210.6779999999994</v>
      </c>
      <c r="H22" s="87">
        <f>H18*H21</f>
        <v>3210.6779999999994</v>
      </c>
      <c r="I22" s="87">
        <f>I18*I21</f>
        <v>126</v>
      </c>
      <c r="J22" s="87"/>
    </row>
    <row r="23" spans="2:10">
      <c r="B23" s="215"/>
      <c r="C23" s="87"/>
      <c r="E23" s="215" t="s">
        <v>110</v>
      </c>
      <c r="F23" s="215"/>
      <c r="G23" s="44">
        <f>-descuento</f>
        <v>0</v>
      </c>
      <c r="H23" s="44">
        <f>-descuento</f>
        <v>0</v>
      </c>
      <c r="I23" s="44">
        <f>-descuento</f>
        <v>0</v>
      </c>
      <c r="J23" s="87"/>
    </row>
    <row r="24" spans="2:10">
      <c r="B24" s="215"/>
      <c r="C24" s="87"/>
      <c r="E24" s="215" t="s">
        <v>19</v>
      </c>
      <c r="F24" s="215"/>
      <c r="G24" s="87">
        <f>G18*G23</f>
        <v>0</v>
      </c>
      <c r="H24" s="87">
        <f>H18*H23</f>
        <v>0</v>
      </c>
      <c r="I24" s="87">
        <f>I18*I23</f>
        <v>0</v>
      </c>
      <c r="J24" s="87"/>
    </row>
    <row r="25" spans="2:10">
      <c r="B25" s="215"/>
      <c r="C25" s="44"/>
      <c r="E25" s="438" t="s">
        <v>335</v>
      </c>
      <c r="F25" s="438"/>
      <c r="G25" s="44">
        <f>G21+G23</f>
        <v>0.36</v>
      </c>
      <c r="H25" s="44">
        <f>H21+H23</f>
        <v>0.36</v>
      </c>
      <c r="I25" s="44">
        <f>I21+I23</f>
        <v>0.36</v>
      </c>
      <c r="J25" s="87"/>
    </row>
    <row r="26" spans="2:10">
      <c r="B26" s="215"/>
      <c r="C26" s="87"/>
      <c r="D26" s="87">
        <f>G26/2</f>
        <v>1605.3389999999997</v>
      </c>
      <c r="E26" s="438" t="s">
        <v>333</v>
      </c>
      <c r="F26" s="438"/>
      <c r="G26" s="421">
        <f>G18*G25</f>
        <v>3210.6779999999994</v>
      </c>
      <c r="H26" s="421">
        <f>H18*H25</f>
        <v>3210.6779999999994</v>
      </c>
      <c r="I26" s="421">
        <f>I18*I25</f>
        <v>126</v>
      </c>
    </row>
    <row r="27" spans="2:10">
      <c r="B27" s="215"/>
      <c r="C27" s="87"/>
      <c r="E27" s="437" t="s">
        <v>327</v>
      </c>
      <c r="F27" s="437"/>
      <c r="G27" s="87"/>
      <c r="H27" s="87"/>
      <c r="I27" s="87"/>
    </row>
    <row r="28" spans="2:10">
      <c r="E28" s="215" t="s">
        <v>327</v>
      </c>
      <c r="F28" s="248"/>
      <c r="G28" s="87">
        <f>G18+G26</f>
        <v>12129.227999999999</v>
      </c>
      <c r="H28" s="87">
        <f>H18+H26</f>
        <v>12129.227999999999</v>
      </c>
      <c r="I28" s="87">
        <f>I18+I26</f>
        <v>476</v>
      </c>
    </row>
    <row r="29" spans="2:10">
      <c r="E29" s="437" t="s">
        <v>304</v>
      </c>
      <c r="F29" s="437"/>
      <c r="G29" s="87"/>
      <c r="H29" s="87"/>
      <c r="I29" s="87"/>
    </row>
    <row r="30" spans="2:10">
      <c r="E30" s="215" t="s">
        <v>100</v>
      </c>
      <c r="F30" s="215"/>
      <c r="G30" s="87">
        <f>p_cee*num_cee</f>
        <v>0</v>
      </c>
      <c r="H30" s="87">
        <f>p_cee*num_cee</f>
        <v>0</v>
      </c>
      <c r="I30" s="87">
        <f>p_cee*num_cee</f>
        <v>0</v>
      </c>
    </row>
    <row r="31" spans="2:10">
      <c r="E31" s="215" t="s">
        <v>345</v>
      </c>
      <c r="F31" s="215"/>
      <c r="G31" s="87">
        <f>adicionales</f>
        <v>4395.5</v>
      </c>
      <c r="H31" s="87">
        <f>adicionales</f>
        <v>4395.5</v>
      </c>
      <c r="I31" s="87">
        <f>adicionales</f>
        <v>4395.5</v>
      </c>
    </row>
    <row r="32" spans="2:10">
      <c r="E32" s="439" t="s">
        <v>101</v>
      </c>
      <c r="F32" s="439"/>
      <c r="G32" s="104">
        <f>G28+G30+G31</f>
        <v>16524.727999999999</v>
      </c>
      <c r="H32" s="104">
        <f>H28+H30+H31</f>
        <v>16524.727999999999</v>
      </c>
      <c r="I32" s="104">
        <f>I28+I30+I31</f>
        <v>4871.5</v>
      </c>
    </row>
    <row r="33" spans="5:11">
      <c r="E33" s="438" t="s">
        <v>336</v>
      </c>
      <c r="F33" s="438"/>
      <c r="G33" s="87">
        <f>G32*0.21</f>
        <v>3470.1928799999996</v>
      </c>
      <c r="H33" s="87">
        <f>H32*0.21</f>
        <v>3470.1928799999996</v>
      </c>
      <c r="I33" s="87">
        <f>I32*0.21</f>
        <v>1023.015</v>
      </c>
    </row>
    <row r="34" spans="5:11">
      <c r="E34" s="437" t="s">
        <v>102</v>
      </c>
      <c r="F34" s="437"/>
      <c r="G34" s="104">
        <f>G32+G33</f>
        <v>19994.920879999998</v>
      </c>
      <c r="H34" s="104">
        <f>H32+H33</f>
        <v>19994.920879999998</v>
      </c>
      <c r="I34" s="104">
        <f>I32+I33</f>
        <v>5894.5150000000003</v>
      </c>
      <c r="J34" s="87">
        <f>G34/(p_gen*1000)</f>
        <v>1.2240539259259258</v>
      </c>
      <c r="K34" s="45" t="s">
        <v>189</v>
      </c>
    </row>
    <row r="35" spans="5:11">
      <c r="E35" s="215"/>
      <c r="F35" s="215"/>
      <c r="G35" s="87"/>
      <c r="H35" s="87"/>
      <c r="I35" s="87"/>
      <c r="J35" s="87"/>
    </row>
    <row r="36" spans="5:11">
      <c r="E36" s="248" t="s">
        <v>551</v>
      </c>
      <c r="F36" s="215"/>
      <c r="G36" s="87"/>
      <c r="H36" s="87"/>
      <c r="I36" s="87"/>
      <c r="J36" s="87"/>
    </row>
    <row r="37" spans="5:11">
      <c r="E37" s="215" t="s">
        <v>552</v>
      </c>
      <c r="F37" s="215"/>
      <c r="G37" s="87">
        <f>G32</f>
        <v>16524.727999999999</v>
      </c>
      <c r="H37" s="87">
        <f>H32</f>
        <v>16524.727999999999</v>
      </c>
      <c r="I37" s="87">
        <f>I32</f>
        <v>4871.5</v>
      </c>
      <c r="J37" s="87"/>
    </row>
    <row r="38" spans="5:11">
      <c r="E38" s="215" t="s">
        <v>553</v>
      </c>
      <c r="F38" s="215"/>
      <c r="G38" s="87">
        <f>G40*0.13</f>
        <v>1805.2223865546218</v>
      </c>
      <c r="H38" s="87">
        <f>H40*0.13</f>
        <v>1805.2223865546218</v>
      </c>
      <c r="I38" s="87">
        <f>I40*0.13</f>
        <v>532.18067226890753</v>
      </c>
      <c r="J38" s="87"/>
    </row>
    <row r="39" spans="5:11">
      <c r="E39" s="215" t="s">
        <v>554</v>
      </c>
      <c r="F39" s="215"/>
      <c r="G39" s="87">
        <f>G40*0.06</f>
        <v>833.17956302521009</v>
      </c>
      <c r="H39" s="87">
        <f>H40*0.06</f>
        <v>833.17956302521009</v>
      </c>
      <c r="I39" s="87">
        <f>I40*0.06</f>
        <v>245.62184873949579</v>
      </c>
      <c r="J39" s="87"/>
    </row>
    <row r="40" spans="5:11">
      <c r="E40" s="215" t="s">
        <v>555</v>
      </c>
      <c r="F40" s="215"/>
      <c r="G40" s="87">
        <f>G37/1.19</f>
        <v>13886.326050420168</v>
      </c>
      <c r="H40" s="87">
        <f>H37/1.19</f>
        <v>13886.326050420168</v>
      </c>
      <c r="I40" s="87">
        <f>I37/1.19</f>
        <v>4093.6974789915967</v>
      </c>
      <c r="J40" s="87"/>
    </row>
    <row r="41" spans="5:11">
      <c r="E41" s="215" t="s">
        <v>557</v>
      </c>
      <c r="F41" s="215"/>
      <c r="G41" s="44">
        <v>0.05</v>
      </c>
      <c r="H41" s="44">
        <v>0.05</v>
      </c>
      <c r="I41" s="44">
        <v>0.05</v>
      </c>
      <c r="J41" s="87"/>
    </row>
    <row r="42" spans="5:11">
      <c r="E42" s="344" t="s">
        <v>556</v>
      </c>
      <c r="F42" s="215"/>
      <c r="G42" s="104">
        <f>G40*G41</f>
        <v>694.31630252100842</v>
      </c>
      <c r="H42" s="104">
        <f>H40*H41</f>
        <v>694.31630252100842</v>
      </c>
      <c r="I42" s="104">
        <f>I40*I41</f>
        <v>204.68487394957984</v>
      </c>
      <c r="J42" s="87"/>
    </row>
    <row r="43" spans="5:11">
      <c r="E43" s="215"/>
      <c r="F43" s="215"/>
      <c r="G43" s="87"/>
      <c r="H43" s="87"/>
      <c r="I43" s="87"/>
      <c r="J43" s="87"/>
    </row>
    <row r="44" spans="5:11">
      <c r="E44" s="437" t="s">
        <v>613</v>
      </c>
      <c r="F44" s="437"/>
      <c r="G44" s="104">
        <f>IF(licencia="Incluídas",G34+G42,G34)</f>
        <v>19994.920879999998</v>
      </c>
      <c r="H44" s="104">
        <f>IF(licencia="Incluídas",H34+H42,H34)</f>
        <v>19994.920879999998</v>
      </c>
      <c r="I44" s="104">
        <f>IF(licencia="Incluídas",I34+I42,I34)</f>
        <v>5894.5150000000003</v>
      </c>
      <c r="J44" s="87">
        <f>G44/(p_gen*1000)</f>
        <v>1.2240539259259258</v>
      </c>
      <c r="K44" s="45" t="s">
        <v>189</v>
      </c>
    </row>
    <row r="45" spans="5:11">
      <c r="E45" s="437"/>
      <c r="F45" s="437"/>
      <c r="G45" s="104"/>
      <c r="H45" s="104"/>
      <c r="I45" s="104"/>
      <c r="J45" s="87"/>
    </row>
  </sheetData>
  <sheetProtection selectLockedCells="1" selectUnlockedCells="1"/>
  <mergeCells count="17">
    <mergeCell ref="B15:C15"/>
    <mergeCell ref="E17:F17"/>
    <mergeCell ref="E16:F16"/>
    <mergeCell ref="B2:C2"/>
    <mergeCell ref="B11:C11"/>
    <mergeCell ref="E45:F45"/>
    <mergeCell ref="E18:F18"/>
    <mergeCell ref="E26:F26"/>
    <mergeCell ref="E32:F32"/>
    <mergeCell ref="E33:F33"/>
    <mergeCell ref="E34:F34"/>
    <mergeCell ref="E21:F21"/>
    <mergeCell ref="E29:F29"/>
    <mergeCell ref="E44:F44"/>
    <mergeCell ref="E27:F27"/>
    <mergeCell ref="E22:F22"/>
    <mergeCell ref="E25:F25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2236-FC1F-4077-AB15-C63C9BB9551C}">
  <sheetPr codeName="Hoja4">
    <tabColor rgb="FFFFD100"/>
  </sheetPr>
  <dimension ref="A1:CD43"/>
  <sheetViews>
    <sheetView showGridLines="0" topLeftCell="A22" zoomScaleNormal="100" workbookViewId="0">
      <selection activeCell="E22" sqref="D22:E22"/>
    </sheetView>
  </sheetViews>
  <sheetFormatPr baseColWidth="10" defaultRowHeight="14.4" outlineLevelCol="1"/>
  <cols>
    <col min="1" max="1" width="6.77734375" style="1" customWidth="1"/>
    <col min="2" max="2" width="62.44140625" style="1" customWidth="1"/>
    <col min="3" max="3" width="23.109375" style="1" customWidth="1"/>
    <col min="4" max="4" width="17.44140625" customWidth="1"/>
    <col min="5" max="5" width="18.44140625" customWidth="1"/>
    <col min="6" max="6" width="16.88671875" style="7" customWidth="1"/>
    <col min="7" max="7" width="17.6640625" style="7" customWidth="1"/>
    <col min="8" max="8" width="12" customWidth="1"/>
    <col min="9" max="10" width="11.109375" customWidth="1"/>
    <col min="11" max="11" width="11.88671875" customWidth="1"/>
    <col min="12" max="12" width="13.77734375" customWidth="1"/>
    <col min="13" max="13" width="15.77734375" customWidth="1"/>
    <col min="14" max="14" width="10.33203125" customWidth="1"/>
    <col min="15" max="15" width="11.6640625" customWidth="1"/>
    <col min="16" max="16" width="14" customWidth="1"/>
    <col min="17" max="17" width="6.6640625" customWidth="1"/>
    <col min="18" max="18" width="21.6640625" customWidth="1"/>
    <col min="19" max="19" width="13.44140625" customWidth="1"/>
    <col min="20" max="20" width="11.44140625" customWidth="1"/>
    <col min="21" max="21" width="14.33203125" customWidth="1"/>
    <col min="22" max="22" width="13.5546875" customWidth="1"/>
    <col min="23" max="23" width="6.6640625" customWidth="1"/>
    <col min="24" max="24" width="14.6640625" customWidth="1"/>
    <col min="25" max="25" width="19.6640625" customWidth="1"/>
    <col min="26" max="26" width="15.88671875" customWidth="1"/>
    <col min="27" max="27" width="13.77734375" customWidth="1"/>
    <col min="28" max="28" width="14.88671875" customWidth="1"/>
    <col min="29" max="29" width="11.77734375" customWidth="1" outlineLevel="1"/>
    <col min="30" max="30" width="13.33203125" customWidth="1" outlineLevel="1"/>
    <col min="31" max="31" width="10.5546875" customWidth="1" outlineLevel="1"/>
    <col min="32" max="32" width="11.5546875" customWidth="1" outlineLevel="1"/>
    <col min="33" max="33" width="10.5546875" customWidth="1" outlineLevel="1"/>
    <col min="34" max="37" width="11.5546875" customWidth="1" outlineLevel="1"/>
    <col min="38" max="38" width="13" customWidth="1" outlineLevel="1"/>
    <col min="39" max="39" width="13.5546875" customWidth="1" outlineLevel="1"/>
    <col min="40" max="40" width="17.5546875" customWidth="1" outlineLevel="1"/>
    <col min="41" max="41" width="14.77734375" customWidth="1" outlineLevel="1"/>
    <col min="42" max="42" width="11.88671875" customWidth="1" outlineLevel="1"/>
    <col min="43" max="44" width="13.44140625" customWidth="1"/>
    <col min="45" max="45" width="11.77734375" customWidth="1"/>
    <col min="46" max="46" width="13.44140625" customWidth="1"/>
    <col min="47" max="47" width="13.33203125" customWidth="1"/>
    <col min="48" max="48" width="11.5546875" customWidth="1"/>
    <col min="49" max="49" width="12.88671875" customWidth="1"/>
    <col min="50" max="50" width="13.88671875" customWidth="1"/>
    <col min="51" max="51" width="12.109375" customWidth="1"/>
    <col min="52" max="52" width="21.33203125" customWidth="1"/>
    <col min="53" max="53" width="24.21875" customWidth="1"/>
    <col min="54" max="55" width="12.77734375" customWidth="1"/>
    <col min="56" max="56" width="16.21875" customWidth="1"/>
    <col min="57" max="57" width="18.109375" customWidth="1"/>
    <col min="58" max="59" width="14.77734375" customWidth="1"/>
    <col min="60" max="60" width="14.33203125" customWidth="1"/>
    <col min="61" max="61" width="11.5546875" customWidth="1"/>
    <col min="62" max="62" width="10.44140625" customWidth="1"/>
    <col min="63" max="63" width="12.5546875" customWidth="1"/>
    <col min="64" max="64" width="13.6640625" customWidth="1"/>
    <col min="65" max="65" width="12.109375" customWidth="1"/>
    <col min="66" max="66" width="11.88671875" customWidth="1"/>
    <col min="67" max="67" width="12.44140625" customWidth="1"/>
    <col min="68" max="68" width="12.109375" customWidth="1"/>
    <col min="69" max="69" width="8.44140625" customWidth="1"/>
    <col min="70" max="70" width="10.6640625" customWidth="1"/>
    <col min="72" max="72" width="12.21875" customWidth="1"/>
    <col min="73" max="74" width="13.6640625" customWidth="1"/>
    <col min="75" max="75" width="18" customWidth="1"/>
    <col min="76" max="78" width="11.109375" customWidth="1"/>
    <col min="79" max="79" width="11" customWidth="1"/>
    <col min="80" max="80" width="13.33203125" customWidth="1"/>
    <col min="81" max="82" width="11.88671875" customWidth="1"/>
    <col min="83" max="84" width="11.5546875" customWidth="1"/>
  </cols>
  <sheetData>
    <row r="1" spans="1:82" ht="17.399999999999999" customHeight="1">
      <c r="A1"/>
      <c r="B1"/>
      <c r="C1"/>
      <c r="AX1" s="5"/>
      <c r="AY1" s="5"/>
      <c r="BA1" s="5"/>
      <c r="BB1" s="5"/>
      <c r="BC1" s="5"/>
      <c r="BD1" s="5"/>
      <c r="BE1" s="5"/>
      <c r="BF1" s="5"/>
      <c r="BG1" s="5"/>
      <c r="BH1" s="5"/>
      <c r="BI1" s="5"/>
      <c r="BJ1" s="2"/>
      <c r="BK1" s="2"/>
      <c r="BL1" s="2"/>
      <c r="BM1" s="2"/>
      <c r="BN1" s="2"/>
      <c r="BO1" s="2"/>
      <c r="BP1" s="2"/>
      <c r="BQ1" s="2"/>
      <c r="BR1" s="2"/>
      <c r="CC1" s="5"/>
      <c r="CD1" s="5"/>
    </row>
    <row r="2" spans="1:82" s="37" customFormat="1" ht="18.600000000000001" customHeight="1">
      <c r="B2" s="48" t="s">
        <v>370</v>
      </c>
      <c r="C2" s="40"/>
      <c r="D2" s="40"/>
      <c r="E2" s="40"/>
      <c r="F2" s="195"/>
      <c r="G2" s="195"/>
      <c r="AX2" s="38"/>
      <c r="AY2" s="38"/>
      <c r="BA2" s="38"/>
      <c r="BB2" s="38"/>
      <c r="BC2" s="38"/>
      <c r="BD2" s="38"/>
      <c r="BE2" s="38"/>
      <c r="BF2" s="38"/>
      <c r="BG2" s="38"/>
      <c r="BH2" s="38"/>
      <c r="BI2" s="38"/>
      <c r="CC2" s="38"/>
      <c r="CD2" s="38"/>
    </row>
    <row r="3" spans="1:82" ht="15.6">
      <c r="B3" s="42" t="s">
        <v>21</v>
      </c>
      <c r="C3" s="310" t="str">
        <f>programa</f>
        <v>Sinayuda</v>
      </c>
    </row>
    <row r="4" spans="1:82" ht="15.6">
      <c r="B4" s="42" t="s">
        <v>362</v>
      </c>
      <c r="C4" s="45">
        <f>perfil</f>
        <v>0</v>
      </c>
    </row>
    <row r="5" spans="1:82" ht="15.6">
      <c r="B5" s="42" t="s">
        <v>363</v>
      </c>
      <c r="C5" s="45" t="str">
        <f>IF(perfil="Particular","No Aplica (particular)",tamaño)</f>
        <v>Pequeña</v>
      </c>
    </row>
    <row r="6" spans="1:82" ht="15.6">
      <c r="B6" s="42" t="s">
        <v>197</v>
      </c>
      <c r="C6" s="45" t="str">
        <f>autoconsumo</f>
        <v>Autoconsumo Individual</v>
      </c>
    </row>
    <row r="7" spans="1:82" ht="15.6">
      <c r="B7" s="42" t="s">
        <v>364</v>
      </c>
      <c r="C7" s="179">
        <f>p_gen*1000</f>
        <v>16335</v>
      </c>
    </row>
    <row r="8" spans="1:82" ht="15.6">
      <c r="B8" s="31" t="s">
        <v>449</v>
      </c>
      <c r="C8" s="179"/>
    </row>
    <row r="9" spans="1:82" ht="15.6">
      <c r="B9" s="42"/>
      <c r="C9" s="179"/>
    </row>
    <row r="10" spans="1:82" ht="15.6">
      <c r="B10" s="42"/>
      <c r="C10" s="179"/>
    </row>
    <row r="11" spans="1:82" ht="15.6">
      <c r="B11" s="42"/>
      <c r="C11" s="179"/>
    </row>
    <row r="12" spans="1:82" ht="15.6">
      <c r="B12" s="42"/>
      <c r="C12" s="179"/>
    </row>
    <row r="13" spans="1:82" ht="15.6">
      <c r="B13" s="42"/>
      <c r="C13" s="179"/>
    </row>
    <row r="14" spans="1:82" ht="15.6">
      <c r="B14" s="42"/>
      <c r="C14" s="179"/>
    </row>
    <row r="15" spans="1:82" ht="15.6">
      <c r="B15" s="308" t="s">
        <v>365</v>
      </c>
      <c r="C15" s="309"/>
      <c r="D15" s="309"/>
      <c r="E15" s="309"/>
    </row>
    <row r="16" spans="1:82" ht="15.6">
      <c r="B16" s="43" t="s">
        <v>105</v>
      </c>
      <c r="C16" s="259">
        <f>IF(AND(programa="AAE",perfil="Empresa Pequeña",p_gen*1000&lt;=10000),0.45,
IF(AND(programa="AAE",perfil="Empresa Mediana",p_gen*1000&lt;=10000),0.25,
IF(AND(programa="AAE",perfil="Empresa Grande",p_gen*1000&lt;=10000),0.15,
IF(AND(programa="AAE",perfil="Empresa Pequeña",p_gen*1000&gt;10000),0.35,
IF(AND(programa="AAE",perfil="Empresa Mediana",p_gen*1000&gt;10000),0.25,
IF(AND(programa="AAE",perfil="Empresa Grande",p_gen*1000&gt;10000),0.15,
IF(AND(programa="Ecovivienda",datos!H29="CUMPLE"),0.8,
IF(AND(programa="Ecovivienda",datos!H29="NO CUMPLE"),0.65,
IF(programa="Sinayuda",0,)
))))))))</f>
        <v>0</v>
      </c>
      <c r="F16" s="7">
        <f>perfil</f>
        <v>0</v>
      </c>
    </row>
    <row r="17" spans="2:6" ht="15.6">
      <c r="B17" s="43" t="s">
        <v>106</v>
      </c>
      <c r="C17" s="87">
        <f>IF(AND(programa="AAE",perfil="Particular",autoconsumo="Autoconsumo Individual",p_gen&lt;=10),p_gen*600,
IF(AND(programa="AAE",perfil="Particular",autoconsumo="Autoconsumo Individual",p_gen&lt;=100),p_gen*450,
IF(AND(programa="AAE",perfil="Particular",autoconsumo="Autoconsumo Individual",p_gen&lt;=1000),p_gen*350,
IF(AND(programa="AAE",perfil="Particular",autoconsumo="Autoconsumo Colectivo",p_gen&lt;=10),p_gen*710,
IF(AND(programa="AAE",perfil="Particular",autoconsumo="Autoconsumo Colectivo",p_gen&lt;=100),p_gen*535,
IF(AND(programa="AAE",perfil="Particular",autoconsumo="Autoconsumo Colectivo",p_gen&lt;=1000),p_gen*420,
))))))</f>
        <v>0</v>
      </c>
    </row>
    <row r="18" spans="2:6" ht="15.6">
      <c r="B18" s="308" t="s">
        <v>366</v>
      </c>
      <c r="C18" s="309"/>
      <c r="D18" s="309"/>
      <c r="E18" s="309"/>
    </row>
    <row r="19" spans="2:6" ht="15.6">
      <c r="B19" s="43" t="s">
        <v>105</v>
      </c>
      <c r="C19" s="44">
        <f>IF(AND(programa="AAE",perfil="Empresa",tamaño="Pequeña"),0.65,
IF(AND(programa="AAE",perfil="Empresa",tamaño="Mediana"),0.55,
IF(AND(programa="AAE",perfil="Empresa",tamaño="Grande"),0.45,
IF(AND(programa="Ecovivienda",datos!H29="CUMPLE"),0.8,
IF(AND(programa="Ecovivienda",datos!H29="NO CUMPLE"),0.65,
)))))</f>
        <v>0</v>
      </c>
    </row>
    <row r="20" spans="2:6" ht="15.6">
      <c r="B20" s="43" t="s">
        <v>106</v>
      </c>
      <c r="C20" s="87">
        <f>IF(AND(programa="AAE",perfil="Particular",p_gen&lt;=10,cap_bat&lt;10),cap_bat*490,
IF(AND(programa="AAE",perfil="Particular",p_gen&lt;=100,cap_bat&lt;10),cap_bat*490,
IF(AND(programa="AAE",perfil="Particular",p_gen&lt;=10,cap_bat&gt;=10),cap_bat*350,
IF(AND(programa="AAE",perfil="Particular",p_gen&lt;=100,cap_bat&gt;=10),cap_bat*350,
))))</f>
        <v>0</v>
      </c>
      <c r="D20" s="253"/>
    </row>
    <row r="21" spans="2:6" ht="15.6">
      <c r="B21" s="89" t="s">
        <v>367</v>
      </c>
      <c r="C21" s="88"/>
      <c r="D21" s="88"/>
      <c r="E21" s="88"/>
    </row>
    <row r="22" spans="2:6" ht="15.6">
      <c r="B22" s="43" t="s">
        <v>351</v>
      </c>
      <c r="C22" s="87">
        <v>0</v>
      </c>
    </row>
    <row r="23" spans="2:6" ht="18">
      <c r="B23" s="89" t="s">
        <v>369</v>
      </c>
      <c r="C23" s="94" t="s">
        <v>480</v>
      </c>
      <c r="D23" s="98" t="s">
        <v>481</v>
      </c>
      <c r="E23" s="343" t="s">
        <v>482</v>
      </c>
    </row>
    <row r="24" spans="2:6" ht="15.6">
      <c r="B24" s="296" t="s">
        <v>434</v>
      </c>
      <c r="C24" s="297"/>
      <c r="D24" s="297"/>
      <c r="E24" s="297"/>
    </row>
    <row r="25" spans="2:6" ht="15.6">
      <c r="B25" s="43" t="s">
        <v>483</v>
      </c>
      <c r="C25" s="87">
        <f>ppto!G44</f>
        <v>19994.920879999998</v>
      </c>
      <c r="D25" s="87">
        <f>ppto!H44</f>
        <v>19994.920879999998</v>
      </c>
      <c r="E25" s="87">
        <f>ppto!I44</f>
        <v>5894.5150000000003</v>
      </c>
    </row>
    <row r="26" spans="2:6" ht="15.6">
      <c r="B26" s="43" t="s">
        <v>368</v>
      </c>
      <c r="C26" s="87">
        <f>C25*C16+C17+C22</f>
        <v>0</v>
      </c>
      <c r="D26" s="87">
        <f>D25*C16+C20+C17+C22</f>
        <v>0</v>
      </c>
      <c r="E26" s="87">
        <f>C19*E25+C20</f>
        <v>0</v>
      </c>
    </row>
    <row r="27" spans="2:6" ht="15.6">
      <c r="B27" s="43" t="s">
        <v>353</v>
      </c>
      <c r="C27" s="258">
        <f>C26/C25</f>
        <v>0</v>
      </c>
      <c r="D27" s="258">
        <f>D26/D25</f>
        <v>0</v>
      </c>
      <c r="E27" s="258">
        <f>E26/E25</f>
        <v>0</v>
      </c>
    </row>
    <row r="28" spans="2:6" ht="20.399999999999999" customHeight="1">
      <c r="B28" s="257" t="s">
        <v>484</v>
      </c>
      <c r="C28" s="104">
        <f>C25-C26</f>
        <v>19994.920879999998</v>
      </c>
      <c r="D28" s="104">
        <f>D25-D26</f>
        <v>19994.920879999998</v>
      </c>
      <c r="E28" s="104">
        <f>E25-E26</f>
        <v>5894.5150000000003</v>
      </c>
    </row>
    <row r="29" spans="2:6" ht="15.6">
      <c r="B29" s="296" t="s">
        <v>435</v>
      </c>
      <c r="C29" s="297"/>
      <c r="D29" s="297"/>
      <c r="E29" s="297"/>
    </row>
    <row r="30" spans="2:6" ht="15.6">
      <c r="B30" s="43" t="s">
        <v>577</v>
      </c>
      <c r="C30" s="87">
        <f>ppto!G32</f>
        <v>16524.727999999999</v>
      </c>
      <c r="D30" s="87">
        <f>ppto!H32</f>
        <v>16524.727999999999</v>
      </c>
      <c r="E30" s="87">
        <f>ppto!I32</f>
        <v>4871.5</v>
      </c>
      <c r="F30" s="256"/>
    </row>
    <row r="31" spans="2:6" ht="15.6">
      <c r="B31" s="43" t="s">
        <v>368</v>
      </c>
      <c r="C31" s="87">
        <f>C30*C16+C17+C22</f>
        <v>0</v>
      </c>
      <c r="D31" s="87">
        <f>C30*C16+(D30-C30)*C19+C20+C17+C22</f>
        <v>0</v>
      </c>
      <c r="E31" s="87">
        <f>E25*C19+C20+C17+C22</f>
        <v>0</v>
      </c>
    </row>
    <row r="32" spans="2:6" ht="15.6">
      <c r="B32" s="43" t="s">
        <v>353</v>
      </c>
      <c r="C32" s="258">
        <f>C36/C30</f>
        <v>0</v>
      </c>
      <c r="D32" s="258">
        <f>D31/D30</f>
        <v>0</v>
      </c>
      <c r="E32" s="258">
        <f>E31/E30</f>
        <v>0</v>
      </c>
      <c r="F32" s="337" t="s">
        <v>530</v>
      </c>
    </row>
    <row r="33" spans="1:7" ht="15.6">
      <c r="B33" s="257" t="s">
        <v>484</v>
      </c>
      <c r="C33" s="104">
        <f>C25-C31</f>
        <v>19994.920879999998</v>
      </c>
      <c r="D33" s="104">
        <f>D30-D31</f>
        <v>16524.727999999999</v>
      </c>
      <c r="E33" s="104">
        <f>E30-E31</f>
        <v>4871.5</v>
      </c>
    </row>
    <row r="34" spans="1:7" ht="15.6">
      <c r="B34" s="296" t="s">
        <v>578</v>
      </c>
      <c r="C34" s="297"/>
      <c r="D34" s="297"/>
      <c r="E34" s="297"/>
    </row>
    <row r="35" spans="1:7" ht="15.6">
      <c r="B35" s="43" t="s">
        <v>579</v>
      </c>
      <c r="C35" s="87">
        <f>perfil</f>
        <v>0</v>
      </c>
      <c r="D35" s="87">
        <f>perfil</f>
        <v>0</v>
      </c>
      <c r="E35" s="87">
        <f>perfil</f>
        <v>0</v>
      </c>
    </row>
    <row r="36" spans="1:7" ht="20.399999999999999" customHeight="1">
      <c r="B36" s="43" t="s">
        <v>368</v>
      </c>
      <c r="C36" s="104">
        <f>IF(perfil="Particular",incentivo!C26,incentivo!C31)</f>
        <v>0</v>
      </c>
      <c r="D36" s="104">
        <f>IF(perfil="Particular",incentivo!D26,incentivo!D31)</f>
        <v>0</v>
      </c>
      <c r="E36" s="104">
        <f>IF(perfil="Particular",incentivo!E26,incentivo!E31)</f>
        <v>0</v>
      </c>
    </row>
    <row r="37" spans="1:7" ht="15.6">
      <c r="B37" s="43" t="s">
        <v>353</v>
      </c>
      <c r="C37" s="258">
        <f>IF(perfil="Particular",incentivo!C27,incentivo!C32)</f>
        <v>0</v>
      </c>
      <c r="D37" s="258">
        <f>IF(perfil="Particular",incentivo!D27,incentivo!D32)</f>
        <v>0</v>
      </c>
      <c r="E37" s="258">
        <f>IF(perfil="Particular",incentivo!E27,incentivo!E32)</f>
        <v>0</v>
      </c>
    </row>
    <row r="38" spans="1:7" s="93" customFormat="1" ht="15.6">
      <c r="A38" s="25"/>
      <c r="B38" s="90" t="s">
        <v>46</v>
      </c>
      <c r="C38" s="91"/>
      <c r="D38" s="92"/>
      <c r="F38" s="196"/>
      <c r="G38" s="196"/>
    </row>
    <row r="39" spans="1:7" ht="15.6">
      <c r="B39" s="39" t="s">
        <v>140</v>
      </c>
      <c r="C39" s="47">
        <f>cálculos!P7/(p_gen*1000)</f>
        <v>1.112396694214876</v>
      </c>
      <c r="D39" s="46"/>
    </row>
    <row r="40" spans="1:7" ht="15.6">
      <c r="B40" s="39" t="s">
        <v>114</v>
      </c>
      <c r="C40" s="7" t="s">
        <v>70</v>
      </c>
      <c r="D40" s="46">
        <f>cap_bat</f>
        <v>0</v>
      </c>
    </row>
    <row r="41" spans="1:7" ht="15.6">
      <c r="B41" s="39" t="s">
        <v>190</v>
      </c>
      <c r="C41" s="7" t="s">
        <v>70</v>
      </c>
      <c r="D41" s="46" t="e">
        <f>(p_gen)/D40</f>
        <v>#DIV/0!</v>
      </c>
    </row>
    <row r="42" spans="1:7" ht="15.6">
      <c r="B42" s="39" t="s">
        <v>22</v>
      </c>
      <c r="C42" s="7" t="s">
        <v>70</v>
      </c>
      <c r="D42" s="47" t="e">
        <f>0.6529*D41^(-1.164)</f>
        <v>#DIV/0!</v>
      </c>
    </row>
    <row r="43" spans="1:7" ht="19.2" customHeight="1">
      <c r="B43" s="39" t="s">
        <v>18</v>
      </c>
      <c r="C43" s="132">
        <f>-0.0471*C39+0.5573</f>
        <v>0.50490611570247934</v>
      </c>
      <c r="D43" s="132" t="e">
        <f>D41*D42+(C43-0.474)</f>
        <v>#DIV/0!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A05A-126A-4021-9431-571D5063AE27}">
  <sheetPr>
    <tabColor rgb="FFFFD100"/>
    <pageSetUpPr fitToPage="1"/>
  </sheetPr>
  <dimension ref="A2:N49"/>
  <sheetViews>
    <sheetView showGridLines="0" view="pageBreakPreview" topLeftCell="A17" zoomScale="70" zoomScaleNormal="55" zoomScaleSheetLayoutView="70" workbookViewId="0">
      <selection activeCell="D16" sqref="D16"/>
    </sheetView>
  </sheetViews>
  <sheetFormatPr baseColWidth="10" defaultColWidth="9.33203125" defaultRowHeight="13.2"/>
  <cols>
    <col min="1" max="1" width="4.77734375" style="347" customWidth="1"/>
    <col min="2" max="2" width="5.6640625" style="345" customWidth="1"/>
    <col min="3" max="3" width="31.33203125" style="347" customWidth="1"/>
    <col min="4" max="4" width="43.44140625" style="347" customWidth="1"/>
    <col min="5" max="5" width="15.5546875" style="347" customWidth="1"/>
    <col min="6" max="6" width="19.88671875" style="347" customWidth="1"/>
    <col min="7" max="7" width="17.6640625" style="347" customWidth="1"/>
    <col min="8" max="8" width="23.44140625" style="347" customWidth="1"/>
    <col min="9" max="9" width="5.33203125" style="347" customWidth="1"/>
    <col min="10" max="10" width="17.109375" style="345" customWidth="1"/>
    <col min="11" max="11" width="28.77734375" style="346" customWidth="1"/>
    <col min="12" max="12" width="22.44140625" style="347" customWidth="1"/>
    <col min="13" max="16384" width="9.33203125" style="347"/>
  </cols>
  <sheetData>
    <row r="2" spans="1:14" ht="16.8" customHeight="1">
      <c r="A2" s="373"/>
      <c r="B2" s="373"/>
      <c r="C2" s="373"/>
      <c r="D2" s="373"/>
      <c r="E2" s="375" t="s">
        <v>563</v>
      </c>
      <c r="F2" s="373"/>
      <c r="H2" s="374" t="s">
        <v>565</v>
      </c>
      <c r="I2" s="373"/>
    </row>
    <row r="3" spans="1:14" ht="16.8" customHeight="1">
      <c r="A3" s="373"/>
      <c r="B3" s="373"/>
      <c r="C3" s="373"/>
      <c r="D3" s="373"/>
      <c r="E3" s="375" t="s">
        <v>568</v>
      </c>
      <c r="F3" s="373"/>
      <c r="H3" s="374" t="s">
        <v>566</v>
      </c>
      <c r="I3" s="373"/>
    </row>
    <row r="4" spans="1:14" ht="18.600000000000001" customHeight="1">
      <c r="A4" s="373"/>
      <c r="B4" s="373"/>
      <c r="C4" s="373"/>
      <c r="D4" s="373"/>
      <c r="E4" s="375" t="s">
        <v>569</v>
      </c>
      <c r="F4" s="373"/>
      <c r="H4" s="374" t="s">
        <v>567</v>
      </c>
      <c r="I4" s="373"/>
    </row>
    <row r="5" spans="1:14" ht="18" customHeight="1">
      <c r="A5" s="373"/>
      <c r="B5" s="373"/>
      <c r="C5" s="373"/>
      <c r="D5" s="373"/>
      <c r="E5" s="375" t="s">
        <v>564</v>
      </c>
      <c r="F5" s="373"/>
      <c r="G5" s="374"/>
      <c r="H5" s="373"/>
      <c r="I5" s="373"/>
    </row>
    <row r="6" spans="1:14" ht="28.8" customHeight="1">
      <c r="A6" s="373"/>
      <c r="B6" s="373"/>
      <c r="C6" s="373"/>
      <c r="D6" s="373"/>
      <c r="E6" s="373"/>
      <c r="F6" s="373"/>
      <c r="G6" s="373"/>
      <c r="H6" s="373"/>
      <c r="I6" s="373"/>
    </row>
    <row r="7" spans="1:14" ht="45.6" customHeight="1">
      <c r="A7" s="442" t="s">
        <v>570</v>
      </c>
      <c r="B7" s="442"/>
      <c r="C7" s="442"/>
      <c r="D7" s="442"/>
      <c r="E7" s="442"/>
      <c r="F7" s="442"/>
      <c r="G7" s="442"/>
      <c r="H7" s="442"/>
      <c r="I7" s="442"/>
    </row>
    <row r="8" spans="1:14" ht="46.2" customHeight="1">
      <c r="A8" s="445" t="str">
        <f>ppto!B2</f>
        <v>Instalación de Autoconsumo Fotovoltaico de 16,335 kWp</v>
      </c>
      <c r="B8" s="445"/>
      <c r="C8" s="445"/>
      <c r="D8" s="445"/>
      <c r="E8" s="445"/>
      <c r="F8" s="445"/>
      <c r="G8" s="445"/>
      <c r="H8" s="445"/>
      <c r="I8" s="445"/>
    </row>
    <row r="9" spans="1:14" ht="40.200000000000003" customHeight="1">
      <c r="A9" s="378"/>
      <c r="B9" s="378"/>
      <c r="C9" s="378"/>
      <c r="D9" s="378"/>
      <c r="E9" s="378"/>
      <c r="F9" s="378"/>
      <c r="G9" s="378"/>
      <c r="H9" s="378"/>
      <c r="I9" s="378"/>
    </row>
    <row r="10" spans="1:14" ht="7.8" customHeight="1">
      <c r="B10" s="370"/>
      <c r="C10" s="371"/>
      <c r="D10" s="371"/>
      <c r="E10" s="372"/>
      <c r="F10" s="391"/>
      <c r="G10" s="391"/>
      <c r="H10" s="391"/>
      <c r="I10" s="27"/>
    </row>
    <row r="11" spans="1:14" ht="13.8">
      <c r="C11" s="348"/>
      <c r="D11" s="348"/>
      <c r="H11" s="349"/>
    </row>
    <row r="12" spans="1:14" ht="15.6">
      <c r="C12" s="364"/>
      <c r="D12" s="364"/>
      <c r="E12" s="365"/>
      <c r="F12" s="364"/>
      <c r="G12" s="350"/>
      <c r="H12" s="351"/>
      <c r="J12" s="352"/>
      <c r="K12" s="353"/>
      <c r="L12" s="353"/>
      <c r="M12" s="354"/>
      <c r="N12" s="355"/>
    </row>
    <row r="13" spans="1:14" ht="33.6" customHeight="1">
      <c r="C13" s="431" t="s">
        <v>571</v>
      </c>
      <c r="D13" s="417"/>
      <c r="E13" s="431" t="s">
        <v>572</v>
      </c>
      <c r="F13" s="30"/>
      <c r="G13" s="30"/>
      <c r="H13" s="31"/>
      <c r="I13" s="27"/>
      <c r="J13" s="353"/>
      <c r="K13" s="353"/>
      <c r="L13" s="353"/>
      <c r="M13" s="368"/>
      <c r="N13" s="353"/>
    </row>
    <row r="14" spans="1:14" ht="12.6" customHeight="1">
      <c r="C14" s="367"/>
      <c r="D14" s="367"/>
      <c r="E14" s="30"/>
      <c r="F14" s="367"/>
      <c r="G14" s="30"/>
      <c r="H14" s="31"/>
      <c r="I14" s="27"/>
      <c r="J14" s="353"/>
      <c r="K14" s="353"/>
      <c r="L14" s="353"/>
      <c r="M14" s="368"/>
      <c r="N14" s="353"/>
    </row>
    <row r="15" spans="1:14" ht="21">
      <c r="C15" s="432" t="s">
        <v>621</v>
      </c>
      <c r="D15" s="377"/>
      <c r="E15" s="181"/>
      <c r="H15" s="31"/>
      <c r="I15" s="198"/>
      <c r="J15" s="355"/>
    </row>
    <row r="16" spans="1:14" ht="46.8" customHeight="1">
      <c r="C16" s="366"/>
      <c r="D16" s="366"/>
      <c r="E16" s="446" t="str">
        <f>CONCATENATE(nombre," ",apellidos,)</f>
        <v xml:space="preserve">   </v>
      </c>
      <c r="F16" s="446"/>
      <c r="H16" s="198"/>
      <c r="I16" s="198"/>
    </row>
    <row r="17" spans="2:11" ht="21">
      <c r="C17" s="433" t="s">
        <v>15</v>
      </c>
      <c r="D17" s="377"/>
      <c r="E17" s="430" t="str">
        <f>telefono</f>
        <v xml:space="preserve"> </v>
      </c>
      <c r="F17" s="369"/>
      <c r="G17" s="30"/>
      <c r="H17" s="443"/>
      <c r="I17" s="443"/>
    </row>
    <row r="18" spans="2:11" ht="21">
      <c r="C18" s="434">
        <f ca="1">fecha</f>
        <v>45568</v>
      </c>
      <c r="D18" s="376"/>
      <c r="E18" s="396" t="str">
        <f>direccion</f>
        <v xml:space="preserve"> </v>
      </c>
      <c r="G18" s="30"/>
      <c r="H18" s="443"/>
      <c r="I18" s="443"/>
      <c r="J18" s="387">
        <v>0</v>
      </c>
    </row>
    <row r="19" spans="2:11" ht="21">
      <c r="C19" s="366"/>
      <c r="D19" s="366"/>
      <c r="E19" s="396" t="str">
        <f>CONCATENATE(cp," - ",localidad," - ",provincia)</f>
        <v xml:space="preserve">  -   -  </v>
      </c>
      <c r="G19" s="30"/>
      <c r="H19" s="32"/>
      <c r="I19" s="32"/>
    </row>
    <row r="20" spans="2:11" ht="61.8" customHeight="1" thickBot="1">
      <c r="B20" s="356"/>
      <c r="C20" s="357"/>
      <c r="D20" s="357"/>
      <c r="E20" s="357"/>
      <c r="F20" s="357"/>
      <c r="G20" s="357"/>
      <c r="H20" s="357"/>
    </row>
    <row r="21" spans="2:11" s="413" customFormat="1" ht="30.6" customHeight="1" thickTop="1" thickBot="1">
      <c r="B21" s="414"/>
      <c r="C21" s="425" t="s">
        <v>134</v>
      </c>
      <c r="D21" s="425" t="s">
        <v>83</v>
      </c>
      <c r="E21" s="414"/>
      <c r="F21" s="426" t="s">
        <v>559</v>
      </c>
      <c r="G21" s="426" t="s">
        <v>560</v>
      </c>
      <c r="H21" s="426" t="s">
        <v>561</v>
      </c>
      <c r="J21" s="415"/>
      <c r="K21" s="416"/>
    </row>
    <row r="22" spans="2:11" ht="55.8" customHeight="1" thickTop="1">
      <c r="B22" s="382"/>
      <c r="C22" s="397" t="str">
        <f>ppto!B2</f>
        <v>Instalación de Autoconsumo Fotovoltaico de 16,335 kWp</v>
      </c>
      <c r="D22" s="382"/>
      <c r="E22" s="382"/>
      <c r="F22" s="382"/>
      <c r="G22" s="382"/>
      <c r="H22" s="383"/>
      <c r="I22" s="384"/>
      <c r="J22" s="384"/>
      <c r="K22" s="384"/>
    </row>
    <row r="23" spans="2:11" ht="40.049999999999997" customHeight="1">
      <c r="B23" s="358"/>
      <c r="C23" s="427" t="str">
        <f>ppto!B3</f>
        <v>Módulo Fotovoltaico</v>
      </c>
      <c r="D23" s="447" t="str">
        <f>ppto!C3</f>
        <v>AIKO N-TYPE ABC A-MAH72MW 605W</v>
      </c>
      <c r="E23" s="447"/>
      <c r="F23" s="429">
        <f>ppto!E3</f>
        <v>27</v>
      </c>
      <c r="G23" s="429">
        <f>ppto!L3</f>
        <v>172.86176951672863</v>
      </c>
      <c r="H23" s="429">
        <f>F23*(G23*(1-$J$18))</f>
        <v>4667.2677769516731</v>
      </c>
      <c r="K23" s="359"/>
    </row>
    <row r="24" spans="2:11" ht="40.049999999999997" customHeight="1">
      <c r="B24" s="358"/>
      <c r="C24" s="427" t="str">
        <f>ppto!B4</f>
        <v>Grupo Inversores Tipo nº1</v>
      </c>
      <c r="D24" s="447" t="str">
        <f>ppto!C4</f>
        <v>HUAWEI SUN2000 20KTL M3</v>
      </c>
      <c r="E24" s="447"/>
      <c r="F24" s="429">
        <f>ppto!E4</f>
        <v>1</v>
      </c>
      <c r="G24" s="429">
        <f>ppto!L4</f>
        <v>3920.9840663425789</v>
      </c>
      <c r="H24" s="429">
        <f t="shared" ref="H24:H30" si="0">F24*(G24*(1-$J$18))</f>
        <v>3920.9840663425789</v>
      </c>
      <c r="K24" s="359"/>
    </row>
    <row r="25" spans="2:11" ht="40.049999999999997" hidden="1" customHeight="1">
      <c r="B25" s="358"/>
      <c r="C25" s="427" t="str">
        <f>ppto!B5</f>
        <v>Grupo Inversores Tipo nº2</v>
      </c>
      <c r="D25" s="427" t="str">
        <f>ppto!C5</f>
        <v>HUAWEI SUN2000 6KTL L1</v>
      </c>
      <c r="E25" s="428"/>
      <c r="F25" s="429"/>
      <c r="G25" s="429">
        <f t="shared" ref="G25:G28" si="1">$J$18</f>
        <v>0</v>
      </c>
      <c r="H25" s="429">
        <f t="shared" si="0"/>
        <v>0</v>
      </c>
      <c r="K25" s="359"/>
    </row>
    <row r="26" spans="2:11" ht="40.049999999999997" customHeight="1">
      <c r="B26" s="358"/>
      <c r="C26" s="427" t="str">
        <f>ppto!B6</f>
        <v>Equipos de medida</v>
      </c>
      <c r="D26" s="447" t="str">
        <f>ppto!C6</f>
        <v>Medidor Monofásico DDSU</v>
      </c>
      <c r="E26" s="447"/>
      <c r="F26" s="429">
        <f>ppto!E6</f>
        <v>1</v>
      </c>
      <c r="G26" s="429">
        <f>ppto!L6</f>
        <v>208.79679725478979</v>
      </c>
      <c r="H26" s="429">
        <f t="shared" si="0"/>
        <v>208.79679725478979</v>
      </c>
      <c r="K26" s="359"/>
    </row>
    <row r="27" spans="2:11" ht="40.049999999999997" customHeight="1">
      <c r="B27" s="358"/>
      <c r="C27" s="427" t="str">
        <f>ppto!B7</f>
        <v>Estructura</v>
      </c>
      <c r="D27" s="447" t="str">
        <f>ppto!C7</f>
        <v>Coplanaria aluminio</v>
      </c>
      <c r="E27" s="447"/>
      <c r="F27" s="429">
        <f>ppto!E7</f>
        <v>27</v>
      </c>
      <c r="G27" s="429">
        <f>ppto!L7</f>
        <v>70.331552759508142</v>
      </c>
      <c r="H27" s="429">
        <f t="shared" si="0"/>
        <v>1898.9519245067199</v>
      </c>
      <c r="K27" s="359"/>
    </row>
    <row r="28" spans="2:11" ht="40.049999999999997" hidden="1" customHeight="1">
      <c r="B28" s="358"/>
      <c r="C28" s="427" t="str">
        <f>ppto!B8</f>
        <v>Optimizadores</v>
      </c>
      <c r="D28" s="427" t="str">
        <f>ppto!C8</f>
        <v>Sin Optimizador</v>
      </c>
      <c r="E28" s="428"/>
      <c r="F28" s="429"/>
      <c r="G28" s="429">
        <f t="shared" si="1"/>
        <v>0</v>
      </c>
      <c r="H28" s="429">
        <f t="shared" si="0"/>
        <v>0</v>
      </c>
      <c r="J28" s="360"/>
      <c r="K28" s="359"/>
    </row>
    <row r="29" spans="2:11" ht="40.049999999999997" customHeight="1">
      <c r="B29" s="358"/>
      <c r="C29" s="427" t="str">
        <f>ppto!B9</f>
        <v>Cableado y Pequeño Material</v>
      </c>
      <c r="D29" s="447" t="str">
        <f>ppto!C9</f>
        <v>Cableado, Aparamenta y Pequeño Material</v>
      </c>
      <c r="E29" s="447"/>
      <c r="F29" s="429">
        <f>ppto!E9</f>
        <v>1</v>
      </c>
      <c r="G29" s="429">
        <f>ppto!L9</f>
        <v>1213.2192851015154</v>
      </c>
      <c r="H29" s="429">
        <f t="shared" si="0"/>
        <v>1213.2192851015154</v>
      </c>
      <c r="J29" s="360"/>
      <c r="K29" s="359"/>
    </row>
    <row r="30" spans="2:11" ht="40.049999999999997" customHeight="1">
      <c r="B30" s="358"/>
      <c r="C30" s="427" t="str">
        <f>ppto!B10</f>
        <v>Montaje FV</v>
      </c>
      <c r="D30" s="447" t="str">
        <f>ppto!C10</f>
        <v>Montaje de la Instalación Fotovoltaica</v>
      </c>
      <c r="E30" s="447"/>
      <c r="F30" s="429">
        <f>ppto!E10</f>
        <v>27</v>
      </c>
      <c r="G30" s="429">
        <f>ppto!L10</f>
        <v>170.94474629047116</v>
      </c>
      <c r="H30" s="429">
        <f t="shared" si="0"/>
        <v>4615.5081498427217</v>
      </c>
      <c r="J30" s="360"/>
      <c r="K30" s="359"/>
    </row>
    <row r="31" spans="2:11" ht="25.2" customHeight="1">
      <c r="B31" s="386"/>
      <c r="C31" s="398"/>
      <c r="D31" s="399"/>
      <c r="E31" s="400"/>
      <c r="F31" s="401"/>
      <c r="G31" s="401"/>
      <c r="J31" s="360"/>
      <c r="K31" s="359"/>
    </row>
    <row r="32" spans="2:11" ht="27.6" customHeight="1">
      <c r="B32" s="403"/>
      <c r="C32" s="404" t="s">
        <v>575</v>
      </c>
      <c r="D32" s="403"/>
      <c r="E32" s="403"/>
      <c r="F32" s="403"/>
      <c r="G32" s="403"/>
      <c r="H32" s="405"/>
      <c r="I32" s="384"/>
      <c r="J32" s="384"/>
      <c r="K32" s="384"/>
    </row>
    <row r="33" spans="1:11" ht="21.6" customHeight="1">
      <c r="B33" s="403"/>
      <c r="C33" s="404"/>
      <c r="D33" s="403"/>
      <c r="E33" s="403"/>
      <c r="F33" s="403"/>
      <c r="G33" s="403"/>
      <c r="H33" s="405"/>
      <c r="I33" s="384"/>
      <c r="J33" s="384"/>
      <c r="K33" s="384"/>
    </row>
    <row r="34" spans="1:11" ht="21" customHeight="1">
      <c r="B34" s="406"/>
      <c r="C34" s="396" t="s">
        <v>616</v>
      </c>
      <c r="E34" s="407"/>
      <c r="F34" s="408"/>
      <c r="G34" s="408"/>
      <c r="H34" s="379"/>
      <c r="J34" s="360"/>
      <c r="K34" s="402"/>
    </row>
    <row r="35" spans="1:11" ht="21.6" customHeight="1">
      <c r="B35" s="406"/>
      <c r="C35" s="396" t="s">
        <v>617</v>
      </c>
      <c r="E35" s="407"/>
      <c r="F35" s="408"/>
      <c r="G35" s="408"/>
      <c r="H35" s="379"/>
      <c r="J35" s="360"/>
      <c r="K35" s="402"/>
    </row>
    <row r="36" spans="1:11" ht="21.6" customHeight="1">
      <c r="B36" s="406"/>
      <c r="C36" s="396" t="s">
        <v>618</v>
      </c>
      <c r="E36" s="407"/>
      <c r="F36" s="408"/>
      <c r="G36" s="408"/>
      <c r="H36" s="379"/>
      <c r="J36" s="360"/>
      <c r="K36" s="402"/>
    </row>
    <row r="37" spans="1:11" ht="21.6" customHeight="1">
      <c r="B37" s="406"/>
      <c r="C37" s="396" t="s">
        <v>619</v>
      </c>
      <c r="E37" s="407"/>
      <c r="F37" s="408"/>
      <c r="G37" s="408"/>
      <c r="H37" s="379"/>
      <c r="J37" s="360"/>
      <c r="K37" s="402"/>
    </row>
    <row r="38" spans="1:11" ht="22.2" customHeight="1">
      <c r="B38" s="406"/>
      <c r="C38" s="396" t="s">
        <v>620</v>
      </c>
      <c r="E38" s="407"/>
      <c r="F38" s="408"/>
      <c r="G38" s="408"/>
      <c r="H38" s="379"/>
      <c r="J38" s="360"/>
      <c r="K38" s="402"/>
    </row>
    <row r="39" spans="1:11" ht="15.6">
      <c r="B39" s="406"/>
      <c r="C39" s="409"/>
      <c r="D39" s="409"/>
      <c r="E39" s="407"/>
      <c r="F39" s="407"/>
      <c r="G39" s="410"/>
      <c r="H39" s="411"/>
      <c r="I39" s="361"/>
    </row>
    <row r="40" spans="1:11" ht="15.6">
      <c r="B40" s="444"/>
      <c r="C40" s="444"/>
      <c r="D40" s="444"/>
      <c r="E40" s="444"/>
      <c r="F40" s="444"/>
      <c r="G40" s="444"/>
      <c r="H40" s="444"/>
      <c r="I40" s="361"/>
    </row>
    <row r="41" spans="1:11" ht="15">
      <c r="B41" s="412"/>
      <c r="C41" s="412"/>
      <c r="D41" s="412"/>
      <c r="E41" s="412"/>
      <c r="F41" s="412"/>
      <c r="G41" s="412"/>
      <c r="H41" s="412"/>
      <c r="I41" s="361"/>
    </row>
    <row r="42" spans="1:11" ht="21">
      <c r="B42" s="406"/>
      <c r="C42" s="409"/>
      <c r="D42" s="409"/>
      <c r="E42" s="379"/>
      <c r="F42" s="396" t="s">
        <v>573</v>
      </c>
      <c r="G42" s="379"/>
      <c r="H42" s="394">
        <f>SUM(H23:H38)</f>
        <v>16524.727999999999</v>
      </c>
      <c r="I42" s="361"/>
      <c r="K42" s="360"/>
    </row>
    <row r="43" spans="1:11" ht="21">
      <c r="B43" s="406"/>
      <c r="C43" s="409"/>
      <c r="D43" s="409"/>
      <c r="E43" s="379"/>
      <c r="F43" s="396" t="s">
        <v>574</v>
      </c>
      <c r="G43" s="379"/>
      <c r="H43" s="394">
        <f>H42*0.21</f>
        <v>3470.1928799999996</v>
      </c>
      <c r="I43" s="361"/>
      <c r="K43" s="360"/>
    </row>
    <row r="44" spans="1:11" ht="21">
      <c r="B44" s="406"/>
      <c r="C44" s="409"/>
      <c r="D44" s="409"/>
      <c r="E44" s="379"/>
      <c r="F44" s="133" t="s">
        <v>562</v>
      </c>
      <c r="G44" s="379"/>
      <c r="H44" s="395">
        <f>H42+H43</f>
        <v>19994.920879999998</v>
      </c>
      <c r="I44" s="361"/>
      <c r="K44" s="360"/>
    </row>
    <row r="45" spans="1:11" ht="18">
      <c r="B45" s="406"/>
      <c r="C45" s="409"/>
      <c r="D45" s="409"/>
      <c r="E45" s="303"/>
      <c r="F45" s="303"/>
      <c r="G45" s="385"/>
      <c r="H45" s="409"/>
      <c r="I45" s="361"/>
      <c r="K45" s="360"/>
    </row>
    <row r="46" spans="1:11" ht="50.4" customHeight="1">
      <c r="B46" s="386"/>
      <c r="C46" s="362"/>
      <c r="D46" s="362"/>
      <c r="E46" s="303"/>
      <c r="F46" s="303"/>
      <c r="G46" s="385"/>
      <c r="H46" s="362"/>
      <c r="I46" s="361"/>
      <c r="K46" s="360"/>
    </row>
    <row r="47" spans="1:11" ht="13.8" thickBot="1">
      <c r="A47" s="348"/>
      <c r="B47" s="363"/>
      <c r="C47" s="363"/>
      <c r="D47" s="363"/>
      <c r="E47" s="363"/>
      <c r="F47" s="363"/>
      <c r="G47" s="363"/>
      <c r="H47" s="363"/>
      <c r="I47" s="348"/>
    </row>
    <row r="48" spans="1:11" s="379" customFormat="1" ht="55.2" customHeight="1">
      <c r="A48" s="418" t="s">
        <v>576</v>
      </c>
      <c r="B48" s="388"/>
      <c r="C48" s="388"/>
      <c r="D48" s="389"/>
      <c r="E48" s="388"/>
      <c r="F48" s="388"/>
      <c r="G48" s="388"/>
      <c r="H48" s="388"/>
      <c r="I48" s="390"/>
      <c r="J48" s="380"/>
      <c r="K48" s="381"/>
    </row>
    <row r="49" spans="1:9" ht="15" customHeight="1">
      <c r="A49" s="393"/>
      <c r="B49" s="371"/>
      <c r="C49" s="371"/>
      <c r="D49" s="371"/>
      <c r="E49" s="371"/>
      <c r="F49" s="371"/>
      <c r="G49" s="371"/>
      <c r="H49" s="371"/>
      <c r="I49" s="392"/>
    </row>
  </sheetData>
  <mergeCells count="12">
    <mergeCell ref="A7:I7"/>
    <mergeCell ref="H17:I17"/>
    <mergeCell ref="H18:I18"/>
    <mergeCell ref="B40:H40"/>
    <mergeCell ref="A8:I8"/>
    <mergeCell ref="E16:F16"/>
    <mergeCell ref="D23:E23"/>
    <mergeCell ref="D24:E24"/>
    <mergeCell ref="D26:E26"/>
    <mergeCell ref="D27:E27"/>
    <mergeCell ref="D29:E29"/>
    <mergeCell ref="D30:E30"/>
  </mergeCells>
  <pageMargins left="0.39370078740157483" right="0.39370078740157483" top="0.39370078740157483" bottom="0.39370078740157483" header="0.31496062992125984" footer="0"/>
  <pageSetup paperSize="9" scale="57" orientation="portrait" horizontalDpi="1200" verticalDpi="1200" r:id="rId1"/>
  <rowBreaks count="1" manualBreakCount="1">
    <brk id="33" max="8" man="1"/>
  </rowBreaks>
  <colBreaks count="2" manualBreakCount="2">
    <brk id="3" max="45" man="1"/>
    <brk id="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7541-044A-4017-B00B-742A13412FC2}">
  <sheetPr codeName="Hoja3">
    <tabColor rgb="FFFFD100"/>
  </sheetPr>
  <dimension ref="A1:F22"/>
  <sheetViews>
    <sheetView showGridLines="0" zoomScaleNormal="100" workbookViewId="0">
      <selection activeCell="B8" sqref="B8"/>
    </sheetView>
  </sheetViews>
  <sheetFormatPr baseColWidth="10" defaultColWidth="11.5546875" defaultRowHeight="15.6"/>
  <cols>
    <col min="1" max="1" width="47.5546875" style="8" customWidth="1"/>
    <col min="2" max="2" width="17.77734375" style="8" customWidth="1"/>
    <col min="3" max="3" width="15.77734375" style="8" customWidth="1"/>
    <col min="4" max="4" width="20.88671875" style="8" customWidth="1"/>
    <col min="5" max="5" width="11.5546875" style="8"/>
    <col min="6" max="6" width="17" style="8" customWidth="1"/>
    <col min="7" max="16384" width="11.5546875" style="8"/>
  </cols>
  <sheetData>
    <row r="1" spans="1:6" ht="36" customHeight="1">
      <c r="A1" s="118" t="s">
        <v>107</v>
      </c>
      <c r="B1" s="118" t="s">
        <v>108</v>
      </c>
      <c r="C1" s="118" t="s">
        <v>109</v>
      </c>
      <c r="F1" s="8" t="s">
        <v>388</v>
      </c>
    </row>
    <row r="2" spans="1:6">
      <c r="A2" s="108" t="s">
        <v>4</v>
      </c>
      <c r="B2" s="119">
        <f>datos!D113</f>
        <v>1550</v>
      </c>
      <c r="C2" s="120" t="s">
        <v>39</v>
      </c>
      <c r="F2" s="119">
        <f>1668.888</f>
        <v>1668.8879999999999</v>
      </c>
    </row>
    <row r="3" spans="1:6">
      <c r="A3" s="108" t="s">
        <v>340</v>
      </c>
      <c r="B3" s="251">
        <f>800/450</f>
        <v>1.7777777777777777</v>
      </c>
      <c r="C3" s="120" t="s">
        <v>104</v>
      </c>
    </row>
    <row r="4" spans="1:6">
      <c r="A4" s="108" t="s">
        <v>2</v>
      </c>
      <c r="B4" s="108">
        <v>0.33</v>
      </c>
      <c r="C4" s="120" t="s">
        <v>38</v>
      </c>
    </row>
    <row r="5" spans="1:6">
      <c r="A5" s="108" t="s">
        <v>68</v>
      </c>
      <c r="B5" s="121">
        <v>3.5000000000000003E-2</v>
      </c>
      <c r="C5" s="120" t="s">
        <v>69</v>
      </c>
    </row>
    <row r="6" spans="1:6">
      <c r="A6" s="108" t="s">
        <v>3</v>
      </c>
      <c r="B6" s="108">
        <v>0.105</v>
      </c>
      <c r="C6" s="120" t="s">
        <v>63</v>
      </c>
    </row>
    <row r="7" spans="1:6">
      <c r="A7" s="108" t="s">
        <v>45</v>
      </c>
      <c r="B7" s="108">
        <v>0.25600000000000001</v>
      </c>
      <c r="C7" s="120" t="s">
        <v>37</v>
      </c>
    </row>
    <row r="8" spans="1:6">
      <c r="A8" s="108" t="s">
        <v>5</v>
      </c>
      <c r="B8" s="108">
        <v>8.8971999999999996E-2</v>
      </c>
      <c r="C8" s="120" t="s">
        <v>121</v>
      </c>
    </row>
    <row r="9" spans="1:6">
      <c r="A9" s="108" t="s">
        <v>287</v>
      </c>
      <c r="B9" s="108">
        <v>4.6235999999999999E-2</v>
      </c>
      <c r="C9" s="120" t="s">
        <v>288</v>
      </c>
    </row>
    <row r="10" spans="1:6">
      <c r="A10" s="108" t="s">
        <v>6</v>
      </c>
      <c r="B10" s="108">
        <v>1.2362E-2</v>
      </c>
      <c r="C10" s="120" t="s">
        <v>122</v>
      </c>
    </row>
    <row r="11" spans="1:6">
      <c r="A11" s="108" t="s">
        <v>7</v>
      </c>
      <c r="B11" s="122">
        <v>0.99243000000000003</v>
      </c>
      <c r="C11" s="120" t="s">
        <v>40</v>
      </c>
    </row>
    <row r="12" spans="1:6">
      <c r="A12" s="108" t="s">
        <v>297</v>
      </c>
      <c r="B12" s="123">
        <f>120+16*num_mod</f>
        <v>552</v>
      </c>
      <c r="C12" s="120" t="s">
        <v>298</v>
      </c>
    </row>
    <row r="13" spans="1:6">
      <c r="A13" s="108" t="s">
        <v>302</v>
      </c>
      <c r="B13" s="123">
        <f>0.025*(ppto!G18+ppto!G26)*1.21</f>
        <v>366.90914700000002</v>
      </c>
      <c r="C13" s="120" t="s">
        <v>303</v>
      </c>
    </row>
    <row r="14" spans="1:6">
      <c r="A14" s="108" t="s">
        <v>306</v>
      </c>
      <c r="B14" s="123">
        <v>65</v>
      </c>
      <c r="C14" s="120" t="s">
        <v>305</v>
      </c>
    </row>
    <row r="15" spans="1:6">
      <c r="A15" s="108" t="s">
        <v>23</v>
      </c>
      <c r="B15" s="123">
        <v>150</v>
      </c>
      <c r="C15" s="120" t="s">
        <v>24</v>
      </c>
    </row>
    <row r="16" spans="1:6">
      <c r="A16" s="8" t="s">
        <v>147</v>
      </c>
      <c r="B16" s="124">
        <f>VLOOKUP(num_mod,t.mar!A1:C263,3)</f>
        <v>0.36</v>
      </c>
      <c r="C16" s="120" t="s">
        <v>146</v>
      </c>
    </row>
    <row r="19" spans="1:6" ht="24.6" customHeight="1">
      <c r="A19" s="448" t="s">
        <v>179</v>
      </c>
      <c r="B19" s="449"/>
      <c r="C19" s="449"/>
      <c r="D19" s="449"/>
      <c r="E19" s="449"/>
      <c r="F19" s="450"/>
    </row>
    <row r="20" spans="1:6">
      <c r="A20" s="50" t="s">
        <v>168</v>
      </c>
      <c r="B20" s="51"/>
      <c r="C20" s="51"/>
      <c r="D20" s="51"/>
      <c r="E20" s="51"/>
      <c r="F20" s="52"/>
    </row>
    <row r="21" spans="1:6">
      <c r="A21" s="53" t="s">
        <v>150</v>
      </c>
      <c r="B21" s="41"/>
      <c r="C21" s="41"/>
      <c r="D21" s="41"/>
      <c r="E21" s="41"/>
      <c r="F21" s="56"/>
    </row>
    <row r="22" spans="1:6">
      <c r="A22" s="54"/>
      <c r="B22" s="55"/>
      <c r="C22" s="55"/>
      <c r="D22" s="55"/>
      <c r="E22" s="58"/>
      <c r="F22" s="59"/>
    </row>
  </sheetData>
  <sheetProtection algorithmName="SHA-512" hashValue="IOULDTf8Eh2bkJRvZyhEfXUXDgTSfzB1F9/tm31n7ePxVsP6NWLUdstgB3IKqvYk7n39HghXPQnp1r0OEnnKMA==" saltValue="6iN6xrco29Puk79jv9Kx9g==" spinCount="100000" sheet="1" formatCells="0" formatColumns="0" formatRows="0" insertColumns="0" insertRows="0" insertHyperlinks="0" deleteColumns="0" deleteRows="0" sort="0" autoFilter="0" pivotTables="0"/>
  <mergeCells count="1">
    <mergeCell ref="A19:F19"/>
  </mergeCells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1049-3044-4882-B1FC-2398053D7DC6}">
  <dimension ref="A1:E14"/>
  <sheetViews>
    <sheetView workbookViewId="0">
      <selection activeCell="B8" sqref="B8"/>
    </sheetView>
  </sheetViews>
  <sheetFormatPr baseColWidth="10" defaultColWidth="11.5546875" defaultRowHeight="15.6"/>
  <cols>
    <col min="1" max="1" width="11.5546875" style="93"/>
    <col min="2" max="2" width="28.33203125" style="93" customWidth="1"/>
    <col min="3" max="3" width="22.5546875" style="93" customWidth="1"/>
    <col min="4" max="4" width="20.5546875" style="93" customWidth="1"/>
    <col min="5" max="5" width="25.77734375" style="93" customWidth="1"/>
    <col min="6" max="16384" width="11.5546875" style="93"/>
  </cols>
  <sheetData>
    <row r="1" spans="1:5">
      <c r="B1" s="196" t="s">
        <v>541</v>
      </c>
      <c r="C1" s="196"/>
    </row>
    <row r="2" spans="1:5">
      <c r="B2" s="196" t="s">
        <v>542</v>
      </c>
      <c r="C2" s="341">
        <v>0.02</v>
      </c>
    </row>
    <row r="5" spans="1:5" ht="31.2" customHeight="1">
      <c r="A5" s="196"/>
      <c r="B5" s="196"/>
      <c r="C5" s="105" t="s">
        <v>170</v>
      </c>
      <c r="D5" s="125" t="s">
        <v>171</v>
      </c>
      <c r="E5" s="299" t="s">
        <v>467</v>
      </c>
    </row>
    <row r="6" spans="1:5" ht="23.4" customHeight="1">
      <c r="A6" s="196"/>
      <c r="B6" s="196" t="s">
        <v>537</v>
      </c>
      <c r="C6" s="340">
        <f>ppto!G32</f>
        <v>16524.727999999999</v>
      </c>
      <c r="D6" s="340">
        <f>ppto!H32</f>
        <v>16524.727999999999</v>
      </c>
      <c r="E6" s="340">
        <f>ppto!I32</f>
        <v>4871.5</v>
      </c>
    </row>
    <row r="7" spans="1:5">
      <c r="A7" s="196"/>
    </row>
    <row r="8" spans="1:5">
      <c r="A8" s="196"/>
    </row>
    <row r="9" spans="1:5">
      <c r="A9" s="196"/>
      <c r="B9" s="196"/>
      <c r="C9" s="196"/>
    </row>
    <row r="10" spans="1:5">
      <c r="A10" s="196"/>
      <c r="B10" s="196" t="s">
        <v>539</v>
      </c>
      <c r="C10" s="340">
        <f>ppto!G26</f>
        <v>3210.6779999999994</v>
      </c>
    </row>
    <row r="11" spans="1:5">
      <c r="A11" s="196"/>
      <c r="B11" s="196" t="s">
        <v>538</v>
      </c>
      <c r="C11" s="340">
        <f>C6*C2</f>
        <v>330.49455999999998</v>
      </c>
    </row>
    <row r="12" spans="1:5">
      <c r="A12" s="196"/>
      <c r="B12" s="196" t="s">
        <v>540</v>
      </c>
      <c r="C12" s="340">
        <f>C10-C11</f>
        <v>2880.1834399999993</v>
      </c>
    </row>
    <row r="13" spans="1:5">
      <c r="A13" s="196"/>
      <c r="B13" s="196"/>
      <c r="C13" s="196"/>
    </row>
    <row r="14" spans="1:5">
      <c r="A14" s="196"/>
      <c r="B14" s="196"/>
      <c r="C14" s="196"/>
    </row>
  </sheetData>
  <sheetProtection algorithmName="SHA-512" hashValue="6RtzNw2KD+XlpHcfZdwGIUveLymMfxKvH4LZK6Ic9TCyZswA5omhplVk/zO3WcBINwXY/emS6rufoDEuvdy3fQ==" saltValue="CUZsbdWBBTF1UcVa5c5NbQ==" spinCount="100000" sheet="1" objects="1" scenarios="1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F492-CB52-4AAD-A643-742A72EC81FF}">
  <sheetPr>
    <tabColor rgb="FFFFD100"/>
    <pageSetUpPr fitToPage="1"/>
  </sheetPr>
  <dimension ref="A1:S44"/>
  <sheetViews>
    <sheetView showGridLines="0" view="pageBreakPreview" zoomScale="85" zoomScaleNormal="100" zoomScaleSheetLayoutView="85" workbookViewId="0">
      <selection activeCell="B8" sqref="B8"/>
    </sheetView>
  </sheetViews>
  <sheetFormatPr baseColWidth="10" defaultColWidth="11.5546875" defaultRowHeight="14.4" outlineLevelCol="1"/>
  <cols>
    <col min="1" max="1" width="8.88671875" style="312" customWidth="1"/>
    <col min="2" max="2" width="23.77734375" style="312" customWidth="1"/>
    <col min="3" max="3" width="35.88671875" style="188" customWidth="1"/>
    <col min="4" max="4" width="44.44140625" style="188" customWidth="1"/>
    <col min="5" max="5" width="50.77734375" style="188" customWidth="1"/>
    <col min="6" max="6" width="24.44140625" style="188" customWidth="1"/>
    <col min="7" max="7" width="13.6640625" style="188" customWidth="1" outlineLevel="1"/>
    <col min="8" max="8" width="12.109375" style="188" customWidth="1" outlineLevel="1"/>
    <col min="9" max="9" width="11.88671875" style="188" customWidth="1" outlineLevel="1"/>
    <col min="10" max="10" width="15.44140625" style="188" customWidth="1" outlineLevel="1"/>
    <col min="11" max="11" width="13.33203125" style="188" customWidth="1" outlineLevel="1"/>
    <col min="12" max="12" width="15.5546875" style="188" customWidth="1" outlineLevel="1"/>
    <col min="13" max="13" width="14.44140625" style="188" customWidth="1" outlineLevel="1"/>
    <col min="14" max="14" width="13.33203125" style="188" customWidth="1" outlineLevel="1"/>
    <col min="15" max="15" width="19.33203125" style="188" customWidth="1" outlineLevel="1"/>
    <col min="16" max="16" width="13.6640625" style="188" customWidth="1" outlineLevel="1"/>
    <col min="17" max="17" width="12.6640625" style="188" customWidth="1" outlineLevel="1"/>
    <col min="18" max="18" width="14.33203125" style="188" customWidth="1" outlineLevel="1"/>
    <col min="19" max="19" width="22.44140625" style="188" customWidth="1"/>
    <col min="20" max="16384" width="11.5546875" style="188"/>
  </cols>
  <sheetData>
    <row r="1" spans="1:19" ht="24.6" customHeight="1">
      <c r="A1" s="452" t="s">
        <v>486</v>
      </c>
      <c r="B1" s="452"/>
      <c r="C1" s="453" t="s">
        <v>120</v>
      </c>
      <c r="D1" s="453"/>
      <c r="E1" s="335" t="s">
        <v>521</v>
      </c>
      <c r="F1" s="332"/>
    </row>
    <row r="2" spans="1:19" ht="20.399999999999999" customHeight="1">
      <c r="A2" s="452" t="s">
        <v>81</v>
      </c>
      <c r="B2" s="452"/>
      <c r="C2" s="451">
        <f>VLOOKUP(C1,t.mod!A2:H28,7,)</f>
        <v>550</v>
      </c>
      <c r="D2" s="451"/>
      <c r="E2" s="334" t="s">
        <v>527</v>
      </c>
      <c r="F2" s="333"/>
      <c r="G2" s="311"/>
      <c r="H2" s="311"/>
    </row>
    <row r="3" spans="1:19">
      <c r="C3" s="312"/>
      <c r="D3" s="312"/>
      <c r="E3" s="312"/>
      <c r="F3" s="312"/>
    </row>
    <row r="4" spans="1:19">
      <c r="C4" s="312"/>
      <c r="D4" s="312"/>
      <c r="E4" s="312"/>
      <c r="F4" s="312"/>
    </row>
    <row r="5" spans="1:19" s="8" customFormat="1" ht="31.8" customHeight="1">
      <c r="A5" s="314" t="s">
        <v>485</v>
      </c>
      <c r="B5" s="314" t="s">
        <v>502</v>
      </c>
      <c r="C5" s="314" t="s">
        <v>487</v>
      </c>
      <c r="D5" s="314" t="s">
        <v>497</v>
      </c>
      <c r="E5" s="314" t="s">
        <v>503</v>
      </c>
      <c r="F5" s="314" t="s">
        <v>135</v>
      </c>
      <c r="G5" s="315" t="s">
        <v>498</v>
      </c>
      <c r="H5" s="315" t="s">
        <v>499</v>
      </c>
      <c r="I5" s="315" t="s">
        <v>500</v>
      </c>
      <c r="J5" s="315" t="s">
        <v>501</v>
      </c>
      <c r="K5" s="315" t="s">
        <v>504</v>
      </c>
      <c r="L5" s="315" t="s">
        <v>505</v>
      </c>
      <c r="M5" s="315" t="s">
        <v>525</v>
      </c>
      <c r="N5" s="315" t="s">
        <v>523</v>
      </c>
      <c r="O5" s="315" t="s">
        <v>526</v>
      </c>
      <c r="P5" s="315" t="s">
        <v>519</v>
      </c>
      <c r="Q5" s="315" t="s">
        <v>522</v>
      </c>
      <c r="R5" s="315" t="s">
        <v>524</v>
      </c>
      <c r="S5" s="314" t="s">
        <v>520</v>
      </c>
    </row>
    <row r="6" spans="1:19">
      <c r="A6" s="316"/>
      <c r="B6" s="316"/>
      <c r="C6" s="316"/>
      <c r="D6" s="316"/>
      <c r="E6" s="316"/>
      <c r="F6" s="316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</row>
    <row r="7" spans="1:19" s="313" customFormat="1" ht="16.95" customHeight="1">
      <c r="A7" s="318">
        <v>3</v>
      </c>
      <c r="B7" s="319">
        <f>A7*$C$2/1000</f>
        <v>1.65</v>
      </c>
      <c r="C7" s="320" t="s">
        <v>488</v>
      </c>
      <c r="D7" s="320" t="str">
        <f>$C$1</f>
        <v>LONGI LR5-72HPH 550 (HiMO5 New)  550 Wp</v>
      </c>
      <c r="E7" s="320" t="s">
        <v>86</v>
      </c>
      <c r="F7" s="320" t="s">
        <v>309</v>
      </c>
      <c r="G7" s="321">
        <f>VLOOKUP($C$1,t.mod!$A$2:$H$28,8,)*A7</f>
        <v>280.5</v>
      </c>
      <c r="H7" s="321">
        <f>VLOOKUP(C7,t.inv!$A$2:$H$261,8,)</f>
        <v>462</v>
      </c>
      <c r="I7" s="321">
        <f>VLOOKUP(E7,t.met!$A$2:$F$13,6,)</f>
        <v>95</v>
      </c>
      <c r="J7" s="321">
        <f>VLOOKUP(F7,t.est!$A$3:$F$11,6,)*A7</f>
        <v>96</v>
      </c>
      <c r="K7" s="321">
        <f>120+16*A7</f>
        <v>168</v>
      </c>
      <c r="L7" s="321">
        <f>VLOOKUP(A7,t.mon!$A$3:$F$263,6,)</f>
        <v>850</v>
      </c>
      <c r="M7" s="321">
        <f>SUM(G7:L7)</f>
        <v>1951.5</v>
      </c>
      <c r="N7" s="321">
        <f>VLOOKUP(A7,t.coi!$A$2:$E$263,5)</f>
        <v>700</v>
      </c>
      <c r="O7" s="321">
        <f>M7+N7</f>
        <v>2651.5</v>
      </c>
      <c r="P7" s="321">
        <f>VLOOKUP(A7,t.mar!$A$1:$C$263,3)*O7</f>
        <v>1060.6000000000001</v>
      </c>
      <c r="Q7" s="321">
        <f t="shared" ref="Q7:Q18" si="0">p_cee*2</f>
        <v>130</v>
      </c>
      <c r="R7" s="321">
        <f>(O7+P7+Q7)*0.21</f>
        <v>806.84100000000001</v>
      </c>
      <c r="S7" s="321">
        <f>O7+P7+Q7+R7</f>
        <v>4648.9410000000007</v>
      </c>
    </row>
    <row r="8" spans="1:19" s="313" customFormat="1" ht="16.95" customHeight="1">
      <c r="A8" s="322">
        <v>4</v>
      </c>
      <c r="B8" s="323">
        <f t="shared" ref="B8:B42" si="1">A8*$C$2/1000</f>
        <v>2.2000000000000002</v>
      </c>
      <c r="C8" s="324" t="s">
        <v>488</v>
      </c>
      <c r="D8" s="324" t="str">
        <f t="shared" ref="D8:D42" si="2">$C$1</f>
        <v>LONGI LR5-72HPH 550 (HiMO5 New)  550 Wp</v>
      </c>
      <c r="E8" s="324" t="s">
        <v>86</v>
      </c>
      <c r="F8" s="320" t="s">
        <v>309</v>
      </c>
      <c r="G8" s="325">
        <f>VLOOKUP($C$1,t.mod!$A$2:$H$28,8,)*A8</f>
        <v>374</v>
      </c>
      <c r="H8" s="325">
        <f>VLOOKUP(C8,t.inv!$A$2:$H$261,8,)</f>
        <v>462</v>
      </c>
      <c r="I8" s="325">
        <f>VLOOKUP(E8,t.met!$A$2:$F$13,6,)</f>
        <v>95</v>
      </c>
      <c r="J8" s="325">
        <f>VLOOKUP(F8,t.est!$A$3:$F$11,6,)*A8</f>
        <v>128</v>
      </c>
      <c r="K8" s="325">
        <f t="shared" ref="K8:K18" si="3">120+16*A8</f>
        <v>184</v>
      </c>
      <c r="L8" s="325">
        <f>VLOOKUP(A8,t.mon!$A$3:$F$263,6,)</f>
        <v>850</v>
      </c>
      <c r="M8" s="321">
        <f t="shared" ref="M8:M18" si="4">SUM(G8:L8)</f>
        <v>2093</v>
      </c>
      <c r="N8" s="321">
        <f>VLOOKUP(A8,t.coi!$A$2:$E$263,5)</f>
        <v>700</v>
      </c>
      <c r="O8" s="321">
        <f t="shared" ref="O8:O18" si="5">M8+N8</f>
        <v>2793</v>
      </c>
      <c r="P8" s="321">
        <f>VLOOKUP(A8,t.mar!$A$1:$C$263,3)*O8</f>
        <v>1117.2</v>
      </c>
      <c r="Q8" s="321">
        <f t="shared" si="0"/>
        <v>130</v>
      </c>
      <c r="R8" s="321">
        <f t="shared" ref="R8:R18" si="6">(O8+P8+Q8)*0.21</f>
        <v>848.44199999999989</v>
      </c>
      <c r="S8" s="321">
        <f t="shared" ref="S8:S42" si="7">O8+P8+Q8+R8</f>
        <v>4888.6419999999998</v>
      </c>
    </row>
    <row r="9" spans="1:19" s="313" customFormat="1" ht="16.95" customHeight="1">
      <c r="A9" s="322">
        <v>5</v>
      </c>
      <c r="B9" s="323">
        <f t="shared" si="1"/>
        <v>2.75</v>
      </c>
      <c r="C9" s="324" t="s">
        <v>489</v>
      </c>
      <c r="D9" s="324" t="str">
        <f t="shared" si="2"/>
        <v>LONGI LR5-72HPH 550 (HiMO5 New)  550 Wp</v>
      </c>
      <c r="E9" s="324" t="s">
        <v>86</v>
      </c>
      <c r="F9" s="320" t="s">
        <v>309</v>
      </c>
      <c r="G9" s="325">
        <f>VLOOKUP($C$1,t.mod!$A$2:$H$28,8,)*A9</f>
        <v>467.5</v>
      </c>
      <c r="H9" s="325">
        <f>VLOOKUP(C9,t.inv!$A$2:$H$261,8,)</f>
        <v>545.04999999999995</v>
      </c>
      <c r="I9" s="325">
        <f>VLOOKUP(E9,t.met!$A$2:$F$13,6,)</f>
        <v>95</v>
      </c>
      <c r="J9" s="325">
        <f>VLOOKUP(F9,t.est!$A$3:$F$11,6,)*A9</f>
        <v>160</v>
      </c>
      <c r="K9" s="325">
        <f t="shared" si="3"/>
        <v>200</v>
      </c>
      <c r="L9" s="325">
        <f>VLOOKUP(A9,t.mon!$A$3:$F$263,6,)</f>
        <v>900</v>
      </c>
      <c r="M9" s="321">
        <f t="shared" si="4"/>
        <v>2367.5500000000002</v>
      </c>
      <c r="N9" s="321">
        <f>VLOOKUP(A9,t.coi!$A$2:$E$263,5)</f>
        <v>800</v>
      </c>
      <c r="O9" s="321">
        <f t="shared" si="5"/>
        <v>3167.55</v>
      </c>
      <c r="P9" s="321">
        <f>VLOOKUP(A9,t.mar!$A$1:$C$263,3)*O9</f>
        <v>1235.3445000000002</v>
      </c>
      <c r="Q9" s="321">
        <f t="shared" si="0"/>
        <v>130</v>
      </c>
      <c r="R9" s="321">
        <f t="shared" si="6"/>
        <v>951.90784500000007</v>
      </c>
      <c r="S9" s="321">
        <f t="shared" si="7"/>
        <v>5484.8023450000001</v>
      </c>
    </row>
    <row r="10" spans="1:19" s="313" customFormat="1" ht="16.95" customHeight="1">
      <c r="A10" s="322">
        <v>6</v>
      </c>
      <c r="B10" s="323">
        <f t="shared" si="1"/>
        <v>3.3</v>
      </c>
      <c r="C10" s="324" t="s">
        <v>489</v>
      </c>
      <c r="D10" s="324" t="str">
        <f t="shared" si="2"/>
        <v>LONGI LR5-72HPH 550 (HiMO5 New)  550 Wp</v>
      </c>
      <c r="E10" s="324" t="s">
        <v>86</v>
      </c>
      <c r="F10" s="320" t="s">
        <v>309</v>
      </c>
      <c r="G10" s="325">
        <f>VLOOKUP($C$1,t.mod!$A$2:$H$28,8,)*A10</f>
        <v>561</v>
      </c>
      <c r="H10" s="325">
        <f>VLOOKUP(C10,t.inv!$A$2:$H$261,8,)</f>
        <v>545.04999999999995</v>
      </c>
      <c r="I10" s="325">
        <f>VLOOKUP(E10,t.met!$A$2:$F$13,6,)</f>
        <v>95</v>
      </c>
      <c r="J10" s="325">
        <f>VLOOKUP(F10,t.est!$A$3:$F$11,6,)*A10</f>
        <v>192</v>
      </c>
      <c r="K10" s="325">
        <f t="shared" si="3"/>
        <v>216</v>
      </c>
      <c r="L10" s="325">
        <f>VLOOKUP(A10,t.mon!$A$3:$F$263,6,)</f>
        <v>1050</v>
      </c>
      <c r="M10" s="321">
        <f t="shared" si="4"/>
        <v>2659.05</v>
      </c>
      <c r="N10" s="321">
        <f>VLOOKUP(A10,t.coi!$A$2:$E$263,5)</f>
        <v>800</v>
      </c>
      <c r="O10" s="321">
        <f t="shared" si="5"/>
        <v>3459.05</v>
      </c>
      <c r="P10" s="321">
        <f>VLOOKUP(A10,t.mar!$A$1:$C$263,3)*O10</f>
        <v>1349.0295000000001</v>
      </c>
      <c r="Q10" s="321">
        <f t="shared" si="0"/>
        <v>130</v>
      </c>
      <c r="R10" s="321">
        <f t="shared" si="6"/>
        <v>1036.9966949999998</v>
      </c>
      <c r="S10" s="321">
        <f t="shared" si="7"/>
        <v>5975.0761949999996</v>
      </c>
    </row>
    <row r="11" spans="1:19" s="313" customFormat="1" ht="16.95" customHeight="1">
      <c r="A11" s="322">
        <v>7</v>
      </c>
      <c r="B11" s="323">
        <f t="shared" si="1"/>
        <v>3.85</v>
      </c>
      <c r="C11" s="324" t="s">
        <v>490</v>
      </c>
      <c r="D11" s="324" t="str">
        <f t="shared" si="2"/>
        <v>LONGI LR5-72HPH 550 (HiMO5 New)  550 Wp</v>
      </c>
      <c r="E11" s="324" t="s">
        <v>86</v>
      </c>
      <c r="F11" s="320" t="s">
        <v>309</v>
      </c>
      <c r="G11" s="325">
        <f>VLOOKUP($C$1,t.mod!$A$2:$H$28,8,)*A11</f>
        <v>654.5</v>
      </c>
      <c r="H11" s="325">
        <f>VLOOKUP(C11,t.inv!$A$2:$H$261,8,)</f>
        <v>664.95</v>
      </c>
      <c r="I11" s="325">
        <f>VLOOKUP(E11,t.met!$A$2:$F$13,6,)</f>
        <v>95</v>
      </c>
      <c r="J11" s="325">
        <f>VLOOKUP(F11,t.est!$A$3:$F$11,6,)*A11</f>
        <v>224</v>
      </c>
      <c r="K11" s="325">
        <f t="shared" si="3"/>
        <v>232</v>
      </c>
      <c r="L11" s="325">
        <f>VLOOKUP(A11,t.mon!$A$3:$F$263,6,)</f>
        <v>1250</v>
      </c>
      <c r="M11" s="321">
        <f t="shared" si="4"/>
        <v>3120.45</v>
      </c>
      <c r="N11" s="321">
        <f>VLOOKUP(A11,t.coi!$A$2:$E$263,5)</f>
        <v>850</v>
      </c>
      <c r="O11" s="321">
        <f t="shared" si="5"/>
        <v>3970.45</v>
      </c>
      <c r="P11" s="321">
        <f>VLOOKUP(A11,t.mar!$A$1:$C$263,3)*O11</f>
        <v>1508.771</v>
      </c>
      <c r="Q11" s="321">
        <f t="shared" si="0"/>
        <v>130</v>
      </c>
      <c r="R11" s="321">
        <f t="shared" si="6"/>
        <v>1177.9364099999998</v>
      </c>
      <c r="S11" s="321">
        <f t="shared" si="7"/>
        <v>6787.1574099999998</v>
      </c>
    </row>
    <row r="12" spans="1:19" s="313" customFormat="1" ht="16.95" customHeight="1">
      <c r="A12" s="322">
        <v>8</v>
      </c>
      <c r="B12" s="323">
        <f t="shared" si="1"/>
        <v>4.4000000000000004</v>
      </c>
      <c r="C12" s="324" t="s">
        <v>490</v>
      </c>
      <c r="D12" s="324" t="str">
        <f t="shared" si="2"/>
        <v>LONGI LR5-72HPH 550 (HiMO5 New)  550 Wp</v>
      </c>
      <c r="E12" s="324" t="s">
        <v>86</v>
      </c>
      <c r="F12" s="320" t="s">
        <v>309</v>
      </c>
      <c r="G12" s="325">
        <f>VLOOKUP($C$1,t.mod!$A$2:$H$28,8,)*A12</f>
        <v>748</v>
      </c>
      <c r="H12" s="325">
        <f>VLOOKUP(C12,t.inv!$A$2:$H$261,8,)</f>
        <v>664.95</v>
      </c>
      <c r="I12" s="325">
        <f>VLOOKUP(E12,t.met!$A$2:$F$13,6,)</f>
        <v>95</v>
      </c>
      <c r="J12" s="325">
        <f>VLOOKUP(F12,t.est!$A$3:$F$11,6,)*A12</f>
        <v>256</v>
      </c>
      <c r="K12" s="325">
        <f t="shared" si="3"/>
        <v>248</v>
      </c>
      <c r="L12" s="325">
        <f>VLOOKUP(A12,t.mon!$A$3:$F$263,6,)</f>
        <v>1250</v>
      </c>
      <c r="M12" s="321">
        <f t="shared" si="4"/>
        <v>3261.95</v>
      </c>
      <c r="N12" s="321">
        <f>VLOOKUP(A12,t.coi!$A$2:$E$263,5)</f>
        <v>850</v>
      </c>
      <c r="O12" s="321">
        <f t="shared" si="5"/>
        <v>4111.95</v>
      </c>
      <c r="P12" s="321">
        <f>VLOOKUP(A12,t.mar!$A$1:$C$263,3)*O12</f>
        <v>1562.5409999999999</v>
      </c>
      <c r="Q12" s="321">
        <f t="shared" si="0"/>
        <v>130</v>
      </c>
      <c r="R12" s="321">
        <f t="shared" si="6"/>
        <v>1218.9431099999999</v>
      </c>
      <c r="S12" s="321">
        <f t="shared" si="7"/>
        <v>7023.4341100000001</v>
      </c>
    </row>
    <row r="13" spans="1:19" s="313" customFormat="1" ht="16.95" customHeight="1">
      <c r="A13" s="322">
        <v>9</v>
      </c>
      <c r="B13" s="323">
        <f t="shared" si="1"/>
        <v>4.95</v>
      </c>
      <c r="C13" s="324" t="s">
        <v>491</v>
      </c>
      <c r="D13" s="324" t="str">
        <f t="shared" si="2"/>
        <v>LONGI LR5-72HPH 550 (HiMO5 New)  550 Wp</v>
      </c>
      <c r="E13" s="324" t="s">
        <v>86</v>
      </c>
      <c r="F13" s="320" t="s">
        <v>309</v>
      </c>
      <c r="G13" s="325">
        <f>VLOOKUP($C$1,t.mod!$A$2:$H$28,8,)*A13</f>
        <v>841.5</v>
      </c>
      <c r="H13" s="325">
        <f>VLOOKUP(C13,t.inv!$A$2:$H$261,8,)</f>
        <v>722.7</v>
      </c>
      <c r="I13" s="325">
        <f>VLOOKUP(E13,t.met!$A$2:$F$13,6,)</f>
        <v>95</v>
      </c>
      <c r="J13" s="325">
        <f>VLOOKUP(F13,t.est!$A$3:$F$11,6,)*A13</f>
        <v>288</v>
      </c>
      <c r="K13" s="325">
        <f t="shared" si="3"/>
        <v>264</v>
      </c>
      <c r="L13" s="325">
        <f>VLOOKUP(A13,t.mon!$A$3:$F$263,6,)</f>
        <v>1350</v>
      </c>
      <c r="M13" s="321">
        <f t="shared" si="4"/>
        <v>3561.2</v>
      </c>
      <c r="N13" s="321">
        <f>VLOOKUP(A13,t.coi!$A$2:$E$263,5)</f>
        <v>900</v>
      </c>
      <c r="O13" s="321">
        <f t="shared" si="5"/>
        <v>4461.2</v>
      </c>
      <c r="P13" s="321">
        <f>VLOOKUP(A13,t.mar!$A$1:$C$263,3)*O13</f>
        <v>1650.644</v>
      </c>
      <c r="Q13" s="321">
        <f t="shared" si="0"/>
        <v>130</v>
      </c>
      <c r="R13" s="321">
        <f t="shared" si="6"/>
        <v>1310.7872399999999</v>
      </c>
      <c r="S13" s="321">
        <f t="shared" si="7"/>
        <v>7552.6312399999997</v>
      </c>
    </row>
    <row r="14" spans="1:19" s="313" customFormat="1" ht="16.95" customHeight="1">
      <c r="A14" s="322">
        <v>10</v>
      </c>
      <c r="B14" s="323">
        <f t="shared" si="1"/>
        <v>5.5</v>
      </c>
      <c r="C14" s="324" t="s">
        <v>491</v>
      </c>
      <c r="D14" s="324" t="str">
        <f t="shared" si="2"/>
        <v>LONGI LR5-72HPH 550 (HiMO5 New)  550 Wp</v>
      </c>
      <c r="E14" s="324" t="s">
        <v>86</v>
      </c>
      <c r="F14" s="320" t="s">
        <v>309</v>
      </c>
      <c r="G14" s="325">
        <f>VLOOKUP($C$1,t.mod!$A$2:$H$28,8,)*A14</f>
        <v>935</v>
      </c>
      <c r="H14" s="325">
        <f>VLOOKUP(C14,t.inv!$A$2:$H$261,8,)</f>
        <v>722.7</v>
      </c>
      <c r="I14" s="325">
        <f>VLOOKUP(E14,t.met!$A$2:$F$13,6,)</f>
        <v>95</v>
      </c>
      <c r="J14" s="325">
        <f>VLOOKUP(F14,t.est!$A$3:$F$11,6,)*A14</f>
        <v>320</v>
      </c>
      <c r="K14" s="325">
        <f t="shared" si="3"/>
        <v>280</v>
      </c>
      <c r="L14" s="325">
        <f>VLOOKUP(A14,t.mon!$A$3:$F$263,6,)</f>
        <v>1400</v>
      </c>
      <c r="M14" s="321">
        <f t="shared" si="4"/>
        <v>3752.7</v>
      </c>
      <c r="N14" s="321">
        <f>VLOOKUP(A14,t.coi!$A$2:$E$263,5)</f>
        <v>950</v>
      </c>
      <c r="O14" s="321">
        <f t="shared" si="5"/>
        <v>4702.7</v>
      </c>
      <c r="P14" s="321">
        <f>VLOOKUP(A14,t.mar!$A$1:$C$263,3)*O14</f>
        <v>1739.999</v>
      </c>
      <c r="Q14" s="321">
        <f t="shared" si="0"/>
        <v>130</v>
      </c>
      <c r="R14" s="321">
        <f t="shared" si="6"/>
        <v>1380.2667899999999</v>
      </c>
      <c r="S14" s="321">
        <f t="shared" si="7"/>
        <v>7952.9657899999993</v>
      </c>
    </row>
    <row r="15" spans="1:19" s="313" customFormat="1" ht="16.95" customHeight="1">
      <c r="A15" s="322">
        <v>11</v>
      </c>
      <c r="B15" s="323">
        <f t="shared" si="1"/>
        <v>6.05</v>
      </c>
      <c r="C15" s="324" t="s">
        <v>492</v>
      </c>
      <c r="D15" s="324" t="str">
        <f t="shared" si="2"/>
        <v>LONGI LR5-72HPH 550 (HiMO5 New)  550 Wp</v>
      </c>
      <c r="E15" s="324" t="s">
        <v>86</v>
      </c>
      <c r="F15" s="320" t="s">
        <v>309</v>
      </c>
      <c r="G15" s="325">
        <f>VLOOKUP($C$1,t.mod!$A$2:$H$28,8,)*A15</f>
        <v>1028.5</v>
      </c>
      <c r="H15" s="325">
        <f>VLOOKUP(C15,t.inv!$A$2:$H$261,8,)</f>
        <v>780</v>
      </c>
      <c r="I15" s="325">
        <f>VLOOKUP(E15,t.met!$A$2:$F$13,6,)</f>
        <v>95</v>
      </c>
      <c r="J15" s="325">
        <f>VLOOKUP(F15,t.est!$A$3:$F$11,6,)*A15</f>
        <v>352</v>
      </c>
      <c r="K15" s="325">
        <f t="shared" si="3"/>
        <v>296</v>
      </c>
      <c r="L15" s="325">
        <f>VLOOKUP(A15,t.mon!$A$3:$F$263,6,)</f>
        <v>1400</v>
      </c>
      <c r="M15" s="321">
        <f t="shared" si="4"/>
        <v>3951.5</v>
      </c>
      <c r="N15" s="321">
        <f>VLOOKUP(A15,t.coi!$A$2:$E$263,5)</f>
        <v>950</v>
      </c>
      <c r="O15" s="321">
        <f t="shared" si="5"/>
        <v>4901.5</v>
      </c>
      <c r="P15" s="321">
        <f>VLOOKUP(A15,t.mar!$A$1:$C$263,3)*O15</f>
        <v>1813.5550000000001</v>
      </c>
      <c r="Q15" s="321">
        <f t="shared" si="0"/>
        <v>130</v>
      </c>
      <c r="R15" s="321">
        <f t="shared" si="6"/>
        <v>1437.46155</v>
      </c>
      <c r="S15" s="321">
        <f t="shared" si="7"/>
        <v>8282.5165500000003</v>
      </c>
    </row>
    <row r="16" spans="1:19" s="313" customFormat="1" ht="16.95" customHeight="1">
      <c r="A16" s="322">
        <v>12</v>
      </c>
      <c r="B16" s="323">
        <f t="shared" si="1"/>
        <v>6.6</v>
      </c>
      <c r="C16" s="324" t="s">
        <v>492</v>
      </c>
      <c r="D16" s="324" t="str">
        <f t="shared" si="2"/>
        <v>LONGI LR5-72HPH 550 (HiMO5 New)  550 Wp</v>
      </c>
      <c r="E16" s="324" t="s">
        <v>86</v>
      </c>
      <c r="F16" s="320" t="s">
        <v>309</v>
      </c>
      <c r="G16" s="325">
        <f>VLOOKUP($C$1,t.mod!$A$2:$H$28,8,)*A16</f>
        <v>1122</v>
      </c>
      <c r="H16" s="325">
        <f>VLOOKUP(C16,t.inv!$A$2:$H$261,8,)</f>
        <v>780</v>
      </c>
      <c r="I16" s="325">
        <f>VLOOKUP(E16,t.met!$A$2:$F$13,6,)</f>
        <v>95</v>
      </c>
      <c r="J16" s="325">
        <f>VLOOKUP(F16,t.est!$A$3:$F$11,6,)*A16</f>
        <v>384</v>
      </c>
      <c r="K16" s="325">
        <f t="shared" si="3"/>
        <v>312</v>
      </c>
      <c r="L16" s="325">
        <f>VLOOKUP(A16,t.mon!$A$3:$F$263,6,)</f>
        <v>1450</v>
      </c>
      <c r="M16" s="321">
        <f t="shared" si="4"/>
        <v>4143</v>
      </c>
      <c r="N16" s="321">
        <f>VLOOKUP(A16,t.coi!$A$2:$E$263,5)</f>
        <v>1000</v>
      </c>
      <c r="O16" s="321">
        <f t="shared" si="5"/>
        <v>5143</v>
      </c>
      <c r="P16" s="321">
        <f>VLOOKUP(A16,t.mar!$A$1:$C$263,3)*O16</f>
        <v>1902.91</v>
      </c>
      <c r="Q16" s="321">
        <f t="shared" si="0"/>
        <v>130</v>
      </c>
      <c r="R16" s="321">
        <f t="shared" si="6"/>
        <v>1506.9411</v>
      </c>
      <c r="S16" s="321">
        <f t="shared" si="7"/>
        <v>8682.8510999999999</v>
      </c>
    </row>
    <row r="17" spans="1:19" s="313" customFormat="1" ht="16.95" customHeight="1">
      <c r="A17" s="322">
        <v>13</v>
      </c>
      <c r="B17" s="323">
        <f t="shared" si="1"/>
        <v>7.15</v>
      </c>
      <c r="C17" s="324" t="s">
        <v>492</v>
      </c>
      <c r="D17" s="324" t="str">
        <f t="shared" si="2"/>
        <v>LONGI LR5-72HPH 550 (HiMO5 New)  550 Wp</v>
      </c>
      <c r="E17" s="324" t="s">
        <v>86</v>
      </c>
      <c r="F17" s="320" t="s">
        <v>309</v>
      </c>
      <c r="G17" s="325">
        <f>VLOOKUP($C$1,t.mod!$A$2:$H$28,8,)*A17</f>
        <v>1215.5</v>
      </c>
      <c r="H17" s="325">
        <f>VLOOKUP(C17,t.inv!$A$2:$H$261,8,)</f>
        <v>780</v>
      </c>
      <c r="I17" s="325">
        <f>VLOOKUP(E17,t.met!$A$2:$F$13,6,)</f>
        <v>95</v>
      </c>
      <c r="J17" s="325">
        <f>VLOOKUP(F17,t.est!$A$3:$F$11,6,)*A17</f>
        <v>416</v>
      </c>
      <c r="K17" s="325">
        <f t="shared" si="3"/>
        <v>328</v>
      </c>
      <c r="L17" s="325">
        <f>VLOOKUP(A17,t.mon!$A$3:$F$263,6,)</f>
        <v>1450</v>
      </c>
      <c r="M17" s="321">
        <f t="shared" si="4"/>
        <v>4284.5</v>
      </c>
      <c r="N17" s="321">
        <f>VLOOKUP(A17,t.coi!$A$2:$E$263,5)</f>
        <v>1000</v>
      </c>
      <c r="O17" s="321">
        <f t="shared" si="5"/>
        <v>5284.5</v>
      </c>
      <c r="P17" s="321">
        <f>VLOOKUP(A17,t.mar!$A$1:$C$263,3)*O17</f>
        <v>1955.2649999999999</v>
      </c>
      <c r="Q17" s="321">
        <f t="shared" si="0"/>
        <v>130</v>
      </c>
      <c r="R17" s="321">
        <f t="shared" si="6"/>
        <v>1547.6506499999998</v>
      </c>
      <c r="S17" s="321">
        <f t="shared" si="7"/>
        <v>8917.415649999999</v>
      </c>
    </row>
    <row r="18" spans="1:19" s="313" customFormat="1" ht="16.95" customHeight="1">
      <c r="A18" s="326">
        <v>14</v>
      </c>
      <c r="B18" s="327">
        <f t="shared" si="1"/>
        <v>7.7</v>
      </c>
      <c r="C18" s="328" t="s">
        <v>492</v>
      </c>
      <c r="D18" s="328" t="str">
        <f t="shared" si="2"/>
        <v>LONGI LR5-72HPH 550 (HiMO5 New)  550 Wp</v>
      </c>
      <c r="E18" s="328" t="s">
        <v>86</v>
      </c>
      <c r="F18" s="329" t="s">
        <v>309</v>
      </c>
      <c r="G18" s="330">
        <f>VLOOKUP($C$1,t.mod!$A$2:$H$28,8,)*A18</f>
        <v>1309</v>
      </c>
      <c r="H18" s="330">
        <f>VLOOKUP(C18,t.inv!$A$2:$H$261,8,)</f>
        <v>780</v>
      </c>
      <c r="I18" s="330">
        <f>VLOOKUP(E18,t.met!$A$2:$F$13,6,)</f>
        <v>95</v>
      </c>
      <c r="J18" s="330">
        <f>VLOOKUP(F18,t.est!$A$3:$F$11,6,)*A18</f>
        <v>448</v>
      </c>
      <c r="K18" s="330">
        <f t="shared" si="3"/>
        <v>344</v>
      </c>
      <c r="L18" s="330">
        <f>VLOOKUP(A18,t.mon!$A$3:$F$263,6,)</f>
        <v>1500</v>
      </c>
      <c r="M18" s="331">
        <f t="shared" si="4"/>
        <v>4476</v>
      </c>
      <c r="N18" s="331">
        <f>VLOOKUP(A18,t.coi!$A$2:$E$263,5)</f>
        <v>1100</v>
      </c>
      <c r="O18" s="331">
        <f t="shared" si="5"/>
        <v>5576</v>
      </c>
      <c r="P18" s="331">
        <f>VLOOKUP(A18,t.mar!$A$1:$C$263,3)*O18</f>
        <v>2063.12</v>
      </c>
      <c r="Q18" s="331">
        <f t="shared" si="0"/>
        <v>130</v>
      </c>
      <c r="R18" s="331">
        <f t="shared" si="6"/>
        <v>1631.5151999999998</v>
      </c>
      <c r="S18" s="331">
        <f t="shared" si="7"/>
        <v>9400.6352000000006</v>
      </c>
    </row>
    <row r="19" spans="1:19" ht="33" customHeight="1">
      <c r="A19" s="316"/>
      <c r="B19" s="316"/>
      <c r="C19" s="316"/>
      <c r="D19" s="316"/>
      <c r="E19" s="316"/>
      <c r="F19" s="316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</row>
    <row r="20" spans="1:19" s="313" customFormat="1" ht="16.95" customHeight="1">
      <c r="A20" s="318">
        <v>4</v>
      </c>
      <c r="B20" s="319">
        <f t="shared" si="1"/>
        <v>2.2000000000000002</v>
      </c>
      <c r="C20" s="320" t="s">
        <v>493</v>
      </c>
      <c r="D20" s="320" t="str">
        <f t="shared" si="2"/>
        <v>LONGI LR5-72HPH 550 (HiMO5 New)  550 Wp</v>
      </c>
      <c r="E20" s="320" t="s">
        <v>87</v>
      </c>
      <c r="F20" s="320" t="s">
        <v>309</v>
      </c>
      <c r="G20" s="321">
        <f>VLOOKUP($C$1,t.mod!$A$2:$H$28,8,)*A20</f>
        <v>374</v>
      </c>
      <c r="H20" s="321">
        <f>VLOOKUP(C20,t.inv!$A$2:$H$261,8,)</f>
        <v>840</v>
      </c>
      <c r="I20" s="321">
        <f>VLOOKUP(E20,t.met!$A$2:$F$13,6,)</f>
        <v>135</v>
      </c>
      <c r="J20" s="321">
        <f>VLOOKUP(F20,t.est!$A$3:$F$11,6,)*A20</f>
        <v>128</v>
      </c>
      <c r="K20" s="321">
        <f t="shared" ref="K20:K42" si="8">120+16*A20</f>
        <v>184</v>
      </c>
      <c r="L20" s="321">
        <f>VLOOKUP(A20,t.mon!$A$3:$F$263,6,)</f>
        <v>850</v>
      </c>
      <c r="M20" s="321">
        <f t="shared" ref="M20:M42" si="9">SUM(G20:L20)</f>
        <v>2511</v>
      </c>
      <c r="N20" s="321">
        <f>VLOOKUP(A20,t.coi!$A$2:$E$263,5)</f>
        <v>700</v>
      </c>
      <c r="O20" s="321">
        <f t="shared" ref="O20:O42" si="10">M20+N20</f>
        <v>3211</v>
      </c>
      <c r="P20" s="321">
        <f>VLOOKUP(A20,t.mar!$A$1:$C$263,3)*O20</f>
        <v>1284.4000000000001</v>
      </c>
      <c r="Q20" s="321">
        <f t="shared" ref="Q20:Q42" si="11">p_cee*2</f>
        <v>130</v>
      </c>
      <c r="R20" s="321">
        <f t="shared" ref="R20:R42" si="12">(O20+P20+Q20)*0.21</f>
        <v>971.33399999999983</v>
      </c>
      <c r="S20" s="321">
        <f t="shared" si="7"/>
        <v>5596.7339999999995</v>
      </c>
    </row>
    <row r="21" spans="1:19" s="313" customFormat="1" ht="16.95" customHeight="1">
      <c r="A21" s="322">
        <v>5</v>
      </c>
      <c r="B21" s="323">
        <f t="shared" si="1"/>
        <v>2.75</v>
      </c>
      <c r="C21" s="324" t="s">
        <v>493</v>
      </c>
      <c r="D21" s="324" t="str">
        <f t="shared" si="2"/>
        <v>LONGI LR5-72HPH 550 (HiMO5 New)  550 Wp</v>
      </c>
      <c r="E21" s="324" t="s">
        <v>87</v>
      </c>
      <c r="F21" s="320" t="s">
        <v>309</v>
      </c>
      <c r="G21" s="325">
        <f>VLOOKUP($C$1,t.mod!$A$2:$H$28,8,)*A21</f>
        <v>467.5</v>
      </c>
      <c r="H21" s="325">
        <f>VLOOKUP(C21,t.inv!$A$2:$H$261,8,)</f>
        <v>840</v>
      </c>
      <c r="I21" s="325">
        <f>VLOOKUP(E21,t.met!$A$2:$F$13,6,)</f>
        <v>135</v>
      </c>
      <c r="J21" s="325">
        <f>VLOOKUP(F21,t.est!$A$3:$F$11,6,)*A21</f>
        <v>160</v>
      </c>
      <c r="K21" s="325">
        <f t="shared" si="8"/>
        <v>200</v>
      </c>
      <c r="L21" s="325">
        <f>VLOOKUP(A21,t.mon!$A$3:$F$263,6,)</f>
        <v>900</v>
      </c>
      <c r="M21" s="321">
        <f t="shared" si="9"/>
        <v>2702.5</v>
      </c>
      <c r="N21" s="321">
        <f>VLOOKUP(A21,t.coi!$A$2:$E$263,5)</f>
        <v>800</v>
      </c>
      <c r="O21" s="321">
        <f t="shared" si="10"/>
        <v>3502.5</v>
      </c>
      <c r="P21" s="321">
        <f>VLOOKUP(A21,t.mar!$A$1:$C$263,3)*O21</f>
        <v>1365.9750000000001</v>
      </c>
      <c r="Q21" s="321">
        <f t="shared" si="11"/>
        <v>130</v>
      </c>
      <c r="R21" s="321">
        <f t="shared" si="12"/>
        <v>1049.67975</v>
      </c>
      <c r="S21" s="321">
        <f t="shared" si="7"/>
        <v>6048.1547500000006</v>
      </c>
    </row>
    <row r="22" spans="1:19" s="313" customFormat="1" ht="16.95" customHeight="1">
      <c r="A22" s="322">
        <v>6</v>
      </c>
      <c r="B22" s="323">
        <f t="shared" si="1"/>
        <v>3.3</v>
      </c>
      <c r="C22" s="324" t="s">
        <v>493</v>
      </c>
      <c r="D22" s="324" t="str">
        <f t="shared" si="2"/>
        <v>LONGI LR5-72HPH 550 (HiMO5 New)  550 Wp</v>
      </c>
      <c r="E22" s="324" t="s">
        <v>87</v>
      </c>
      <c r="F22" s="320" t="s">
        <v>309</v>
      </c>
      <c r="G22" s="325">
        <f>VLOOKUP($C$1,t.mod!$A$2:$H$28,8,)*A22</f>
        <v>561</v>
      </c>
      <c r="H22" s="325">
        <f>VLOOKUP(C22,t.inv!$A$2:$H$261,8,)</f>
        <v>840</v>
      </c>
      <c r="I22" s="325">
        <f>VLOOKUP(E22,t.met!$A$2:$F$13,6,)</f>
        <v>135</v>
      </c>
      <c r="J22" s="325">
        <f>VLOOKUP(F22,t.est!$A$3:$F$11,6,)*A22</f>
        <v>192</v>
      </c>
      <c r="K22" s="325">
        <f t="shared" si="8"/>
        <v>216</v>
      </c>
      <c r="L22" s="325">
        <f>VLOOKUP(A22,t.mon!$A$3:$F$263,6,)</f>
        <v>1050</v>
      </c>
      <c r="M22" s="321">
        <f t="shared" si="9"/>
        <v>2994</v>
      </c>
      <c r="N22" s="321">
        <f>VLOOKUP(A22,t.coi!$A$2:$E$263,5)</f>
        <v>800</v>
      </c>
      <c r="O22" s="321">
        <f t="shared" si="10"/>
        <v>3794</v>
      </c>
      <c r="P22" s="321">
        <f>VLOOKUP(A22,t.mar!$A$1:$C$263,3)*O22</f>
        <v>1479.66</v>
      </c>
      <c r="Q22" s="321">
        <f t="shared" si="11"/>
        <v>130</v>
      </c>
      <c r="R22" s="321">
        <f t="shared" si="12"/>
        <v>1134.7685999999999</v>
      </c>
      <c r="S22" s="321">
        <f t="shared" si="7"/>
        <v>6538.4285999999993</v>
      </c>
    </row>
    <row r="23" spans="1:19" s="313" customFormat="1" ht="16.95" customHeight="1">
      <c r="A23" s="322">
        <v>7</v>
      </c>
      <c r="B23" s="323">
        <f t="shared" si="1"/>
        <v>3.85</v>
      </c>
      <c r="C23" s="324" t="s">
        <v>494</v>
      </c>
      <c r="D23" s="324" t="str">
        <f t="shared" si="2"/>
        <v>LONGI LR5-72HPH 550 (HiMO5 New)  550 Wp</v>
      </c>
      <c r="E23" s="324" t="s">
        <v>87</v>
      </c>
      <c r="F23" s="320" t="s">
        <v>309</v>
      </c>
      <c r="G23" s="325">
        <f>VLOOKUP($C$1,t.mod!$A$2:$H$28,8,)*A23</f>
        <v>654.5</v>
      </c>
      <c r="H23" s="325">
        <f>VLOOKUP(C23,t.inv!$A$2:$H$261,8,)</f>
        <v>870</v>
      </c>
      <c r="I23" s="325">
        <f>VLOOKUP(E23,t.met!$A$2:$F$13,6,)</f>
        <v>135</v>
      </c>
      <c r="J23" s="325">
        <f>VLOOKUP(F23,t.est!$A$3:$F$11,6,)*A23</f>
        <v>224</v>
      </c>
      <c r="K23" s="325">
        <f t="shared" si="8"/>
        <v>232</v>
      </c>
      <c r="L23" s="325">
        <f>VLOOKUP(A23,t.mon!$A$3:$F$263,6,)</f>
        <v>1250</v>
      </c>
      <c r="M23" s="321">
        <f t="shared" si="9"/>
        <v>3365.5</v>
      </c>
      <c r="N23" s="321">
        <f>VLOOKUP(A23,t.coi!$A$2:$E$263,5)</f>
        <v>850</v>
      </c>
      <c r="O23" s="321">
        <f t="shared" si="10"/>
        <v>4215.5</v>
      </c>
      <c r="P23" s="321">
        <f>VLOOKUP(A23,t.mar!$A$1:$C$263,3)*O23</f>
        <v>1601.89</v>
      </c>
      <c r="Q23" s="321">
        <f t="shared" si="11"/>
        <v>130</v>
      </c>
      <c r="R23" s="321">
        <f t="shared" si="12"/>
        <v>1248.9519</v>
      </c>
      <c r="S23" s="321">
        <f t="shared" si="7"/>
        <v>7196.3419000000004</v>
      </c>
    </row>
    <row r="24" spans="1:19" s="313" customFormat="1" ht="16.95" customHeight="1">
      <c r="A24" s="322">
        <v>8</v>
      </c>
      <c r="B24" s="323">
        <f t="shared" si="1"/>
        <v>4.4000000000000004</v>
      </c>
      <c r="C24" s="324" t="s">
        <v>494</v>
      </c>
      <c r="D24" s="324" t="str">
        <f t="shared" si="2"/>
        <v>LONGI LR5-72HPH 550 (HiMO5 New)  550 Wp</v>
      </c>
      <c r="E24" s="324" t="s">
        <v>87</v>
      </c>
      <c r="F24" s="320" t="s">
        <v>309</v>
      </c>
      <c r="G24" s="325">
        <f>VLOOKUP($C$1,t.mod!$A$2:$H$28,8,)*A24</f>
        <v>748</v>
      </c>
      <c r="H24" s="325">
        <f>VLOOKUP(C24,t.inv!$A$2:$H$261,8,)</f>
        <v>870</v>
      </c>
      <c r="I24" s="325">
        <f>VLOOKUP(E24,t.met!$A$2:$F$13,6,)</f>
        <v>135</v>
      </c>
      <c r="J24" s="325">
        <f>VLOOKUP(F24,t.est!$A$3:$F$11,6,)*A24</f>
        <v>256</v>
      </c>
      <c r="K24" s="325">
        <f t="shared" si="8"/>
        <v>248</v>
      </c>
      <c r="L24" s="325">
        <f>VLOOKUP(A24,t.mon!$A$3:$F$263,6,)</f>
        <v>1250</v>
      </c>
      <c r="M24" s="321">
        <f t="shared" si="9"/>
        <v>3507</v>
      </c>
      <c r="N24" s="321">
        <f>VLOOKUP(A24,t.coi!$A$2:$E$263,5)</f>
        <v>850</v>
      </c>
      <c r="O24" s="321">
        <f t="shared" si="10"/>
        <v>4357</v>
      </c>
      <c r="P24" s="321">
        <f>VLOOKUP(A24,t.mar!$A$1:$C$263,3)*O24</f>
        <v>1655.66</v>
      </c>
      <c r="Q24" s="321">
        <f t="shared" si="11"/>
        <v>130</v>
      </c>
      <c r="R24" s="321">
        <f t="shared" si="12"/>
        <v>1289.9585999999999</v>
      </c>
      <c r="S24" s="321">
        <f t="shared" si="7"/>
        <v>7432.6185999999998</v>
      </c>
    </row>
    <row r="25" spans="1:19" s="313" customFormat="1" ht="16.95" customHeight="1">
      <c r="A25" s="322">
        <v>9</v>
      </c>
      <c r="B25" s="323">
        <f t="shared" si="1"/>
        <v>4.95</v>
      </c>
      <c r="C25" s="324" t="s">
        <v>495</v>
      </c>
      <c r="D25" s="324" t="str">
        <f t="shared" si="2"/>
        <v>LONGI LR5-72HPH 550 (HiMO5 New)  550 Wp</v>
      </c>
      <c r="E25" s="324" t="s">
        <v>87</v>
      </c>
      <c r="F25" s="320" t="s">
        <v>309</v>
      </c>
      <c r="G25" s="325">
        <f>VLOOKUP($C$1,t.mod!$A$2:$H$28,8,)*A25</f>
        <v>841.5</v>
      </c>
      <c r="H25" s="325">
        <f>VLOOKUP(C25,t.inv!$A$2:$H$261,8,)</f>
        <v>913</v>
      </c>
      <c r="I25" s="325">
        <f>VLOOKUP(E25,t.met!$A$2:$F$13,6,)</f>
        <v>135</v>
      </c>
      <c r="J25" s="325">
        <f>VLOOKUP(F25,t.est!$A$3:$F$11,6,)*A25</f>
        <v>288</v>
      </c>
      <c r="K25" s="325">
        <f t="shared" si="8"/>
        <v>264</v>
      </c>
      <c r="L25" s="325">
        <f>VLOOKUP(A25,t.mon!$A$3:$F$263,6,)</f>
        <v>1350</v>
      </c>
      <c r="M25" s="321">
        <f t="shared" si="9"/>
        <v>3791.5</v>
      </c>
      <c r="N25" s="321">
        <f>VLOOKUP(A25,t.coi!$A$2:$E$263,5)</f>
        <v>900</v>
      </c>
      <c r="O25" s="321">
        <f t="shared" si="10"/>
        <v>4691.5</v>
      </c>
      <c r="P25" s="321">
        <f>VLOOKUP(A25,t.mar!$A$1:$C$263,3)*O25</f>
        <v>1735.855</v>
      </c>
      <c r="Q25" s="321">
        <f t="shared" si="11"/>
        <v>130</v>
      </c>
      <c r="R25" s="321">
        <f t="shared" si="12"/>
        <v>1377.0445499999998</v>
      </c>
      <c r="S25" s="321">
        <f t="shared" si="7"/>
        <v>7934.3995499999992</v>
      </c>
    </row>
    <row r="26" spans="1:19" s="313" customFormat="1" ht="16.95" customHeight="1">
      <c r="A26" s="322">
        <v>10</v>
      </c>
      <c r="B26" s="323">
        <f t="shared" si="1"/>
        <v>5.5</v>
      </c>
      <c r="C26" s="324" t="s">
        <v>496</v>
      </c>
      <c r="D26" s="324" t="str">
        <f t="shared" si="2"/>
        <v>LONGI LR5-72HPH 550 (HiMO5 New)  550 Wp</v>
      </c>
      <c r="E26" s="324" t="s">
        <v>87</v>
      </c>
      <c r="F26" s="320" t="s">
        <v>309</v>
      </c>
      <c r="G26" s="325">
        <f>VLOOKUP($C$1,t.mod!$A$2:$H$28,8,)*A26</f>
        <v>935</v>
      </c>
      <c r="H26" s="325">
        <f>VLOOKUP(C26,t.inv!$A$2:$H$261,8,)</f>
        <v>1023</v>
      </c>
      <c r="I26" s="325">
        <f>VLOOKUP(E26,t.met!$A$2:$F$13,6,)</f>
        <v>135</v>
      </c>
      <c r="J26" s="325">
        <f>VLOOKUP(F26,t.est!$A$3:$F$11,6,)*A26</f>
        <v>320</v>
      </c>
      <c r="K26" s="325">
        <f t="shared" si="8"/>
        <v>280</v>
      </c>
      <c r="L26" s="325">
        <f>VLOOKUP(A26,t.mon!$A$3:$F$263,6,)</f>
        <v>1400</v>
      </c>
      <c r="M26" s="321">
        <f t="shared" si="9"/>
        <v>4093</v>
      </c>
      <c r="N26" s="321">
        <f>VLOOKUP(A26,t.coi!$A$2:$E$263,5)</f>
        <v>950</v>
      </c>
      <c r="O26" s="321">
        <f t="shared" si="10"/>
        <v>5043</v>
      </c>
      <c r="P26" s="321">
        <f>VLOOKUP(A26,t.mar!$A$1:$C$263,3)*O26</f>
        <v>1865.91</v>
      </c>
      <c r="Q26" s="321">
        <f t="shared" si="11"/>
        <v>130</v>
      </c>
      <c r="R26" s="321">
        <f t="shared" si="12"/>
        <v>1478.1711</v>
      </c>
      <c r="S26" s="321">
        <f t="shared" si="7"/>
        <v>8517.0810999999994</v>
      </c>
    </row>
    <row r="27" spans="1:19" s="313" customFormat="1" ht="16.95" customHeight="1">
      <c r="A27" s="322">
        <v>11</v>
      </c>
      <c r="B27" s="323">
        <f t="shared" si="1"/>
        <v>6.05</v>
      </c>
      <c r="C27" s="324" t="s">
        <v>496</v>
      </c>
      <c r="D27" s="324" t="str">
        <f t="shared" si="2"/>
        <v>LONGI LR5-72HPH 550 (HiMO5 New)  550 Wp</v>
      </c>
      <c r="E27" s="324" t="s">
        <v>87</v>
      </c>
      <c r="F27" s="320" t="s">
        <v>309</v>
      </c>
      <c r="G27" s="325">
        <f>VLOOKUP($C$1,t.mod!$A$2:$H$28,8,)*A27</f>
        <v>1028.5</v>
      </c>
      <c r="H27" s="325">
        <f>VLOOKUP(C27,t.inv!$A$2:$H$261,8,)</f>
        <v>1023</v>
      </c>
      <c r="I27" s="325">
        <f>VLOOKUP(E27,t.met!$A$2:$F$13,6,)</f>
        <v>135</v>
      </c>
      <c r="J27" s="325">
        <f>VLOOKUP(F27,t.est!$A$3:$F$11,6,)*A27</f>
        <v>352</v>
      </c>
      <c r="K27" s="325">
        <f t="shared" si="8"/>
        <v>296</v>
      </c>
      <c r="L27" s="325">
        <f>VLOOKUP(A27,t.mon!$A$3:$F$263,6,)</f>
        <v>1400</v>
      </c>
      <c r="M27" s="321">
        <f t="shared" si="9"/>
        <v>4234.5</v>
      </c>
      <c r="N27" s="321">
        <f>VLOOKUP(A27,t.coi!$A$2:$E$263,5)</f>
        <v>950</v>
      </c>
      <c r="O27" s="321">
        <f t="shared" si="10"/>
        <v>5184.5</v>
      </c>
      <c r="P27" s="321">
        <f>VLOOKUP(A27,t.mar!$A$1:$C$263,3)*O27</f>
        <v>1918.2649999999999</v>
      </c>
      <c r="Q27" s="321">
        <f t="shared" si="11"/>
        <v>130</v>
      </c>
      <c r="R27" s="321">
        <f t="shared" si="12"/>
        <v>1518.8806499999998</v>
      </c>
      <c r="S27" s="321">
        <f t="shared" si="7"/>
        <v>8751.6456499999986</v>
      </c>
    </row>
    <row r="28" spans="1:19" s="313" customFormat="1" ht="16.95" customHeight="1">
      <c r="A28" s="322">
        <v>12</v>
      </c>
      <c r="B28" s="323">
        <f t="shared" si="1"/>
        <v>6.6</v>
      </c>
      <c r="C28" s="324" t="s">
        <v>506</v>
      </c>
      <c r="D28" s="324" t="str">
        <f t="shared" si="2"/>
        <v>LONGI LR5-72HPH 550 (HiMO5 New)  550 Wp</v>
      </c>
      <c r="E28" s="324" t="s">
        <v>87</v>
      </c>
      <c r="F28" s="320" t="s">
        <v>309</v>
      </c>
      <c r="G28" s="325">
        <f>VLOOKUP($C$1,t.mod!$A$2:$H$28,8,)*A28</f>
        <v>1122</v>
      </c>
      <c r="H28" s="325">
        <f>VLOOKUP(C28,t.inv!$A$2:$H$261,8,)</f>
        <v>1217</v>
      </c>
      <c r="I28" s="325">
        <f>VLOOKUP(E28,t.met!$A$2:$F$13,6,)</f>
        <v>135</v>
      </c>
      <c r="J28" s="325">
        <f>VLOOKUP(F28,t.est!$A$3:$F$11,6,)*A28</f>
        <v>384</v>
      </c>
      <c r="K28" s="325">
        <f t="shared" si="8"/>
        <v>312</v>
      </c>
      <c r="L28" s="325">
        <f>VLOOKUP(A28,t.mon!$A$3:$F$263,6,)</f>
        <v>1450</v>
      </c>
      <c r="M28" s="321">
        <f t="shared" si="9"/>
        <v>4620</v>
      </c>
      <c r="N28" s="321">
        <f>VLOOKUP(A28,t.coi!$A$2:$E$263,5)</f>
        <v>1000</v>
      </c>
      <c r="O28" s="321">
        <f t="shared" si="10"/>
        <v>5620</v>
      </c>
      <c r="P28" s="321">
        <f>VLOOKUP(A28,t.mar!$A$1:$C$263,3)*O28</f>
        <v>2079.4</v>
      </c>
      <c r="Q28" s="321">
        <f t="shared" si="11"/>
        <v>130</v>
      </c>
      <c r="R28" s="321">
        <f t="shared" si="12"/>
        <v>1644.1739999999998</v>
      </c>
      <c r="S28" s="321">
        <f t="shared" si="7"/>
        <v>9473.5739999999987</v>
      </c>
    </row>
    <row r="29" spans="1:19" s="313" customFormat="1" ht="16.95" customHeight="1">
      <c r="A29" s="322">
        <v>13</v>
      </c>
      <c r="B29" s="323">
        <f t="shared" si="1"/>
        <v>7.15</v>
      </c>
      <c r="C29" s="324" t="s">
        <v>506</v>
      </c>
      <c r="D29" s="324" t="str">
        <f t="shared" si="2"/>
        <v>LONGI LR5-72HPH 550 (HiMO5 New)  550 Wp</v>
      </c>
      <c r="E29" s="324" t="s">
        <v>87</v>
      </c>
      <c r="F29" s="320" t="s">
        <v>309</v>
      </c>
      <c r="G29" s="325">
        <f>VLOOKUP($C$1,t.mod!$A$2:$H$28,8,)*A29</f>
        <v>1215.5</v>
      </c>
      <c r="H29" s="325">
        <f>VLOOKUP(C29,t.inv!$A$2:$H$261,8,)</f>
        <v>1217</v>
      </c>
      <c r="I29" s="325">
        <f>VLOOKUP(E29,t.met!$A$2:$F$13,6,)</f>
        <v>135</v>
      </c>
      <c r="J29" s="325">
        <f>VLOOKUP(F29,t.est!$A$3:$F$11,6,)*A29</f>
        <v>416</v>
      </c>
      <c r="K29" s="325">
        <f t="shared" si="8"/>
        <v>328</v>
      </c>
      <c r="L29" s="325">
        <f>VLOOKUP(A29,t.mon!$A$3:$F$263,6,)</f>
        <v>1450</v>
      </c>
      <c r="M29" s="321">
        <f t="shared" si="9"/>
        <v>4761.5</v>
      </c>
      <c r="N29" s="321">
        <f>VLOOKUP(A29,t.coi!$A$2:$E$263,5)</f>
        <v>1000</v>
      </c>
      <c r="O29" s="321">
        <f t="shared" si="10"/>
        <v>5761.5</v>
      </c>
      <c r="P29" s="321">
        <f>VLOOKUP(A29,t.mar!$A$1:$C$263,3)*O29</f>
        <v>2131.7550000000001</v>
      </c>
      <c r="Q29" s="321">
        <f t="shared" si="11"/>
        <v>130</v>
      </c>
      <c r="R29" s="321">
        <f t="shared" si="12"/>
        <v>1684.88355</v>
      </c>
      <c r="S29" s="321">
        <f t="shared" si="7"/>
        <v>9708.1385499999997</v>
      </c>
    </row>
    <row r="30" spans="1:19" s="313" customFormat="1" ht="16.95" customHeight="1">
      <c r="A30" s="322">
        <v>14</v>
      </c>
      <c r="B30" s="323">
        <f t="shared" si="1"/>
        <v>7.7</v>
      </c>
      <c r="C30" s="324" t="s">
        <v>506</v>
      </c>
      <c r="D30" s="324" t="str">
        <f t="shared" si="2"/>
        <v>LONGI LR5-72HPH 550 (HiMO5 New)  550 Wp</v>
      </c>
      <c r="E30" s="324" t="s">
        <v>87</v>
      </c>
      <c r="F30" s="320" t="s">
        <v>309</v>
      </c>
      <c r="G30" s="325">
        <f>VLOOKUP($C$1,t.mod!$A$2:$H$28,8,)*A30</f>
        <v>1309</v>
      </c>
      <c r="H30" s="325">
        <f>VLOOKUP(C30,t.inv!$A$2:$H$261,8,)</f>
        <v>1217</v>
      </c>
      <c r="I30" s="325">
        <f>VLOOKUP(E30,t.met!$A$2:$F$13,6,)</f>
        <v>135</v>
      </c>
      <c r="J30" s="325">
        <f>VLOOKUP(F30,t.est!$A$3:$F$11,6,)*A30</f>
        <v>448</v>
      </c>
      <c r="K30" s="325">
        <f t="shared" si="8"/>
        <v>344</v>
      </c>
      <c r="L30" s="325">
        <f>VLOOKUP(A30,t.mon!$A$3:$F$263,6,)</f>
        <v>1500</v>
      </c>
      <c r="M30" s="321">
        <f t="shared" si="9"/>
        <v>4953</v>
      </c>
      <c r="N30" s="321">
        <f>VLOOKUP(A30,t.coi!$A$2:$E$263,5)</f>
        <v>1100</v>
      </c>
      <c r="O30" s="321">
        <f t="shared" si="10"/>
        <v>6053</v>
      </c>
      <c r="P30" s="321">
        <f>VLOOKUP(A30,t.mar!$A$1:$C$263,3)*O30</f>
        <v>2239.61</v>
      </c>
      <c r="Q30" s="321">
        <f t="shared" si="11"/>
        <v>130</v>
      </c>
      <c r="R30" s="321">
        <f t="shared" si="12"/>
        <v>1768.7481</v>
      </c>
      <c r="S30" s="321">
        <f t="shared" si="7"/>
        <v>10191.358100000001</v>
      </c>
    </row>
    <row r="31" spans="1:19" s="313" customFormat="1" ht="16.95" customHeight="1">
      <c r="A31" s="322">
        <v>15</v>
      </c>
      <c r="B31" s="323">
        <f t="shared" si="1"/>
        <v>8.25</v>
      </c>
      <c r="C31" s="324" t="s">
        <v>506</v>
      </c>
      <c r="D31" s="324" t="str">
        <f t="shared" si="2"/>
        <v>LONGI LR5-72HPH 550 (HiMO5 New)  550 Wp</v>
      </c>
      <c r="E31" s="324" t="s">
        <v>87</v>
      </c>
      <c r="F31" s="320" t="s">
        <v>309</v>
      </c>
      <c r="G31" s="325">
        <f>VLOOKUP($C$1,t.mod!$A$2:$H$28,8,)*A31</f>
        <v>1402.5</v>
      </c>
      <c r="H31" s="325">
        <f>VLOOKUP(C31,t.inv!$A$2:$H$261,8,)</f>
        <v>1217</v>
      </c>
      <c r="I31" s="325">
        <f>VLOOKUP(E31,t.met!$A$2:$F$13,6,)</f>
        <v>135</v>
      </c>
      <c r="J31" s="325">
        <f>VLOOKUP(F31,t.est!$A$3:$F$11,6,)*A31</f>
        <v>480</v>
      </c>
      <c r="K31" s="325">
        <f t="shared" si="8"/>
        <v>360</v>
      </c>
      <c r="L31" s="325">
        <f>VLOOKUP(A31,t.mon!$A$3:$F$263,6,)</f>
        <v>1600</v>
      </c>
      <c r="M31" s="321">
        <f t="shared" si="9"/>
        <v>5194.5</v>
      </c>
      <c r="N31" s="321">
        <f>VLOOKUP(A31,t.coi!$A$2:$E$263,5)</f>
        <v>1200</v>
      </c>
      <c r="O31" s="321">
        <f t="shared" si="10"/>
        <v>6394.5</v>
      </c>
      <c r="P31" s="321">
        <f>VLOOKUP(A31,t.mar!$A$1:$C$263,3)*O31</f>
        <v>2365.9650000000001</v>
      </c>
      <c r="Q31" s="321">
        <f t="shared" si="11"/>
        <v>130</v>
      </c>
      <c r="R31" s="321">
        <f t="shared" si="12"/>
        <v>1866.99765</v>
      </c>
      <c r="S31" s="321">
        <f t="shared" si="7"/>
        <v>10757.462649999999</v>
      </c>
    </row>
    <row r="32" spans="1:19" s="313" customFormat="1" ht="16.95" customHeight="1">
      <c r="A32" s="322">
        <v>16</v>
      </c>
      <c r="B32" s="323">
        <f t="shared" si="1"/>
        <v>8.8000000000000007</v>
      </c>
      <c r="C32" s="324" t="s">
        <v>506</v>
      </c>
      <c r="D32" s="324" t="str">
        <f t="shared" si="2"/>
        <v>LONGI LR5-72HPH 550 (HiMO5 New)  550 Wp</v>
      </c>
      <c r="E32" s="324" t="s">
        <v>87</v>
      </c>
      <c r="F32" s="320" t="s">
        <v>309</v>
      </c>
      <c r="G32" s="325">
        <f>VLOOKUP($C$1,t.mod!$A$2:$H$28,8,)*A32</f>
        <v>1496</v>
      </c>
      <c r="H32" s="325">
        <f>VLOOKUP(C32,t.inv!$A$2:$H$261,8,)</f>
        <v>1217</v>
      </c>
      <c r="I32" s="325">
        <f>VLOOKUP(E32,t.met!$A$2:$F$13,6,)</f>
        <v>135</v>
      </c>
      <c r="J32" s="325">
        <f>VLOOKUP(F32,t.est!$A$3:$F$11,6,)*A32</f>
        <v>512</v>
      </c>
      <c r="K32" s="325">
        <f t="shared" si="8"/>
        <v>376</v>
      </c>
      <c r="L32" s="325">
        <f>VLOOKUP(A32,t.mon!$A$3:$F$263,6,)</f>
        <v>1600</v>
      </c>
      <c r="M32" s="321">
        <f t="shared" si="9"/>
        <v>5336</v>
      </c>
      <c r="N32" s="321">
        <f>VLOOKUP(A32,t.coi!$A$2:$E$263,5)</f>
        <v>1200</v>
      </c>
      <c r="O32" s="321">
        <f t="shared" si="10"/>
        <v>6536</v>
      </c>
      <c r="P32" s="321">
        <f>VLOOKUP(A32,t.mar!$A$1:$C$263,3)*O32</f>
        <v>2418.3200000000002</v>
      </c>
      <c r="Q32" s="321">
        <f t="shared" si="11"/>
        <v>130</v>
      </c>
      <c r="R32" s="321">
        <f t="shared" si="12"/>
        <v>1907.7071999999998</v>
      </c>
      <c r="S32" s="321">
        <f t="shared" si="7"/>
        <v>10992.0272</v>
      </c>
    </row>
    <row r="33" spans="1:19" s="313" customFormat="1" ht="16.95" customHeight="1">
      <c r="A33" s="322">
        <v>17</v>
      </c>
      <c r="B33" s="323">
        <f t="shared" si="1"/>
        <v>9.35</v>
      </c>
      <c r="C33" s="324" t="s">
        <v>507</v>
      </c>
      <c r="D33" s="324" t="str">
        <f t="shared" si="2"/>
        <v>LONGI LR5-72HPH 550 (HiMO5 New)  550 Wp</v>
      </c>
      <c r="E33" s="324" t="s">
        <v>87</v>
      </c>
      <c r="F33" s="320" t="s">
        <v>309</v>
      </c>
      <c r="G33" s="325">
        <f>VLOOKUP($C$1,t.mod!$A$2:$H$28,8,)*A33</f>
        <v>1589.5</v>
      </c>
      <c r="H33" s="325">
        <f>VLOOKUP(C33,t.inv!$A$2:$H$261,8,)</f>
        <v>1356.3</v>
      </c>
      <c r="I33" s="325">
        <f>VLOOKUP(E33,t.met!$A$2:$F$13,6,)</f>
        <v>135</v>
      </c>
      <c r="J33" s="325">
        <f>VLOOKUP(F33,t.est!$A$3:$F$11,6,)*A33</f>
        <v>544</v>
      </c>
      <c r="K33" s="325">
        <f t="shared" si="8"/>
        <v>392</v>
      </c>
      <c r="L33" s="325">
        <f>VLOOKUP(A33,t.mon!$A$3:$F$263,6,)</f>
        <v>1700</v>
      </c>
      <c r="M33" s="321">
        <f t="shared" si="9"/>
        <v>5716.8</v>
      </c>
      <c r="N33" s="321">
        <f>VLOOKUP(A33,t.coi!$A$2:$E$263,5)</f>
        <v>1300</v>
      </c>
      <c r="O33" s="321">
        <f t="shared" si="10"/>
        <v>7016.8</v>
      </c>
      <c r="P33" s="321">
        <f>VLOOKUP(A33,t.mar!$A$1:$C$263,3)*O33</f>
        <v>2526.0479999999998</v>
      </c>
      <c r="Q33" s="321">
        <f t="shared" si="11"/>
        <v>130</v>
      </c>
      <c r="R33" s="321">
        <f t="shared" si="12"/>
        <v>2031.29808</v>
      </c>
      <c r="S33" s="321">
        <f t="shared" si="7"/>
        <v>11704.14608</v>
      </c>
    </row>
    <row r="34" spans="1:19" s="313" customFormat="1" ht="16.95" customHeight="1">
      <c r="A34" s="322">
        <v>18</v>
      </c>
      <c r="B34" s="323">
        <f t="shared" si="1"/>
        <v>9.9</v>
      </c>
      <c r="C34" s="324" t="s">
        <v>507</v>
      </c>
      <c r="D34" s="324" t="str">
        <f t="shared" si="2"/>
        <v>LONGI LR5-72HPH 550 (HiMO5 New)  550 Wp</v>
      </c>
      <c r="E34" s="324" t="s">
        <v>87</v>
      </c>
      <c r="F34" s="320" t="s">
        <v>309</v>
      </c>
      <c r="G34" s="325">
        <f>VLOOKUP($C$1,t.mod!$A$2:$H$28,8,)*A34</f>
        <v>1683</v>
      </c>
      <c r="H34" s="325">
        <f>VLOOKUP(C34,t.inv!$A$2:$H$261,8,)</f>
        <v>1356.3</v>
      </c>
      <c r="I34" s="325">
        <f>VLOOKUP(E34,t.met!$A$2:$F$13,6,)</f>
        <v>135</v>
      </c>
      <c r="J34" s="325">
        <f>VLOOKUP(F34,t.est!$A$3:$F$11,6,)*A34</f>
        <v>576</v>
      </c>
      <c r="K34" s="325">
        <f t="shared" si="8"/>
        <v>408</v>
      </c>
      <c r="L34" s="325">
        <f>VLOOKUP(A34,t.mon!$A$3:$F$263,6,)</f>
        <v>1700</v>
      </c>
      <c r="M34" s="321">
        <f t="shared" si="9"/>
        <v>5858.3</v>
      </c>
      <c r="N34" s="321">
        <f>VLOOKUP(A34,t.coi!$A$2:$E$263,5)</f>
        <v>1300</v>
      </c>
      <c r="O34" s="321">
        <f t="shared" si="10"/>
        <v>7158.3</v>
      </c>
      <c r="P34" s="321">
        <f>VLOOKUP(A34,t.mar!$A$1:$C$263,3)*O34</f>
        <v>2576.9879999999998</v>
      </c>
      <c r="Q34" s="321">
        <f t="shared" si="11"/>
        <v>130</v>
      </c>
      <c r="R34" s="321">
        <f t="shared" si="12"/>
        <v>2071.7104800000002</v>
      </c>
      <c r="S34" s="321">
        <f t="shared" si="7"/>
        <v>11936.99848</v>
      </c>
    </row>
    <row r="35" spans="1:19" s="313" customFormat="1" ht="16.95" customHeight="1">
      <c r="A35" s="322">
        <v>19</v>
      </c>
      <c r="B35" s="323">
        <f t="shared" si="1"/>
        <v>10.45</v>
      </c>
      <c r="C35" s="324" t="s">
        <v>507</v>
      </c>
      <c r="D35" s="324" t="str">
        <f t="shared" si="2"/>
        <v>LONGI LR5-72HPH 550 (HiMO5 New)  550 Wp</v>
      </c>
      <c r="E35" s="324" t="s">
        <v>87</v>
      </c>
      <c r="F35" s="320" t="s">
        <v>309</v>
      </c>
      <c r="G35" s="325">
        <f>VLOOKUP($C$1,t.mod!$A$2:$H$28,8,)*A35</f>
        <v>1776.5</v>
      </c>
      <c r="H35" s="325">
        <f>VLOOKUP(C35,t.inv!$A$2:$H$261,8,)</f>
        <v>1356.3</v>
      </c>
      <c r="I35" s="325">
        <f>VLOOKUP(E35,t.met!$A$2:$F$13,6,)</f>
        <v>135</v>
      </c>
      <c r="J35" s="325">
        <f>VLOOKUP(F35,t.est!$A$3:$F$11,6,)*A35</f>
        <v>608</v>
      </c>
      <c r="K35" s="325">
        <f t="shared" si="8"/>
        <v>424</v>
      </c>
      <c r="L35" s="325">
        <f>VLOOKUP(A35,t.mon!$A$3:$F$263,6,)</f>
        <v>1800</v>
      </c>
      <c r="M35" s="321">
        <f t="shared" si="9"/>
        <v>6099.8</v>
      </c>
      <c r="N35" s="321">
        <f>VLOOKUP(A35,t.coi!$A$2:$E$263,5)</f>
        <v>1300</v>
      </c>
      <c r="O35" s="321">
        <f t="shared" si="10"/>
        <v>7399.8</v>
      </c>
      <c r="P35" s="321">
        <f>VLOOKUP(A35,t.mar!$A$1:$C$263,3)*O35</f>
        <v>2663.9279999999999</v>
      </c>
      <c r="Q35" s="321">
        <f t="shared" si="11"/>
        <v>130</v>
      </c>
      <c r="R35" s="321">
        <f t="shared" si="12"/>
        <v>2140.6828799999998</v>
      </c>
      <c r="S35" s="321">
        <f t="shared" si="7"/>
        <v>12334.410879999999</v>
      </c>
    </row>
    <row r="36" spans="1:19" s="313" customFormat="1" ht="16.95" customHeight="1">
      <c r="A36" s="322">
        <v>20</v>
      </c>
      <c r="B36" s="323">
        <f t="shared" si="1"/>
        <v>11</v>
      </c>
      <c r="C36" s="324" t="s">
        <v>507</v>
      </c>
      <c r="D36" s="324" t="str">
        <f t="shared" si="2"/>
        <v>LONGI LR5-72HPH 550 (HiMO5 New)  550 Wp</v>
      </c>
      <c r="E36" s="324" t="s">
        <v>87</v>
      </c>
      <c r="F36" s="320" t="s">
        <v>309</v>
      </c>
      <c r="G36" s="325">
        <f>VLOOKUP($C$1,t.mod!$A$2:$H$28,8,)*A36</f>
        <v>1870</v>
      </c>
      <c r="H36" s="325">
        <f>VLOOKUP(C36,t.inv!$A$2:$H$261,8,)</f>
        <v>1356.3</v>
      </c>
      <c r="I36" s="325">
        <f>VLOOKUP(E36,t.met!$A$2:$F$13,6,)</f>
        <v>135</v>
      </c>
      <c r="J36" s="325">
        <f>VLOOKUP(F36,t.est!$A$3:$F$11,6,)*A36</f>
        <v>640</v>
      </c>
      <c r="K36" s="325">
        <f t="shared" si="8"/>
        <v>440</v>
      </c>
      <c r="L36" s="325">
        <f>VLOOKUP(A36,t.mon!$A$3:$F$263,6,)</f>
        <v>1850</v>
      </c>
      <c r="M36" s="321">
        <f t="shared" si="9"/>
        <v>6291.3</v>
      </c>
      <c r="N36" s="321">
        <f>VLOOKUP(A36,t.coi!$A$2:$E$263,5)</f>
        <v>1300</v>
      </c>
      <c r="O36" s="321">
        <f t="shared" si="10"/>
        <v>7591.3</v>
      </c>
      <c r="P36" s="321">
        <f>VLOOKUP(A36,t.mar!$A$1:$C$263,3)*O36</f>
        <v>2732.8679999999999</v>
      </c>
      <c r="Q36" s="321">
        <f t="shared" si="11"/>
        <v>130</v>
      </c>
      <c r="R36" s="321">
        <f t="shared" si="12"/>
        <v>2195.3752799999997</v>
      </c>
      <c r="S36" s="321">
        <f t="shared" si="7"/>
        <v>12649.54328</v>
      </c>
    </row>
    <row r="37" spans="1:19" s="313" customFormat="1" ht="16.95" customHeight="1">
      <c r="A37" s="322">
        <v>21</v>
      </c>
      <c r="B37" s="323">
        <f t="shared" si="1"/>
        <v>11.55</v>
      </c>
      <c r="C37" s="324" t="s">
        <v>508</v>
      </c>
      <c r="D37" s="324" t="str">
        <f t="shared" si="2"/>
        <v>LONGI LR5-72HPH 550 (HiMO5 New)  550 Wp</v>
      </c>
      <c r="E37" s="324" t="s">
        <v>87</v>
      </c>
      <c r="F37" s="320" t="s">
        <v>309</v>
      </c>
      <c r="G37" s="325">
        <f>VLOOKUP($C$1,t.mod!$A$2:$H$28,8,)*A37</f>
        <v>1963.5</v>
      </c>
      <c r="H37" s="325">
        <f>VLOOKUP(C37,t.inv!$A$2:$H$261,8,)</f>
        <v>1433</v>
      </c>
      <c r="I37" s="325">
        <f>VLOOKUP(E37,t.met!$A$2:$F$13,6,)</f>
        <v>135</v>
      </c>
      <c r="J37" s="325">
        <f>VLOOKUP(F37,t.est!$A$3:$F$11,6,)*A37</f>
        <v>672</v>
      </c>
      <c r="K37" s="325">
        <f t="shared" si="8"/>
        <v>456</v>
      </c>
      <c r="L37" s="325">
        <f>VLOOKUP(A37,t.mon!$A$3:$F$263,6,)</f>
        <v>1850</v>
      </c>
      <c r="M37" s="321">
        <f t="shared" si="9"/>
        <v>6509.5</v>
      </c>
      <c r="N37" s="321">
        <f>VLOOKUP(A37,t.coi!$A$2:$E$263,5)</f>
        <v>1300</v>
      </c>
      <c r="O37" s="321">
        <f t="shared" si="10"/>
        <v>7809.5</v>
      </c>
      <c r="P37" s="321">
        <f>VLOOKUP(A37,t.mar!$A$1:$C$263,3)*O37</f>
        <v>2811.42</v>
      </c>
      <c r="Q37" s="321">
        <f t="shared" si="11"/>
        <v>130</v>
      </c>
      <c r="R37" s="321">
        <f t="shared" si="12"/>
        <v>2257.6931999999997</v>
      </c>
      <c r="S37" s="321">
        <f t="shared" si="7"/>
        <v>13008.6132</v>
      </c>
    </row>
    <row r="38" spans="1:19" s="313" customFormat="1" ht="16.95" customHeight="1">
      <c r="A38" s="322">
        <v>22</v>
      </c>
      <c r="B38" s="323">
        <f t="shared" si="1"/>
        <v>12.1</v>
      </c>
      <c r="C38" s="324" t="s">
        <v>508</v>
      </c>
      <c r="D38" s="324" t="str">
        <f t="shared" si="2"/>
        <v>LONGI LR5-72HPH 550 (HiMO5 New)  550 Wp</v>
      </c>
      <c r="E38" s="324" t="s">
        <v>87</v>
      </c>
      <c r="F38" s="320" t="s">
        <v>309</v>
      </c>
      <c r="G38" s="325">
        <f>VLOOKUP($C$1,t.mod!$A$2:$H$28,8,)*A38</f>
        <v>2057</v>
      </c>
      <c r="H38" s="325">
        <f>VLOOKUP(C38,t.inv!$A$2:$H$261,8,)</f>
        <v>1433</v>
      </c>
      <c r="I38" s="325">
        <f>VLOOKUP(E38,t.met!$A$2:$F$13,6,)</f>
        <v>135</v>
      </c>
      <c r="J38" s="325">
        <f>VLOOKUP(F38,t.est!$A$3:$F$11,6,)*A38</f>
        <v>704</v>
      </c>
      <c r="K38" s="325">
        <f t="shared" si="8"/>
        <v>472</v>
      </c>
      <c r="L38" s="325">
        <f>VLOOKUP(A38,t.mon!$A$3:$F$263,6,)</f>
        <v>1900</v>
      </c>
      <c r="M38" s="321">
        <f t="shared" si="9"/>
        <v>6701</v>
      </c>
      <c r="N38" s="321">
        <f>VLOOKUP(A38,t.coi!$A$2:$E$263,5)</f>
        <v>1300</v>
      </c>
      <c r="O38" s="321">
        <f t="shared" si="10"/>
        <v>8001</v>
      </c>
      <c r="P38" s="321">
        <f>VLOOKUP(A38,t.mar!$A$1:$C$263,3)*O38</f>
        <v>2880.3599999999997</v>
      </c>
      <c r="Q38" s="321">
        <f t="shared" si="11"/>
        <v>130</v>
      </c>
      <c r="R38" s="321">
        <f t="shared" si="12"/>
        <v>2312.3856000000001</v>
      </c>
      <c r="S38" s="321">
        <f t="shared" si="7"/>
        <v>13323.7456</v>
      </c>
    </row>
    <row r="39" spans="1:19" s="313" customFormat="1" ht="16.95" customHeight="1">
      <c r="A39" s="322">
        <v>23</v>
      </c>
      <c r="B39" s="323">
        <f t="shared" si="1"/>
        <v>12.65</v>
      </c>
      <c r="C39" s="324" t="s">
        <v>508</v>
      </c>
      <c r="D39" s="324" t="str">
        <f t="shared" si="2"/>
        <v>LONGI LR5-72HPH 550 (HiMO5 New)  550 Wp</v>
      </c>
      <c r="E39" s="324" t="s">
        <v>87</v>
      </c>
      <c r="F39" s="320" t="s">
        <v>309</v>
      </c>
      <c r="G39" s="325">
        <f>VLOOKUP($C$1,t.mod!$A$2:$H$28,8,)*A39</f>
        <v>2150.5</v>
      </c>
      <c r="H39" s="325">
        <f>VLOOKUP(C39,t.inv!$A$2:$H$261,8,)</f>
        <v>1433</v>
      </c>
      <c r="I39" s="325">
        <f>VLOOKUP(E39,t.met!$A$2:$F$13,6,)</f>
        <v>135</v>
      </c>
      <c r="J39" s="325">
        <f>VLOOKUP(F39,t.est!$A$3:$F$11,6,)*A39</f>
        <v>736</v>
      </c>
      <c r="K39" s="325">
        <f t="shared" si="8"/>
        <v>488</v>
      </c>
      <c r="L39" s="325">
        <f>VLOOKUP(A39,t.mon!$A$3:$F$263,6,)</f>
        <v>1900</v>
      </c>
      <c r="M39" s="321">
        <f t="shared" si="9"/>
        <v>6842.5</v>
      </c>
      <c r="N39" s="321">
        <f>VLOOKUP(A39,t.coi!$A$2:$E$263,5)</f>
        <v>1300</v>
      </c>
      <c r="O39" s="321">
        <f t="shared" si="10"/>
        <v>8142.5</v>
      </c>
      <c r="P39" s="321">
        <f>VLOOKUP(A39,t.mar!$A$1:$C$263,3)*O39</f>
        <v>2931.2999999999997</v>
      </c>
      <c r="Q39" s="321">
        <f t="shared" si="11"/>
        <v>130</v>
      </c>
      <c r="R39" s="321">
        <f t="shared" si="12"/>
        <v>2352.7979999999998</v>
      </c>
      <c r="S39" s="321">
        <f t="shared" si="7"/>
        <v>13556.597999999998</v>
      </c>
    </row>
    <row r="40" spans="1:19" s="313" customFormat="1" ht="16.95" customHeight="1">
      <c r="A40" s="322">
        <v>24</v>
      </c>
      <c r="B40" s="323">
        <f t="shared" si="1"/>
        <v>13.2</v>
      </c>
      <c r="C40" s="324" t="s">
        <v>509</v>
      </c>
      <c r="D40" s="324" t="str">
        <f t="shared" si="2"/>
        <v>LONGI LR5-72HPH 550 (HiMO5 New)  550 Wp</v>
      </c>
      <c r="E40" s="324" t="s">
        <v>87</v>
      </c>
      <c r="F40" s="320" t="s">
        <v>309</v>
      </c>
      <c r="G40" s="325">
        <f>VLOOKUP($C$1,t.mod!$A$2:$H$28,8,)*A40</f>
        <v>2244</v>
      </c>
      <c r="H40" s="325">
        <f>VLOOKUP(C40,t.inv!$A$2:$H$261,8,)</f>
        <v>1669</v>
      </c>
      <c r="I40" s="325">
        <f>VLOOKUP(E40,t.met!$A$2:$F$13,6,)</f>
        <v>135</v>
      </c>
      <c r="J40" s="325">
        <f>VLOOKUP(F40,t.est!$A$3:$F$11,6,)*A40</f>
        <v>768</v>
      </c>
      <c r="K40" s="325">
        <f t="shared" si="8"/>
        <v>504</v>
      </c>
      <c r="L40" s="325">
        <f>VLOOKUP(A40,t.mon!$A$3:$F$263,6,)</f>
        <v>1950</v>
      </c>
      <c r="M40" s="321">
        <f t="shared" si="9"/>
        <v>7270</v>
      </c>
      <c r="N40" s="321">
        <f>VLOOKUP(A40,t.coi!$A$2:$E$263,5)</f>
        <v>1300</v>
      </c>
      <c r="O40" s="321">
        <f t="shared" si="10"/>
        <v>8570</v>
      </c>
      <c r="P40" s="321">
        <f>VLOOKUP(A40,t.mar!$A$1:$C$263,3)*O40</f>
        <v>3085.2</v>
      </c>
      <c r="Q40" s="321">
        <f t="shared" si="11"/>
        <v>130</v>
      </c>
      <c r="R40" s="321">
        <f t="shared" si="12"/>
        <v>2474.8920000000003</v>
      </c>
      <c r="S40" s="321">
        <f t="shared" si="7"/>
        <v>14260.092000000001</v>
      </c>
    </row>
    <row r="41" spans="1:19" s="313" customFormat="1" ht="16.95" customHeight="1">
      <c r="A41" s="322">
        <v>25</v>
      </c>
      <c r="B41" s="323">
        <f t="shared" si="1"/>
        <v>13.75</v>
      </c>
      <c r="C41" s="324" t="s">
        <v>509</v>
      </c>
      <c r="D41" s="324" t="str">
        <f t="shared" si="2"/>
        <v>LONGI LR5-72HPH 550 (HiMO5 New)  550 Wp</v>
      </c>
      <c r="E41" s="324" t="s">
        <v>87</v>
      </c>
      <c r="F41" s="320" t="s">
        <v>309</v>
      </c>
      <c r="G41" s="325">
        <f>VLOOKUP($C$1,t.mod!$A$2:$H$28,8,)*A41</f>
        <v>2337.5</v>
      </c>
      <c r="H41" s="325">
        <f>VLOOKUP(C41,t.inv!$A$2:$H$261,8,)</f>
        <v>1669</v>
      </c>
      <c r="I41" s="325">
        <f>VLOOKUP(E41,t.met!$A$2:$F$13,6,)</f>
        <v>135</v>
      </c>
      <c r="J41" s="325">
        <f>VLOOKUP(F41,t.est!$A$3:$F$11,6,)*A41</f>
        <v>800</v>
      </c>
      <c r="K41" s="325">
        <f t="shared" si="8"/>
        <v>520</v>
      </c>
      <c r="L41" s="325">
        <f>VLOOKUP(A41,t.mon!$A$3:$F$263,6,)</f>
        <v>2000</v>
      </c>
      <c r="M41" s="321">
        <f t="shared" si="9"/>
        <v>7461.5</v>
      </c>
      <c r="N41" s="321">
        <f>VLOOKUP(A41,t.coi!$A$2:$E$263,5)</f>
        <v>1400</v>
      </c>
      <c r="O41" s="321">
        <f t="shared" si="10"/>
        <v>8861.5</v>
      </c>
      <c r="P41" s="321">
        <f>VLOOKUP(A41,t.mar!$A$1:$C$263,3)*O41</f>
        <v>3190.14</v>
      </c>
      <c r="Q41" s="321">
        <f t="shared" si="11"/>
        <v>130</v>
      </c>
      <c r="R41" s="321">
        <f t="shared" si="12"/>
        <v>2558.1443999999997</v>
      </c>
      <c r="S41" s="321">
        <f t="shared" si="7"/>
        <v>14739.784399999999</v>
      </c>
    </row>
    <row r="42" spans="1:19" s="313" customFormat="1" ht="16.95" customHeight="1">
      <c r="A42" s="322">
        <v>26</v>
      </c>
      <c r="B42" s="323">
        <f t="shared" si="1"/>
        <v>14.3</v>
      </c>
      <c r="C42" s="324" t="s">
        <v>509</v>
      </c>
      <c r="D42" s="324" t="str">
        <f t="shared" si="2"/>
        <v>LONGI LR5-72HPH 550 (HiMO5 New)  550 Wp</v>
      </c>
      <c r="E42" s="324" t="s">
        <v>87</v>
      </c>
      <c r="F42" s="320" t="s">
        <v>309</v>
      </c>
      <c r="G42" s="325">
        <f>VLOOKUP($C$1,t.mod!$A$2:$H$28,8,)*A42</f>
        <v>2431</v>
      </c>
      <c r="H42" s="325">
        <f>VLOOKUP(C42,t.inv!$A$2:$H$261,8,)</f>
        <v>1669</v>
      </c>
      <c r="I42" s="325">
        <f>VLOOKUP(E42,t.met!$A$2:$F$13,6,)</f>
        <v>135</v>
      </c>
      <c r="J42" s="325">
        <f>VLOOKUP(F42,t.est!$A$3:$F$11,6,)*A42</f>
        <v>832</v>
      </c>
      <c r="K42" s="325">
        <f t="shared" si="8"/>
        <v>536</v>
      </c>
      <c r="L42" s="325">
        <f>VLOOKUP(A42,t.mon!$A$3:$F$263,6,)</f>
        <v>2000</v>
      </c>
      <c r="M42" s="321">
        <f t="shared" si="9"/>
        <v>7603</v>
      </c>
      <c r="N42" s="321">
        <f>VLOOKUP(A42,t.coi!$A$2:$E$263,5)</f>
        <v>1400</v>
      </c>
      <c r="O42" s="321">
        <f t="shared" si="10"/>
        <v>9003</v>
      </c>
      <c r="P42" s="321">
        <f>VLOOKUP(A42,t.mar!$A$1:$C$263,3)*O42</f>
        <v>3241.08</v>
      </c>
      <c r="Q42" s="321">
        <f t="shared" si="11"/>
        <v>130</v>
      </c>
      <c r="R42" s="321">
        <f t="shared" si="12"/>
        <v>2598.5567999999998</v>
      </c>
      <c r="S42" s="321">
        <f t="shared" si="7"/>
        <v>14972.6368</v>
      </c>
    </row>
    <row r="43" spans="1:19" ht="15.6">
      <c r="A43" s="316"/>
      <c r="B43" s="316"/>
      <c r="C43" s="317"/>
      <c r="D43" s="317"/>
      <c r="E43" s="329"/>
      <c r="F43" s="329"/>
      <c r="G43" s="331"/>
      <c r="H43" s="331"/>
      <c r="I43" s="331"/>
      <c r="J43" s="317"/>
      <c r="K43" s="317"/>
      <c r="L43" s="317"/>
      <c r="M43" s="317"/>
      <c r="N43" s="317"/>
      <c r="O43" s="317"/>
      <c r="P43" s="317"/>
      <c r="Q43" s="317"/>
      <c r="R43" s="317"/>
      <c r="S43" s="317"/>
    </row>
    <row r="44" spans="1:19" ht="28.8" customHeight="1">
      <c r="A44" s="451" t="s">
        <v>528</v>
      </c>
      <c r="B44" s="451"/>
      <c r="C44" s="451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  <c r="P44" s="451"/>
      <c r="Q44" s="451"/>
      <c r="R44" s="451"/>
      <c r="S44" s="451"/>
    </row>
  </sheetData>
  <sheetProtection algorithmName="SHA-512" hashValue="LcM/jZK1D86WrqIwjCn5/v1WOemouwbMpesWvNKOiiH1uwy6KRIqhXImxJrqv2hHKgwkBUfrCjh4QY3L8Jva2Q==" saltValue="1ht6bNeTE34br6fBi48iOQ==" spinCount="100000" sheet="1" objects="1" scenarios="1"/>
  <mergeCells count="5">
    <mergeCell ref="A44:S44"/>
    <mergeCell ref="A1:B1"/>
    <mergeCell ref="A2:B2"/>
    <mergeCell ref="C1:D1"/>
    <mergeCell ref="C2:D2"/>
  </mergeCells>
  <pageMargins left="0.78740157480314965" right="0.39370078740157483" top="0.59055118110236227" bottom="0.39370078740157483" header="0.39370078740157483" footer="0"/>
  <pageSetup paperSize="9" scale="35" orientation="landscape" horizontalDpi="360" verticalDpi="360" r:id="rId1"/>
  <headerFooter>
    <oddHeader>&amp;R&amp;G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3C4F82E-C1CF-419C-8E0A-92ABCC98F07C}">
          <x14:formula1>
            <xm:f>t.mod!$A$3:$A$30</xm:f>
          </x14:formula1>
          <xm:sqref>C1</xm:sqref>
        </x14:dataValidation>
        <x14:dataValidation type="list" allowBlank="1" showInputMessage="1" showErrorMessage="1" xr:uid="{A2ACE3C6-1F9B-478B-8A45-CA094EBABD60}">
          <x14:formula1>
            <xm:f>t.met!$A$3:$A$22</xm:f>
          </x14:formula1>
          <xm:sqref>E7:E18 E20:E43 F43</xm:sqref>
        </x14:dataValidation>
        <x14:dataValidation type="list" allowBlank="1" showInputMessage="1" showErrorMessage="1" xr:uid="{DADB950E-82F7-46FF-8E72-347BF5128130}">
          <x14:formula1>
            <xm:f>t.est!$A$3:$A$12</xm:f>
          </x14:formula1>
          <xm:sqref>F7:F18 F20:F42</xm:sqref>
        </x14:dataValidation>
        <x14:dataValidation type="list" allowBlank="1" showInputMessage="1" showErrorMessage="1" xr:uid="{B87C7073-D054-4673-94FA-F40BCD047391}">
          <x14:formula1>
            <xm:f>t.inv!$A$4:$A$34</xm:f>
          </x14:formula1>
          <xm:sqref>C7:C18 C20:C42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6440-51D5-4B6C-93BB-30577EDB1389}">
  <sheetPr>
    <tabColor rgb="FFFFD100"/>
    <pageSetUpPr fitToPage="1"/>
  </sheetPr>
  <dimension ref="A1:S44"/>
  <sheetViews>
    <sheetView showGridLines="0" view="pageBreakPreview" topLeftCell="A3" zoomScaleNormal="100" zoomScaleSheetLayoutView="100" workbookViewId="0">
      <selection activeCell="B8" sqref="B8"/>
    </sheetView>
  </sheetViews>
  <sheetFormatPr baseColWidth="10" defaultColWidth="11.5546875" defaultRowHeight="14.4" outlineLevelCol="1"/>
  <cols>
    <col min="1" max="1" width="8.88671875" style="312" customWidth="1"/>
    <col min="2" max="2" width="23.77734375" style="312" customWidth="1"/>
    <col min="3" max="3" width="35.88671875" style="188" customWidth="1"/>
    <col min="4" max="4" width="44.44140625" style="188" customWidth="1"/>
    <col min="5" max="5" width="50.77734375" style="188" customWidth="1"/>
    <col min="6" max="6" width="24.44140625" style="188" customWidth="1"/>
    <col min="7" max="7" width="13.6640625" style="188" hidden="1" customWidth="1" outlineLevel="1"/>
    <col min="8" max="8" width="12.109375" style="188" hidden="1" customWidth="1" outlineLevel="1"/>
    <col min="9" max="9" width="11.88671875" style="188" hidden="1" customWidth="1" outlineLevel="1"/>
    <col min="10" max="10" width="15.44140625" style="188" hidden="1" customWidth="1" outlineLevel="1"/>
    <col min="11" max="11" width="13.33203125" style="188" hidden="1" customWidth="1" outlineLevel="1"/>
    <col min="12" max="12" width="15.5546875" style="188" hidden="1" customWidth="1" outlineLevel="1"/>
    <col min="13" max="13" width="14.44140625" style="188" hidden="1" customWidth="1" outlineLevel="1"/>
    <col min="14" max="14" width="13.33203125" style="188" hidden="1" customWidth="1" outlineLevel="1"/>
    <col min="15" max="15" width="19.33203125" style="188" hidden="1" customWidth="1" outlineLevel="1"/>
    <col min="16" max="16" width="13.6640625" style="188" hidden="1" customWidth="1" outlineLevel="1"/>
    <col min="17" max="17" width="12.6640625" style="188" hidden="1" customWidth="1" outlineLevel="1"/>
    <col min="18" max="18" width="14.33203125" style="188" hidden="1" customWidth="1" outlineLevel="1"/>
    <col min="19" max="19" width="22.44140625" style="188" customWidth="1" collapsed="1"/>
    <col min="20" max="16384" width="11.5546875" style="188"/>
  </cols>
  <sheetData>
    <row r="1" spans="1:19" ht="24.6" customHeight="1">
      <c r="A1" s="452" t="s">
        <v>486</v>
      </c>
      <c r="B1" s="452"/>
      <c r="C1" s="453" t="s">
        <v>120</v>
      </c>
      <c r="D1" s="453"/>
      <c r="E1" s="454" t="s">
        <v>544</v>
      </c>
      <c r="F1" s="454"/>
    </row>
    <row r="2" spans="1:19" ht="20.399999999999999" customHeight="1">
      <c r="A2" s="452" t="s">
        <v>81</v>
      </c>
      <c r="B2" s="452"/>
      <c r="C2" s="451">
        <f>VLOOKUP(C1,t.mod!A2:H28,7,)</f>
        <v>550</v>
      </c>
      <c r="D2" s="451"/>
      <c r="E2" s="455" t="s">
        <v>545</v>
      </c>
      <c r="F2" s="455"/>
      <c r="G2" s="311"/>
      <c r="H2" s="311"/>
    </row>
    <row r="3" spans="1:19">
      <c r="C3" s="312"/>
      <c r="D3" s="312"/>
      <c r="E3" s="312"/>
      <c r="F3" s="312"/>
    </row>
    <row r="4" spans="1:19">
      <c r="C4" s="312"/>
      <c r="D4" s="312"/>
      <c r="E4" s="312"/>
      <c r="F4" s="312"/>
    </row>
    <row r="5" spans="1:19" s="8" customFormat="1" ht="31.8" customHeight="1">
      <c r="A5" s="314" t="s">
        <v>485</v>
      </c>
      <c r="B5" s="314" t="s">
        <v>502</v>
      </c>
      <c r="C5" s="314" t="s">
        <v>487</v>
      </c>
      <c r="D5" s="314" t="s">
        <v>497</v>
      </c>
      <c r="E5" s="314" t="s">
        <v>503</v>
      </c>
      <c r="F5" s="314" t="s">
        <v>135</v>
      </c>
      <c r="G5" s="315" t="s">
        <v>498</v>
      </c>
      <c r="H5" s="315" t="s">
        <v>499</v>
      </c>
      <c r="I5" s="315" t="s">
        <v>500</v>
      </c>
      <c r="J5" s="315" t="s">
        <v>501</v>
      </c>
      <c r="K5" s="315" t="s">
        <v>504</v>
      </c>
      <c r="L5" s="315" t="s">
        <v>505</v>
      </c>
      <c r="M5" s="315" t="s">
        <v>525</v>
      </c>
      <c r="N5" s="315" t="s">
        <v>523</v>
      </c>
      <c r="O5" s="315" t="s">
        <v>526</v>
      </c>
      <c r="P5" s="315" t="s">
        <v>519</v>
      </c>
      <c r="Q5" s="315" t="s">
        <v>522</v>
      </c>
      <c r="R5" s="315" t="s">
        <v>524</v>
      </c>
      <c r="S5" s="314" t="s">
        <v>520</v>
      </c>
    </row>
    <row r="6" spans="1:19">
      <c r="A6" s="316"/>
      <c r="B6" s="316"/>
      <c r="C6" s="316"/>
      <c r="D6" s="316"/>
      <c r="E6" s="316"/>
      <c r="F6" s="316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</row>
    <row r="7" spans="1:19" s="313" customFormat="1" ht="16.95" customHeight="1">
      <c r="A7" s="318">
        <v>3</v>
      </c>
      <c r="B7" s="319">
        <f>A7*$C$2/1000</f>
        <v>1.65</v>
      </c>
      <c r="C7" s="320" t="s">
        <v>407</v>
      </c>
      <c r="D7" s="320" t="str">
        <f>$C$1</f>
        <v>LONGI LR5-72HPH 550 (HiMO5 New)  550 Wp</v>
      </c>
      <c r="E7" s="320" t="s">
        <v>408</v>
      </c>
      <c r="F7" s="320" t="s">
        <v>309</v>
      </c>
      <c r="G7" s="321">
        <f>VLOOKUP($C$1,t.mod!$A$2:$H$28,8,)*A7</f>
        <v>280.5</v>
      </c>
      <c r="H7" s="321">
        <f>VLOOKUP(C7,t.inv!$A$2:$H$261,8,)*A7</f>
        <v>395.54999999999995</v>
      </c>
      <c r="I7" s="321">
        <f>VLOOKUP(E7,t.met!$A$2:$F$13,6,)</f>
        <v>301.63</v>
      </c>
      <c r="J7" s="321">
        <f>VLOOKUP(F7,t.est!$A$3:$F$11,6,)*A7</f>
        <v>96</v>
      </c>
      <c r="K7" s="321">
        <f>120+16*A7</f>
        <v>168</v>
      </c>
      <c r="L7" s="321">
        <f>VLOOKUP(A7,t.mon!$A$3:$F$263,6,)</f>
        <v>850</v>
      </c>
      <c r="M7" s="321">
        <f>SUM(G7:L7)</f>
        <v>2091.6799999999998</v>
      </c>
      <c r="N7" s="321">
        <f>VLOOKUP(A7,t.coi!$A$2:$E$263,5)</f>
        <v>700</v>
      </c>
      <c r="O7" s="321">
        <f>M7+N7</f>
        <v>2791.68</v>
      </c>
      <c r="P7" s="321">
        <f>VLOOKUP(A7,t.mar!$A$1:$C$263,3)*O7</f>
        <v>1116.672</v>
      </c>
      <c r="Q7" s="321">
        <f t="shared" ref="Q7:Q18" si="0">p_cee*2</f>
        <v>130</v>
      </c>
      <c r="R7" s="321">
        <f>(O7+P7+Q7)*0.21</f>
        <v>848.05391999999995</v>
      </c>
      <c r="S7" s="321">
        <f>O7+P7+Q7+R7</f>
        <v>4886.4059200000002</v>
      </c>
    </row>
    <row r="8" spans="1:19" s="313" customFormat="1" ht="16.95" customHeight="1">
      <c r="A8" s="322">
        <v>4</v>
      </c>
      <c r="B8" s="323">
        <f t="shared" ref="B8:B42" si="1">A8*$C$2/1000</f>
        <v>2.2000000000000002</v>
      </c>
      <c r="C8" s="320" t="s">
        <v>407</v>
      </c>
      <c r="D8" s="324" t="str">
        <f t="shared" ref="D8:D42" si="2">$C$1</f>
        <v>LONGI LR5-72HPH 550 (HiMO5 New)  550 Wp</v>
      </c>
      <c r="E8" s="320" t="s">
        <v>408</v>
      </c>
      <c r="F8" s="320" t="s">
        <v>309</v>
      </c>
      <c r="G8" s="325">
        <f>VLOOKUP($C$1,t.mod!$A$2:$H$28,8,)*A8</f>
        <v>374</v>
      </c>
      <c r="H8" s="321">
        <f>VLOOKUP(C8,t.inv!$A$2:$H$261,8,)*A8</f>
        <v>527.4</v>
      </c>
      <c r="I8" s="325">
        <f>VLOOKUP(E8,t.met!$A$2:$F$13,6,)</f>
        <v>301.63</v>
      </c>
      <c r="J8" s="325">
        <f>VLOOKUP(F8,t.est!$A$3:$F$11,6,)*A8</f>
        <v>128</v>
      </c>
      <c r="K8" s="325">
        <f t="shared" ref="K8:K18" si="3">120+16*A8</f>
        <v>184</v>
      </c>
      <c r="L8" s="325">
        <f>VLOOKUP(A8,t.mon!$A$3:$F$263,6,)</f>
        <v>850</v>
      </c>
      <c r="M8" s="321">
        <f t="shared" ref="M8:M18" si="4">SUM(G8:L8)</f>
        <v>2365.0299999999997</v>
      </c>
      <c r="N8" s="321">
        <f>VLOOKUP(A8,t.coi!$A$2:$E$263,5)</f>
        <v>700</v>
      </c>
      <c r="O8" s="321">
        <f t="shared" ref="O8:O18" si="5">M8+N8</f>
        <v>3065.0299999999997</v>
      </c>
      <c r="P8" s="321">
        <f>VLOOKUP(A8,t.mar!$A$1:$C$263,3)*O8</f>
        <v>1226.0119999999999</v>
      </c>
      <c r="Q8" s="321">
        <f t="shared" si="0"/>
        <v>130</v>
      </c>
      <c r="R8" s="321">
        <f t="shared" ref="R8:R18" si="6">(O8+P8+Q8)*0.21</f>
        <v>928.41881999999987</v>
      </c>
      <c r="S8" s="321">
        <f t="shared" ref="S8:S42" si="7">O8+P8+Q8+R8</f>
        <v>5349.4608199999993</v>
      </c>
    </row>
    <row r="9" spans="1:19" s="313" customFormat="1" ht="16.95" customHeight="1">
      <c r="A9" s="322">
        <v>5</v>
      </c>
      <c r="B9" s="323">
        <f t="shared" si="1"/>
        <v>2.75</v>
      </c>
      <c r="C9" s="320" t="s">
        <v>407</v>
      </c>
      <c r="D9" s="324" t="str">
        <f t="shared" si="2"/>
        <v>LONGI LR5-72HPH 550 (HiMO5 New)  550 Wp</v>
      </c>
      <c r="E9" s="320" t="s">
        <v>408</v>
      </c>
      <c r="F9" s="320" t="s">
        <v>309</v>
      </c>
      <c r="G9" s="325">
        <f>VLOOKUP($C$1,t.mod!$A$2:$H$28,8,)*A9</f>
        <v>467.5</v>
      </c>
      <c r="H9" s="321">
        <f>VLOOKUP(C9,t.inv!$A$2:$H$261,8,)*A9</f>
        <v>659.25</v>
      </c>
      <c r="I9" s="325">
        <f>VLOOKUP(E9,t.met!$A$2:$F$13,6,)</f>
        <v>301.63</v>
      </c>
      <c r="J9" s="325">
        <f>VLOOKUP(F9,t.est!$A$3:$F$11,6,)*A9</f>
        <v>160</v>
      </c>
      <c r="K9" s="325">
        <f t="shared" si="3"/>
        <v>200</v>
      </c>
      <c r="L9" s="325">
        <f>VLOOKUP(A9,t.mon!$A$3:$F$263,6,)</f>
        <v>900</v>
      </c>
      <c r="M9" s="321">
        <f t="shared" si="4"/>
        <v>2688.38</v>
      </c>
      <c r="N9" s="321">
        <f>VLOOKUP(A9,t.coi!$A$2:$E$263,5)</f>
        <v>800</v>
      </c>
      <c r="O9" s="321">
        <f t="shared" si="5"/>
        <v>3488.38</v>
      </c>
      <c r="P9" s="321">
        <f>VLOOKUP(A9,t.mar!$A$1:$C$263,3)*O9</f>
        <v>1360.4682</v>
      </c>
      <c r="Q9" s="321">
        <f t="shared" si="0"/>
        <v>130</v>
      </c>
      <c r="R9" s="321">
        <f t="shared" si="6"/>
        <v>1045.5581220000001</v>
      </c>
      <c r="S9" s="321">
        <f t="shared" si="7"/>
        <v>6024.4063220000007</v>
      </c>
    </row>
    <row r="10" spans="1:19" s="313" customFormat="1" ht="16.95" customHeight="1">
      <c r="A10" s="322">
        <v>6</v>
      </c>
      <c r="B10" s="323">
        <f t="shared" si="1"/>
        <v>3.3</v>
      </c>
      <c r="C10" s="320" t="s">
        <v>407</v>
      </c>
      <c r="D10" s="324" t="str">
        <f t="shared" si="2"/>
        <v>LONGI LR5-72HPH 550 (HiMO5 New)  550 Wp</v>
      </c>
      <c r="E10" s="320" t="s">
        <v>408</v>
      </c>
      <c r="F10" s="320" t="s">
        <v>309</v>
      </c>
      <c r="G10" s="325">
        <f>VLOOKUP($C$1,t.mod!$A$2:$H$28,8,)*A10</f>
        <v>561</v>
      </c>
      <c r="H10" s="321">
        <f>VLOOKUP(C10,t.inv!$A$2:$H$261,8,)*A10</f>
        <v>791.09999999999991</v>
      </c>
      <c r="I10" s="325">
        <f>VLOOKUP(E10,t.met!$A$2:$F$13,6,)</f>
        <v>301.63</v>
      </c>
      <c r="J10" s="325">
        <f>VLOOKUP(F10,t.est!$A$3:$F$11,6,)*A10</f>
        <v>192</v>
      </c>
      <c r="K10" s="325">
        <f t="shared" si="3"/>
        <v>216</v>
      </c>
      <c r="L10" s="325">
        <f>VLOOKUP(A10,t.mon!$A$3:$F$263,6,)</f>
        <v>1050</v>
      </c>
      <c r="M10" s="321">
        <f t="shared" si="4"/>
        <v>3111.73</v>
      </c>
      <c r="N10" s="321">
        <f>VLOOKUP(A10,t.coi!$A$2:$E$263,5)</f>
        <v>800</v>
      </c>
      <c r="O10" s="321">
        <f t="shared" si="5"/>
        <v>3911.73</v>
      </c>
      <c r="P10" s="321">
        <f>VLOOKUP(A10,t.mar!$A$1:$C$263,3)*O10</f>
        <v>1525.5747000000001</v>
      </c>
      <c r="Q10" s="321">
        <f t="shared" si="0"/>
        <v>130</v>
      </c>
      <c r="R10" s="321">
        <f t="shared" si="6"/>
        <v>1169.1339870000002</v>
      </c>
      <c r="S10" s="321">
        <f t="shared" si="7"/>
        <v>6736.4386870000008</v>
      </c>
    </row>
    <row r="11" spans="1:19" s="313" customFormat="1" ht="16.95" customHeight="1">
      <c r="A11" s="322">
        <v>7</v>
      </c>
      <c r="B11" s="323">
        <f t="shared" si="1"/>
        <v>3.85</v>
      </c>
      <c r="C11" s="320" t="s">
        <v>407</v>
      </c>
      <c r="D11" s="324" t="str">
        <f t="shared" si="2"/>
        <v>LONGI LR5-72HPH 550 (HiMO5 New)  550 Wp</v>
      </c>
      <c r="E11" s="320" t="s">
        <v>408</v>
      </c>
      <c r="F11" s="320" t="s">
        <v>309</v>
      </c>
      <c r="G11" s="325">
        <f>VLOOKUP($C$1,t.mod!$A$2:$H$28,8,)*A11</f>
        <v>654.5</v>
      </c>
      <c r="H11" s="321">
        <f>VLOOKUP(C11,t.inv!$A$2:$H$261,8,)*A11</f>
        <v>922.94999999999993</v>
      </c>
      <c r="I11" s="325">
        <f>VLOOKUP(E11,t.met!$A$2:$F$13,6,)</f>
        <v>301.63</v>
      </c>
      <c r="J11" s="325">
        <f>VLOOKUP(F11,t.est!$A$3:$F$11,6,)*A11</f>
        <v>224</v>
      </c>
      <c r="K11" s="325">
        <f t="shared" si="3"/>
        <v>232</v>
      </c>
      <c r="L11" s="325">
        <f>VLOOKUP(A11,t.mon!$A$3:$F$263,6,)</f>
        <v>1250</v>
      </c>
      <c r="M11" s="321">
        <f t="shared" si="4"/>
        <v>3585.08</v>
      </c>
      <c r="N11" s="321">
        <f>VLOOKUP(A11,t.coi!$A$2:$E$263,5)</f>
        <v>850</v>
      </c>
      <c r="O11" s="321">
        <f t="shared" si="5"/>
        <v>4435.08</v>
      </c>
      <c r="P11" s="321">
        <f>VLOOKUP(A11,t.mar!$A$1:$C$263,3)*O11</f>
        <v>1685.3304000000001</v>
      </c>
      <c r="Q11" s="321">
        <f t="shared" si="0"/>
        <v>130</v>
      </c>
      <c r="R11" s="321">
        <f t="shared" si="6"/>
        <v>1312.586184</v>
      </c>
      <c r="S11" s="321">
        <f t="shared" si="7"/>
        <v>7562.9965839999995</v>
      </c>
    </row>
    <row r="12" spans="1:19" s="313" customFormat="1" ht="16.95" customHeight="1">
      <c r="A12" s="322">
        <v>8</v>
      </c>
      <c r="B12" s="323">
        <f t="shared" si="1"/>
        <v>4.4000000000000004</v>
      </c>
      <c r="C12" s="320" t="s">
        <v>407</v>
      </c>
      <c r="D12" s="324" t="str">
        <f t="shared" si="2"/>
        <v>LONGI LR5-72HPH 550 (HiMO5 New)  550 Wp</v>
      </c>
      <c r="E12" s="320" t="s">
        <v>408</v>
      </c>
      <c r="F12" s="320" t="s">
        <v>309</v>
      </c>
      <c r="G12" s="325">
        <f>VLOOKUP($C$1,t.mod!$A$2:$H$28,8,)*A12</f>
        <v>748</v>
      </c>
      <c r="H12" s="321">
        <f>VLOOKUP(C12,t.inv!$A$2:$H$261,8,)*A12</f>
        <v>1054.8</v>
      </c>
      <c r="I12" s="325">
        <f>VLOOKUP(E12,t.met!$A$2:$F$13,6,)</f>
        <v>301.63</v>
      </c>
      <c r="J12" s="325">
        <f>VLOOKUP(F12,t.est!$A$3:$F$11,6,)*A12</f>
        <v>256</v>
      </c>
      <c r="K12" s="325">
        <f t="shared" si="3"/>
        <v>248</v>
      </c>
      <c r="L12" s="325">
        <f>VLOOKUP(A12,t.mon!$A$3:$F$263,6,)</f>
        <v>1250</v>
      </c>
      <c r="M12" s="321">
        <f t="shared" si="4"/>
        <v>3858.43</v>
      </c>
      <c r="N12" s="321">
        <f>VLOOKUP(A12,t.coi!$A$2:$E$263,5)</f>
        <v>850</v>
      </c>
      <c r="O12" s="321">
        <f t="shared" si="5"/>
        <v>4708.43</v>
      </c>
      <c r="P12" s="321">
        <f>VLOOKUP(A12,t.mar!$A$1:$C$263,3)*O12</f>
        <v>1789.2034000000001</v>
      </c>
      <c r="Q12" s="321">
        <f t="shared" si="0"/>
        <v>130</v>
      </c>
      <c r="R12" s="321">
        <f t="shared" si="6"/>
        <v>1391.8030140000001</v>
      </c>
      <c r="S12" s="321">
        <f t="shared" si="7"/>
        <v>8019.4364140000007</v>
      </c>
    </row>
    <row r="13" spans="1:19" s="313" customFormat="1" ht="16.95" customHeight="1">
      <c r="A13" s="322">
        <v>9</v>
      </c>
      <c r="B13" s="323">
        <f t="shared" si="1"/>
        <v>4.95</v>
      </c>
      <c r="C13" s="320" t="s">
        <v>407</v>
      </c>
      <c r="D13" s="324" t="str">
        <f t="shared" si="2"/>
        <v>LONGI LR5-72HPH 550 (HiMO5 New)  550 Wp</v>
      </c>
      <c r="E13" s="320" t="s">
        <v>408</v>
      </c>
      <c r="F13" s="320" t="s">
        <v>309</v>
      </c>
      <c r="G13" s="325">
        <f>VLOOKUP($C$1,t.mod!$A$2:$H$28,8,)*A13</f>
        <v>841.5</v>
      </c>
      <c r="H13" s="321">
        <f>VLOOKUP(C13,t.inv!$A$2:$H$261,8,)*A13</f>
        <v>1186.6499999999999</v>
      </c>
      <c r="I13" s="325">
        <f>VLOOKUP(E13,t.met!$A$2:$F$13,6,)</f>
        <v>301.63</v>
      </c>
      <c r="J13" s="325">
        <f>VLOOKUP(F13,t.est!$A$3:$F$11,6,)*A13</f>
        <v>288</v>
      </c>
      <c r="K13" s="325">
        <f t="shared" si="3"/>
        <v>264</v>
      </c>
      <c r="L13" s="325">
        <f>VLOOKUP(A13,t.mon!$A$3:$F$263,6,)</f>
        <v>1350</v>
      </c>
      <c r="M13" s="321">
        <f t="shared" si="4"/>
        <v>4231.78</v>
      </c>
      <c r="N13" s="321">
        <f>VLOOKUP(A13,t.coi!$A$2:$E$263,5)</f>
        <v>900</v>
      </c>
      <c r="O13" s="321">
        <f t="shared" si="5"/>
        <v>5131.78</v>
      </c>
      <c r="P13" s="321">
        <f>VLOOKUP(A13,t.mar!$A$1:$C$263,3)*O13</f>
        <v>1898.7585999999999</v>
      </c>
      <c r="Q13" s="321">
        <f t="shared" si="0"/>
        <v>130</v>
      </c>
      <c r="R13" s="321">
        <f t="shared" si="6"/>
        <v>1503.7131059999999</v>
      </c>
      <c r="S13" s="321">
        <f t="shared" si="7"/>
        <v>8664.2517059999991</v>
      </c>
    </row>
    <row r="14" spans="1:19" s="313" customFormat="1" ht="16.95" customHeight="1">
      <c r="A14" s="322">
        <v>10</v>
      </c>
      <c r="B14" s="323">
        <f t="shared" si="1"/>
        <v>5.5</v>
      </c>
      <c r="C14" s="320" t="s">
        <v>407</v>
      </c>
      <c r="D14" s="324" t="str">
        <f t="shared" si="2"/>
        <v>LONGI LR5-72HPH 550 (HiMO5 New)  550 Wp</v>
      </c>
      <c r="E14" s="320" t="s">
        <v>408</v>
      </c>
      <c r="F14" s="320" t="s">
        <v>309</v>
      </c>
      <c r="G14" s="325">
        <f>VLOOKUP($C$1,t.mod!$A$2:$H$28,8,)*A14</f>
        <v>935</v>
      </c>
      <c r="H14" s="321">
        <f>VLOOKUP(C14,t.inv!$A$2:$H$261,8,)*A14</f>
        <v>1318.5</v>
      </c>
      <c r="I14" s="325">
        <f>VLOOKUP(E14,t.met!$A$2:$F$13,6,)</f>
        <v>301.63</v>
      </c>
      <c r="J14" s="325">
        <f>VLOOKUP(F14,t.est!$A$3:$F$11,6,)*A14</f>
        <v>320</v>
      </c>
      <c r="K14" s="325">
        <f t="shared" si="3"/>
        <v>280</v>
      </c>
      <c r="L14" s="325">
        <f>VLOOKUP(A14,t.mon!$A$3:$F$263,6,)</f>
        <v>1400</v>
      </c>
      <c r="M14" s="321">
        <f t="shared" si="4"/>
        <v>4555.13</v>
      </c>
      <c r="N14" s="321">
        <f>VLOOKUP(A14,t.coi!$A$2:$E$263,5)</f>
        <v>950</v>
      </c>
      <c r="O14" s="321">
        <f t="shared" si="5"/>
        <v>5505.13</v>
      </c>
      <c r="P14" s="321">
        <f>VLOOKUP(A14,t.mar!$A$1:$C$263,3)*O14</f>
        <v>2036.8981000000001</v>
      </c>
      <c r="Q14" s="321">
        <f t="shared" si="0"/>
        <v>130</v>
      </c>
      <c r="R14" s="321">
        <f t="shared" si="6"/>
        <v>1611.1259010000001</v>
      </c>
      <c r="S14" s="321">
        <f t="shared" si="7"/>
        <v>9283.1540010000008</v>
      </c>
    </row>
    <row r="15" spans="1:19" s="313" customFormat="1" ht="16.95" customHeight="1">
      <c r="A15" s="322">
        <v>11</v>
      </c>
      <c r="B15" s="323">
        <f t="shared" si="1"/>
        <v>6.05</v>
      </c>
      <c r="C15" s="320" t="s">
        <v>407</v>
      </c>
      <c r="D15" s="324" t="str">
        <f t="shared" si="2"/>
        <v>LONGI LR5-72HPH 550 (HiMO5 New)  550 Wp</v>
      </c>
      <c r="E15" s="320" t="s">
        <v>408</v>
      </c>
      <c r="F15" s="320" t="s">
        <v>309</v>
      </c>
      <c r="G15" s="325">
        <f>VLOOKUP($C$1,t.mod!$A$2:$H$28,8,)*A15</f>
        <v>1028.5</v>
      </c>
      <c r="H15" s="321">
        <f>VLOOKUP(C15,t.inv!$A$2:$H$261,8,)*A15</f>
        <v>1450.35</v>
      </c>
      <c r="I15" s="325">
        <f>VLOOKUP(E15,t.met!$A$2:$F$13,6,)</f>
        <v>301.63</v>
      </c>
      <c r="J15" s="325">
        <f>VLOOKUP(F15,t.est!$A$3:$F$11,6,)*A15</f>
        <v>352</v>
      </c>
      <c r="K15" s="325">
        <f t="shared" si="3"/>
        <v>296</v>
      </c>
      <c r="L15" s="325">
        <f>VLOOKUP(A15,t.mon!$A$3:$F$263,6,)</f>
        <v>1400</v>
      </c>
      <c r="M15" s="321">
        <f t="shared" si="4"/>
        <v>4828.4799999999996</v>
      </c>
      <c r="N15" s="321">
        <f>VLOOKUP(A15,t.coi!$A$2:$E$263,5)</f>
        <v>950</v>
      </c>
      <c r="O15" s="321">
        <f t="shared" si="5"/>
        <v>5778.48</v>
      </c>
      <c r="P15" s="321">
        <f>VLOOKUP(A15,t.mar!$A$1:$C$263,3)*O15</f>
        <v>2138.0375999999997</v>
      </c>
      <c r="Q15" s="321">
        <f t="shared" si="0"/>
        <v>130</v>
      </c>
      <c r="R15" s="321">
        <f t="shared" si="6"/>
        <v>1689.7686959999999</v>
      </c>
      <c r="S15" s="321">
        <f t="shared" si="7"/>
        <v>9736.2862959999984</v>
      </c>
    </row>
    <row r="16" spans="1:19" s="313" customFormat="1" ht="16.95" customHeight="1">
      <c r="A16" s="322">
        <v>12</v>
      </c>
      <c r="B16" s="323">
        <f t="shared" si="1"/>
        <v>6.6</v>
      </c>
      <c r="C16" s="320" t="s">
        <v>407</v>
      </c>
      <c r="D16" s="324" t="str">
        <f t="shared" si="2"/>
        <v>LONGI LR5-72HPH 550 (HiMO5 New)  550 Wp</v>
      </c>
      <c r="E16" s="320" t="s">
        <v>408</v>
      </c>
      <c r="F16" s="320" t="s">
        <v>309</v>
      </c>
      <c r="G16" s="325">
        <f>VLOOKUP($C$1,t.mod!$A$2:$H$28,8,)*A16</f>
        <v>1122</v>
      </c>
      <c r="H16" s="321">
        <f>VLOOKUP(C16,t.inv!$A$2:$H$261,8,)*A16</f>
        <v>1582.1999999999998</v>
      </c>
      <c r="I16" s="325">
        <f>VLOOKUP(E16,t.met!$A$2:$F$13,6,)</f>
        <v>301.63</v>
      </c>
      <c r="J16" s="325">
        <f>VLOOKUP(F16,t.est!$A$3:$F$11,6,)*A16</f>
        <v>384</v>
      </c>
      <c r="K16" s="325">
        <f t="shared" si="3"/>
        <v>312</v>
      </c>
      <c r="L16" s="325">
        <f>VLOOKUP(A16,t.mon!$A$3:$F$263,6,)</f>
        <v>1450</v>
      </c>
      <c r="M16" s="321">
        <f t="shared" si="4"/>
        <v>5151.83</v>
      </c>
      <c r="N16" s="321">
        <f>VLOOKUP(A16,t.coi!$A$2:$E$263,5)</f>
        <v>1000</v>
      </c>
      <c r="O16" s="321">
        <f t="shared" si="5"/>
        <v>6151.83</v>
      </c>
      <c r="P16" s="321">
        <f>VLOOKUP(A16,t.mar!$A$1:$C$263,3)*O16</f>
        <v>2276.1770999999999</v>
      </c>
      <c r="Q16" s="321">
        <f t="shared" si="0"/>
        <v>130</v>
      </c>
      <c r="R16" s="321">
        <f t="shared" si="6"/>
        <v>1797.1814909999996</v>
      </c>
      <c r="S16" s="321">
        <f t="shared" si="7"/>
        <v>10355.188590999998</v>
      </c>
    </row>
    <row r="17" spans="1:19" s="313" customFormat="1" ht="16.95" customHeight="1">
      <c r="A17" s="322">
        <v>13</v>
      </c>
      <c r="B17" s="323">
        <f t="shared" si="1"/>
        <v>7.15</v>
      </c>
      <c r="C17" s="320" t="s">
        <v>407</v>
      </c>
      <c r="D17" s="324" t="str">
        <f t="shared" si="2"/>
        <v>LONGI LR5-72HPH 550 (HiMO5 New)  550 Wp</v>
      </c>
      <c r="E17" s="320" t="s">
        <v>408</v>
      </c>
      <c r="F17" s="320" t="s">
        <v>309</v>
      </c>
      <c r="G17" s="325">
        <f>VLOOKUP($C$1,t.mod!$A$2:$H$28,8,)*A17</f>
        <v>1215.5</v>
      </c>
      <c r="H17" s="321">
        <f>VLOOKUP(C17,t.inv!$A$2:$H$261,8,)*A17</f>
        <v>1714.05</v>
      </c>
      <c r="I17" s="325">
        <f>VLOOKUP(E17,t.met!$A$2:$F$13,6,)</f>
        <v>301.63</v>
      </c>
      <c r="J17" s="325">
        <f>VLOOKUP(F17,t.est!$A$3:$F$11,6,)*A17</f>
        <v>416</v>
      </c>
      <c r="K17" s="325">
        <f t="shared" si="3"/>
        <v>328</v>
      </c>
      <c r="L17" s="325">
        <f>VLOOKUP(A17,t.mon!$A$3:$F$263,6,)</f>
        <v>1450</v>
      </c>
      <c r="M17" s="321">
        <f t="shared" si="4"/>
        <v>5425.18</v>
      </c>
      <c r="N17" s="321">
        <f>VLOOKUP(A17,t.coi!$A$2:$E$263,5)</f>
        <v>1000</v>
      </c>
      <c r="O17" s="321">
        <f t="shared" si="5"/>
        <v>6425.18</v>
      </c>
      <c r="P17" s="321">
        <f>VLOOKUP(A17,t.mar!$A$1:$C$263,3)*O17</f>
        <v>2377.3166000000001</v>
      </c>
      <c r="Q17" s="321">
        <f t="shared" si="0"/>
        <v>130</v>
      </c>
      <c r="R17" s="321">
        <f t="shared" si="6"/>
        <v>1875.824286</v>
      </c>
      <c r="S17" s="321">
        <f t="shared" si="7"/>
        <v>10808.320886000001</v>
      </c>
    </row>
    <row r="18" spans="1:19" s="313" customFormat="1" ht="16.95" customHeight="1">
      <c r="A18" s="322">
        <v>14</v>
      </c>
      <c r="B18" s="323">
        <f t="shared" si="1"/>
        <v>7.7</v>
      </c>
      <c r="C18" s="320" t="s">
        <v>407</v>
      </c>
      <c r="D18" s="324" t="str">
        <f t="shared" si="2"/>
        <v>LONGI LR5-72HPH 550 (HiMO5 New)  550 Wp</v>
      </c>
      <c r="E18" s="320" t="s">
        <v>408</v>
      </c>
      <c r="F18" s="320" t="s">
        <v>309</v>
      </c>
      <c r="G18" s="325">
        <f>VLOOKUP($C$1,t.mod!$A$2:$H$28,8,)*A18</f>
        <v>1309</v>
      </c>
      <c r="H18" s="321">
        <f>VLOOKUP(C18,t.inv!$A$2:$H$261,8,)*A18</f>
        <v>1845.8999999999999</v>
      </c>
      <c r="I18" s="325">
        <f>VLOOKUP(E18,t.met!$A$2:$F$13,6,)</f>
        <v>301.63</v>
      </c>
      <c r="J18" s="325">
        <f>VLOOKUP(F18,t.est!$A$3:$F$11,6,)*A18</f>
        <v>448</v>
      </c>
      <c r="K18" s="325">
        <f t="shared" si="3"/>
        <v>344</v>
      </c>
      <c r="L18" s="325">
        <f>VLOOKUP(A18,t.mon!$A$3:$F$263,6,)</f>
        <v>1500</v>
      </c>
      <c r="M18" s="321">
        <f t="shared" si="4"/>
        <v>5748.53</v>
      </c>
      <c r="N18" s="321">
        <f>VLOOKUP(A18,t.coi!$A$2:$E$263,5)</f>
        <v>1100</v>
      </c>
      <c r="O18" s="321">
        <f t="shared" si="5"/>
        <v>6848.53</v>
      </c>
      <c r="P18" s="321">
        <f>VLOOKUP(A18,t.mar!$A$1:$C$263,3)*O18</f>
        <v>2533.9560999999999</v>
      </c>
      <c r="Q18" s="321">
        <f t="shared" si="0"/>
        <v>130</v>
      </c>
      <c r="R18" s="321">
        <f t="shared" si="6"/>
        <v>1997.622081</v>
      </c>
      <c r="S18" s="321">
        <f t="shared" si="7"/>
        <v>11510.108181</v>
      </c>
    </row>
    <row r="19" spans="1:19" ht="33" customHeight="1">
      <c r="A19" s="316"/>
      <c r="B19" s="316"/>
      <c r="C19" s="316"/>
      <c r="D19" s="316"/>
      <c r="E19" s="316"/>
      <c r="F19" s="316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</row>
    <row r="20" spans="1:19" s="313" customFormat="1" ht="16.95" customHeight="1">
      <c r="A20" s="318">
        <v>4</v>
      </c>
      <c r="B20" s="319">
        <f t="shared" si="1"/>
        <v>2.2000000000000002</v>
      </c>
      <c r="C20" s="320" t="s">
        <v>407</v>
      </c>
      <c r="D20" s="320" t="str">
        <f t="shared" si="2"/>
        <v>LONGI LR5-72HPH 550 (HiMO5 New)  550 Wp</v>
      </c>
      <c r="E20" s="320" t="s">
        <v>408</v>
      </c>
      <c r="F20" s="320" t="s">
        <v>309</v>
      </c>
      <c r="G20" s="321">
        <f>VLOOKUP($C$1,t.mod!$A$2:$H$28,8,)*A20</f>
        <v>374</v>
      </c>
      <c r="H20" s="321">
        <f>VLOOKUP(C20,t.inv!$A$2:$H$261,8,)*A20</f>
        <v>527.4</v>
      </c>
      <c r="I20" s="321">
        <f>VLOOKUP(E20,t.met!$A$2:$F$13,6,)</f>
        <v>301.63</v>
      </c>
      <c r="J20" s="321">
        <f>VLOOKUP(F20,t.est!$A$3:$F$11,6,)*A20</f>
        <v>128</v>
      </c>
      <c r="K20" s="321">
        <f t="shared" ref="K20:K42" si="8">120+16*A20</f>
        <v>184</v>
      </c>
      <c r="L20" s="321">
        <f>VLOOKUP(A20,t.mon!$A$3:$F$263,6,)</f>
        <v>850</v>
      </c>
      <c r="M20" s="321">
        <f t="shared" ref="M20:M42" si="9">SUM(G20:L20)</f>
        <v>2365.0299999999997</v>
      </c>
      <c r="N20" s="321">
        <f>VLOOKUP(A20,t.coi!$A$2:$E$263,5)</f>
        <v>700</v>
      </c>
      <c r="O20" s="321">
        <f t="shared" ref="O20:O42" si="10">M20+N20</f>
        <v>3065.0299999999997</v>
      </c>
      <c r="P20" s="321">
        <f>VLOOKUP(A20,t.mar!$A$1:$C$263,3)*O20</f>
        <v>1226.0119999999999</v>
      </c>
      <c r="Q20" s="321">
        <f t="shared" ref="Q20:Q42" si="11">p_cee*2</f>
        <v>130</v>
      </c>
      <c r="R20" s="321">
        <f t="shared" ref="R20:R42" si="12">(O20+P20+Q20)*0.21</f>
        <v>928.41881999999987</v>
      </c>
      <c r="S20" s="321">
        <f t="shared" si="7"/>
        <v>5349.4608199999993</v>
      </c>
    </row>
    <row r="21" spans="1:19" s="313" customFormat="1" ht="16.95" customHeight="1">
      <c r="A21" s="322">
        <v>5</v>
      </c>
      <c r="B21" s="323">
        <f t="shared" si="1"/>
        <v>2.75</v>
      </c>
      <c r="C21" s="320" t="s">
        <v>407</v>
      </c>
      <c r="D21" s="324" t="str">
        <f t="shared" si="2"/>
        <v>LONGI LR5-72HPH 550 (HiMO5 New)  550 Wp</v>
      </c>
      <c r="E21" s="320" t="s">
        <v>408</v>
      </c>
      <c r="F21" s="320" t="s">
        <v>309</v>
      </c>
      <c r="G21" s="325">
        <f>VLOOKUP($C$1,t.mod!$A$2:$H$28,8,)*A21</f>
        <v>467.5</v>
      </c>
      <c r="H21" s="321">
        <f>VLOOKUP(C21,t.inv!$A$2:$H$261,8,)*A21</f>
        <v>659.25</v>
      </c>
      <c r="I21" s="325">
        <f>VLOOKUP(E21,t.met!$A$2:$F$13,6,)</f>
        <v>301.63</v>
      </c>
      <c r="J21" s="325">
        <f>VLOOKUP(F21,t.est!$A$3:$F$11,6,)*A21</f>
        <v>160</v>
      </c>
      <c r="K21" s="325">
        <f t="shared" si="8"/>
        <v>200</v>
      </c>
      <c r="L21" s="325">
        <f>VLOOKUP(A21,t.mon!$A$3:$F$263,6,)</f>
        <v>900</v>
      </c>
      <c r="M21" s="321">
        <f t="shared" si="9"/>
        <v>2688.38</v>
      </c>
      <c r="N21" s="321">
        <f>VLOOKUP(A21,t.coi!$A$2:$E$263,5)</f>
        <v>800</v>
      </c>
      <c r="O21" s="321">
        <f t="shared" si="10"/>
        <v>3488.38</v>
      </c>
      <c r="P21" s="321">
        <f>VLOOKUP(A21,t.mar!$A$1:$C$263,3)*O21</f>
        <v>1360.4682</v>
      </c>
      <c r="Q21" s="321">
        <f t="shared" si="11"/>
        <v>130</v>
      </c>
      <c r="R21" s="321">
        <f t="shared" si="12"/>
        <v>1045.5581220000001</v>
      </c>
      <c r="S21" s="321">
        <f t="shared" si="7"/>
        <v>6024.4063220000007</v>
      </c>
    </row>
    <row r="22" spans="1:19" s="313" customFormat="1" ht="16.95" customHeight="1">
      <c r="A22" s="322">
        <v>6</v>
      </c>
      <c r="B22" s="323">
        <f t="shared" si="1"/>
        <v>3.3</v>
      </c>
      <c r="C22" s="320" t="s">
        <v>407</v>
      </c>
      <c r="D22" s="324" t="str">
        <f t="shared" si="2"/>
        <v>LONGI LR5-72HPH 550 (HiMO5 New)  550 Wp</v>
      </c>
      <c r="E22" s="320" t="s">
        <v>408</v>
      </c>
      <c r="F22" s="320" t="s">
        <v>309</v>
      </c>
      <c r="G22" s="325">
        <f>VLOOKUP($C$1,t.mod!$A$2:$H$28,8,)*A22</f>
        <v>561</v>
      </c>
      <c r="H22" s="321">
        <f>VLOOKUP(C22,t.inv!$A$2:$H$261,8,)*A22</f>
        <v>791.09999999999991</v>
      </c>
      <c r="I22" s="325">
        <f>VLOOKUP(E22,t.met!$A$2:$F$13,6,)</f>
        <v>301.63</v>
      </c>
      <c r="J22" s="325">
        <f>VLOOKUP(F22,t.est!$A$3:$F$11,6,)*A22</f>
        <v>192</v>
      </c>
      <c r="K22" s="325">
        <f t="shared" si="8"/>
        <v>216</v>
      </c>
      <c r="L22" s="325">
        <f>VLOOKUP(A22,t.mon!$A$3:$F$263,6,)</f>
        <v>1050</v>
      </c>
      <c r="M22" s="321">
        <f t="shared" si="9"/>
        <v>3111.73</v>
      </c>
      <c r="N22" s="321">
        <f>VLOOKUP(A22,t.coi!$A$2:$E$263,5)</f>
        <v>800</v>
      </c>
      <c r="O22" s="321">
        <f t="shared" si="10"/>
        <v>3911.73</v>
      </c>
      <c r="P22" s="321">
        <f>VLOOKUP(A22,t.mar!$A$1:$C$263,3)*O22</f>
        <v>1525.5747000000001</v>
      </c>
      <c r="Q22" s="321">
        <f t="shared" si="11"/>
        <v>130</v>
      </c>
      <c r="R22" s="321">
        <f t="shared" si="12"/>
        <v>1169.1339870000002</v>
      </c>
      <c r="S22" s="321">
        <f t="shared" si="7"/>
        <v>6736.4386870000008</v>
      </c>
    </row>
    <row r="23" spans="1:19" s="313" customFormat="1" ht="16.95" customHeight="1">
      <c r="A23" s="322">
        <v>7</v>
      </c>
      <c r="B23" s="323">
        <f t="shared" si="1"/>
        <v>3.85</v>
      </c>
      <c r="C23" s="320" t="s">
        <v>407</v>
      </c>
      <c r="D23" s="324" t="str">
        <f t="shared" si="2"/>
        <v>LONGI LR5-72HPH 550 (HiMO5 New)  550 Wp</v>
      </c>
      <c r="E23" s="320" t="s">
        <v>408</v>
      </c>
      <c r="F23" s="320" t="s">
        <v>309</v>
      </c>
      <c r="G23" s="325">
        <f>VLOOKUP($C$1,t.mod!$A$2:$H$28,8,)*A23</f>
        <v>654.5</v>
      </c>
      <c r="H23" s="321">
        <f>VLOOKUP(C23,t.inv!$A$2:$H$261,8,)*A23</f>
        <v>922.94999999999993</v>
      </c>
      <c r="I23" s="325">
        <f>VLOOKUP(E23,t.met!$A$2:$F$13,6,)</f>
        <v>301.63</v>
      </c>
      <c r="J23" s="325">
        <f>VLOOKUP(F23,t.est!$A$3:$F$11,6,)*A23</f>
        <v>224</v>
      </c>
      <c r="K23" s="325">
        <f t="shared" si="8"/>
        <v>232</v>
      </c>
      <c r="L23" s="325">
        <f>VLOOKUP(A23,t.mon!$A$3:$F$263,6,)</f>
        <v>1250</v>
      </c>
      <c r="M23" s="321">
        <f t="shared" si="9"/>
        <v>3585.08</v>
      </c>
      <c r="N23" s="321">
        <f>VLOOKUP(A23,t.coi!$A$2:$E$263,5)</f>
        <v>850</v>
      </c>
      <c r="O23" s="321">
        <f t="shared" si="10"/>
        <v>4435.08</v>
      </c>
      <c r="P23" s="321">
        <f>VLOOKUP(A23,t.mar!$A$1:$C$263,3)*O23</f>
        <v>1685.3304000000001</v>
      </c>
      <c r="Q23" s="321">
        <f t="shared" si="11"/>
        <v>130</v>
      </c>
      <c r="R23" s="321">
        <f t="shared" si="12"/>
        <v>1312.586184</v>
      </c>
      <c r="S23" s="321">
        <f t="shared" si="7"/>
        <v>7562.9965839999995</v>
      </c>
    </row>
    <row r="24" spans="1:19" s="313" customFormat="1" ht="16.95" customHeight="1">
      <c r="A24" s="322">
        <v>8</v>
      </c>
      <c r="B24" s="323">
        <f t="shared" si="1"/>
        <v>4.4000000000000004</v>
      </c>
      <c r="C24" s="320" t="s">
        <v>407</v>
      </c>
      <c r="D24" s="324" t="str">
        <f t="shared" si="2"/>
        <v>LONGI LR5-72HPH 550 (HiMO5 New)  550 Wp</v>
      </c>
      <c r="E24" s="320" t="s">
        <v>408</v>
      </c>
      <c r="F24" s="320" t="s">
        <v>309</v>
      </c>
      <c r="G24" s="325">
        <f>VLOOKUP($C$1,t.mod!$A$2:$H$28,8,)*A24</f>
        <v>748</v>
      </c>
      <c r="H24" s="321">
        <f>VLOOKUP(C24,t.inv!$A$2:$H$261,8,)*A24</f>
        <v>1054.8</v>
      </c>
      <c r="I24" s="325">
        <f>VLOOKUP(E24,t.met!$A$2:$F$13,6,)</f>
        <v>301.63</v>
      </c>
      <c r="J24" s="325">
        <f>VLOOKUP(F24,t.est!$A$3:$F$11,6,)*A24</f>
        <v>256</v>
      </c>
      <c r="K24" s="325">
        <f t="shared" si="8"/>
        <v>248</v>
      </c>
      <c r="L24" s="325">
        <f>VLOOKUP(A24,t.mon!$A$3:$F$263,6,)</f>
        <v>1250</v>
      </c>
      <c r="M24" s="321">
        <f t="shared" si="9"/>
        <v>3858.43</v>
      </c>
      <c r="N24" s="321">
        <f>VLOOKUP(A24,t.coi!$A$2:$E$263,5)</f>
        <v>850</v>
      </c>
      <c r="O24" s="321">
        <f t="shared" si="10"/>
        <v>4708.43</v>
      </c>
      <c r="P24" s="321">
        <f>VLOOKUP(A24,t.mar!$A$1:$C$263,3)*O24</f>
        <v>1789.2034000000001</v>
      </c>
      <c r="Q24" s="321">
        <f t="shared" si="11"/>
        <v>130</v>
      </c>
      <c r="R24" s="321">
        <f t="shared" si="12"/>
        <v>1391.8030140000001</v>
      </c>
      <c r="S24" s="321">
        <f t="shared" si="7"/>
        <v>8019.4364140000007</v>
      </c>
    </row>
    <row r="25" spans="1:19" s="313" customFormat="1" ht="16.95" customHeight="1">
      <c r="A25" s="322">
        <v>9</v>
      </c>
      <c r="B25" s="323">
        <f t="shared" si="1"/>
        <v>4.95</v>
      </c>
      <c r="C25" s="320" t="s">
        <v>407</v>
      </c>
      <c r="D25" s="324" t="str">
        <f t="shared" si="2"/>
        <v>LONGI LR5-72HPH 550 (HiMO5 New)  550 Wp</v>
      </c>
      <c r="E25" s="320" t="s">
        <v>408</v>
      </c>
      <c r="F25" s="320" t="s">
        <v>309</v>
      </c>
      <c r="G25" s="325">
        <f>VLOOKUP($C$1,t.mod!$A$2:$H$28,8,)*A25</f>
        <v>841.5</v>
      </c>
      <c r="H25" s="321">
        <f>VLOOKUP(C25,t.inv!$A$2:$H$261,8,)*A25</f>
        <v>1186.6499999999999</v>
      </c>
      <c r="I25" s="325">
        <f>VLOOKUP(E25,t.met!$A$2:$F$13,6,)</f>
        <v>301.63</v>
      </c>
      <c r="J25" s="325">
        <f>VLOOKUP(F25,t.est!$A$3:$F$11,6,)*A25</f>
        <v>288</v>
      </c>
      <c r="K25" s="325">
        <f t="shared" si="8"/>
        <v>264</v>
      </c>
      <c r="L25" s="325">
        <f>VLOOKUP(A25,t.mon!$A$3:$F$263,6,)</f>
        <v>1350</v>
      </c>
      <c r="M25" s="321">
        <f t="shared" si="9"/>
        <v>4231.78</v>
      </c>
      <c r="N25" s="321">
        <f>VLOOKUP(A25,t.coi!$A$2:$E$263,5)</f>
        <v>900</v>
      </c>
      <c r="O25" s="321">
        <f t="shared" si="10"/>
        <v>5131.78</v>
      </c>
      <c r="P25" s="321">
        <f>VLOOKUP(A25,t.mar!$A$1:$C$263,3)*O25</f>
        <v>1898.7585999999999</v>
      </c>
      <c r="Q25" s="321">
        <f t="shared" si="11"/>
        <v>130</v>
      </c>
      <c r="R25" s="321">
        <f t="shared" si="12"/>
        <v>1503.7131059999999</v>
      </c>
      <c r="S25" s="321">
        <f t="shared" si="7"/>
        <v>8664.2517059999991</v>
      </c>
    </row>
    <row r="26" spans="1:19" s="313" customFormat="1" ht="16.95" customHeight="1">
      <c r="A26" s="322">
        <v>10</v>
      </c>
      <c r="B26" s="323">
        <f t="shared" si="1"/>
        <v>5.5</v>
      </c>
      <c r="C26" s="320" t="s">
        <v>407</v>
      </c>
      <c r="D26" s="324" t="str">
        <f t="shared" si="2"/>
        <v>LONGI LR5-72HPH 550 (HiMO5 New)  550 Wp</v>
      </c>
      <c r="E26" s="320" t="s">
        <v>408</v>
      </c>
      <c r="F26" s="320" t="s">
        <v>309</v>
      </c>
      <c r="G26" s="325">
        <f>VLOOKUP($C$1,t.mod!$A$2:$H$28,8,)*A26</f>
        <v>935</v>
      </c>
      <c r="H26" s="321">
        <f>VLOOKUP(C26,t.inv!$A$2:$H$261,8,)*A26</f>
        <v>1318.5</v>
      </c>
      <c r="I26" s="325">
        <f>VLOOKUP(E26,t.met!$A$2:$F$13,6,)</f>
        <v>301.63</v>
      </c>
      <c r="J26" s="325">
        <f>VLOOKUP(F26,t.est!$A$3:$F$11,6,)*A26</f>
        <v>320</v>
      </c>
      <c r="K26" s="325">
        <f t="shared" si="8"/>
        <v>280</v>
      </c>
      <c r="L26" s="325">
        <f>VLOOKUP(A26,t.mon!$A$3:$F$263,6,)</f>
        <v>1400</v>
      </c>
      <c r="M26" s="321">
        <f t="shared" si="9"/>
        <v>4555.13</v>
      </c>
      <c r="N26" s="321">
        <f>VLOOKUP(A26,t.coi!$A$2:$E$263,5)</f>
        <v>950</v>
      </c>
      <c r="O26" s="321">
        <f t="shared" si="10"/>
        <v>5505.13</v>
      </c>
      <c r="P26" s="321">
        <f>VLOOKUP(A26,t.mar!$A$1:$C$263,3)*O26</f>
        <v>2036.8981000000001</v>
      </c>
      <c r="Q26" s="321">
        <f t="shared" si="11"/>
        <v>130</v>
      </c>
      <c r="R26" s="321">
        <f t="shared" si="12"/>
        <v>1611.1259010000001</v>
      </c>
      <c r="S26" s="321">
        <f t="shared" si="7"/>
        <v>9283.1540010000008</v>
      </c>
    </row>
    <row r="27" spans="1:19" s="313" customFormat="1" ht="16.95" customHeight="1">
      <c r="A27" s="322">
        <v>11</v>
      </c>
      <c r="B27" s="323">
        <f t="shared" si="1"/>
        <v>6.05</v>
      </c>
      <c r="C27" s="320" t="s">
        <v>407</v>
      </c>
      <c r="D27" s="324" t="str">
        <f t="shared" si="2"/>
        <v>LONGI LR5-72HPH 550 (HiMO5 New)  550 Wp</v>
      </c>
      <c r="E27" s="320" t="s">
        <v>408</v>
      </c>
      <c r="F27" s="320" t="s">
        <v>309</v>
      </c>
      <c r="G27" s="325">
        <f>VLOOKUP($C$1,t.mod!$A$2:$H$28,8,)*A27</f>
        <v>1028.5</v>
      </c>
      <c r="H27" s="321">
        <f>VLOOKUP(C27,t.inv!$A$2:$H$261,8,)*A27</f>
        <v>1450.35</v>
      </c>
      <c r="I27" s="325">
        <f>VLOOKUP(E27,t.met!$A$2:$F$13,6,)</f>
        <v>301.63</v>
      </c>
      <c r="J27" s="325">
        <f>VLOOKUP(F27,t.est!$A$3:$F$11,6,)*A27</f>
        <v>352</v>
      </c>
      <c r="K27" s="325">
        <f t="shared" si="8"/>
        <v>296</v>
      </c>
      <c r="L27" s="325">
        <f>VLOOKUP(A27,t.mon!$A$3:$F$263,6,)</f>
        <v>1400</v>
      </c>
      <c r="M27" s="321">
        <f t="shared" si="9"/>
        <v>4828.4799999999996</v>
      </c>
      <c r="N27" s="321">
        <f>VLOOKUP(A27,t.coi!$A$2:$E$263,5)</f>
        <v>950</v>
      </c>
      <c r="O27" s="321">
        <f t="shared" si="10"/>
        <v>5778.48</v>
      </c>
      <c r="P27" s="321">
        <f>VLOOKUP(A27,t.mar!$A$1:$C$263,3)*O27</f>
        <v>2138.0375999999997</v>
      </c>
      <c r="Q27" s="321">
        <f t="shared" si="11"/>
        <v>130</v>
      </c>
      <c r="R27" s="321">
        <f t="shared" si="12"/>
        <v>1689.7686959999999</v>
      </c>
      <c r="S27" s="321">
        <f t="shared" si="7"/>
        <v>9736.2862959999984</v>
      </c>
    </row>
    <row r="28" spans="1:19" s="313" customFormat="1" ht="16.95" customHeight="1">
      <c r="A28" s="322">
        <v>12</v>
      </c>
      <c r="B28" s="323">
        <f t="shared" si="1"/>
        <v>6.6</v>
      </c>
      <c r="C28" s="320" t="s">
        <v>407</v>
      </c>
      <c r="D28" s="324" t="str">
        <f t="shared" si="2"/>
        <v>LONGI LR5-72HPH 550 (HiMO5 New)  550 Wp</v>
      </c>
      <c r="E28" s="320" t="s">
        <v>408</v>
      </c>
      <c r="F28" s="320" t="s">
        <v>309</v>
      </c>
      <c r="G28" s="325">
        <f>VLOOKUP($C$1,t.mod!$A$2:$H$28,8,)*A28</f>
        <v>1122</v>
      </c>
      <c r="H28" s="321">
        <f>VLOOKUP(C28,t.inv!$A$2:$H$261,8,)*A28</f>
        <v>1582.1999999999998</v>
      </c>
      <c r="I28" s="325">
        <f>VLOOKUP(E28,t.met!$A$2:$F$13,6,)</f>
        <v>301.63</v>
      </c>
      <c r="J28" s="325">
        <f>VLOOKUP(F28,t.est!$A$3:$F$11,6,)*A28</f>
        <v>384</v>
      </c>
      <c r="K28" s="325">
        <f t="shared" si="8"/>
        <v>312</v>
      </c>
      <c r="L28" s="325">
        <f>VLOOKUP(A28,t.mon!$A$3:$F$263,6,)</f>
        <v>1450</v>
      </c>
      <c r="M28" s="321">
        <f t="shared" si="9"/>
        <v>5151.83</v>
      </c>
      <c r="N28" s="321">
        <f>VLOOKUP(A28,t.coi!$A$2:$E$263,5)</f>
        <v>1000</v>
      </c>
      <c r="O28" s="321">
        <f t="shared" si="10"/>
        <v>6151.83</v>
      </c>
      <c r="P28" s="321">
        <f>VLOOKUP(A28,t.mar!$A$1:$C$263,3)*O28</f>
        <v>2276.1770999999999</v>
      </c>
      <c r="Q28" s="321">
        <f t="shared" si="11"/>
        <v>130</v>
      </c>
      <c r="R28" s="321">
        <f t="shared" si="12"/>
        <v>1797.1814909999996</v>
      </c>
      <c r="S28" s="321">
        <f t="shared" si="7"/>
        <v>10355.188590999998</v>
      </c>
    </row>
    <row r="29" spans="1:19" s="313" customFormat="1" ht="16.95" customHeight="1">
      <c r="A29" s="322">
        <v>13</v>
      </c>
      <c r="B29" s="323">
        <f t="shared" si="1"/>
        <v>7.15</v>
      </c>
      <c r="C29" s="320" t="s">
        <v>407</v>
      </c>
      <c r="D29" s="324" t="str">
        <f t="shared" si="2"/>
        <v>LONGI LR5-72HPH 550 (HiMO5 New)  550 Wp</v>
      </c>
      <c r="E29" s="320" t="s">
        <v>408</v>
      </c>
      <c r="F29" s="320" t="s">
        <v>309</v>
      </c>
      <c r="G29" s="325">
        <f>VLOOKUP($C$1,t.mod!$A$2:$H$28,8,)*A29</f>
        <v>1215.5</v>
      </c>
      <c r="H29" s="321">
        <f>VLOOKUP(C29,t.inv!$A$2:$H$261,8,)*A29</f>
        <v>1714.05</v>
      </c>
      <c r="I29" s="325">
        <f>VLOOKUP(E29,t.met!$A$2:$F$13,6,)</f>
        <v>301.63</v>
      </c>
      <c r="J29" s="325">
        <f>VLOOKUP(F29,t.est!$A$3:$F$11,6,)*A29</f>
        <v>416</v>
      </c>
      <c r="K29" s="325">
        <f t="shared" si="8"/>
        <v>328</v>
      </c>
      <c r="L29" s="325">
        <f>VLOOKUP(A29,t.mon!$A$3:$F$263,6,)</f>
        <v>1450</v>
      </c>
      <c r="M29" s="321">
        <f t="shared" si="9"/>
        <v>5425.18</v>
      </c>
      <c r="N29" s="321">
        <f>VLOOKUP(A29,t.coi!$A$2:$E$263,5)</f>
        <v>1000</v>
      </c>
      <c r="O29" s="321">
        <f t="shared" si="10"/>
        <v>6425.18</v>
      </c>
      <c r="P29" s="321">
        <f>VLOOKUP(A29,t.mar!$A$1:$C$263,3)*O29</f>
        <v>2377.3166000000001</v>
      </c>
      <c r="Q29" s="321">
        <f t="shared" si="11"/>
        <v>130</v>
      </c>
      <c r="R29" s="321">
        <f t="shared" si="12"/>
        <v>1875.824286</v>
      </c>
      <c r="S29" s="321">
        <f t="shared" si="7"/>
        <v>10808.320886000001</v>
      </c>
    </row>
    <row r="30" spans="1:19" s="313" customFormat="1" ht="16.95" customHeight="1">
      <c r="A30" s="322">
        <v>14</v>
      </c>
      <c r="B30" s="323">
        <f t="shared" si="1"/>
        <v>7.7</v>
      </c>
      <c r="C30" s="320" t="s">
        <v>407</v>
      </c>
      <c r="D30" s="324" t="str">
        <f t="shared" si="2"/>
        <v>LONGI LR5-72HPH 550 (HiMO5 New)  550 Wp</v>
      </c>
      <c r="E30" s="320" t="s">
        <v>408</v>
      </c>
      <c r="F30" s="320" t="s">
        <v>309</v>
      </c>
      <c r="G30" s="325">
        <f>VLOOKUP($C$1,t.mod!$A$2:$H$28,8,)*A30</f>
        <v>1309</v>
      </c>
      <c r="H30" s="321">
        <f>VLOOKUP(C30,t.inv!$A$2:$H$261,8,)*A30</f>
        <v>1845.8999999999999</v>
      </c>
      <c r="I30" s="325">
        <f>VLOOKUP(E30,t.met!$A$2:$F$13,6,)</f>
        <v>301.63</v>
      </c>
      <c r="J30" s="325">
        <f>VLOOKUP(F30,t.est!$A$3:$F$11,6,)*A30</f>
        <v>448</v>
      </c>
      <c r="K30" s="325">
        <f t="shared" si="8"/>
        <v>344</v>
      </c>
      <c r="L30" s="325">
        <f>VLOOKUP(A30,t.mon!$A$3:$F$263,6,)</f>
        <v>1500</v>
      </c>
      <c r="M30" s="321">
        <f t="shared" si="9"/>
        <v>5748.53</v>
      </c>
      <c r="N30" s="321">
        <f>VLOOKUP(A30,t.coi!$A$2:$E$263,5)</f>
        <v>1100</v>
      </c>
      <c r="O30" s="321">
        <f t="shared" si="10"/>
        <v>6848.53</v>
      </c>
      <c r="P30" s="321">
        <f>VLOOKUP(A30,t.mar!$A$1:$C$263,3)*O30</f>
        <v>2533.9560999999999</v>
      </c>
      <c r="Q30" s="321">
        <f t="shared" si="11"/>
        <v>130</v>
      </c>
      <c r="R30" s="321">
        <f t="shared" si="12"/>
        <v>1997.622081</v>
      </c>
      <c r="S30" s="321">
        <f t="shared" si="7"/>
        <v>11510.108181</v>
      </c>
    </row>
    <row r="31" spans="1:19" s="313" customFormat="1" ht="16.95" customHeight="1">
      <c r="A31" s="322">
        <v>15</v>
      </c>
      <c r="B31" s="323">
        <f t="shared" si="1"/>
        <v>8.25</v>
      </c>
      <c r="C31" s="320" t="s">
        <v>407</v>
      </c>
      <c r="D31" s="324" t="str">
        <f t="shared" si="2"/>
        <v>LONGI LR5-72HPH 550 (HiMO5 New)  550 Wp</v>
      </c>
      <c r="E31" s="320" t="s">
        <v>408</v>
      </c>
      <c r="F31" s="320" t="s">
        <v>309</v>
      </c>
      <c r="G31" s="325">
        <f>VLOOKUP($C$1,t.mod!$A$2:$H$28,8,)*A31</f>
        <v>1402.5</v>
      </c>
      <c r="H31" s="321">
        <f>VLOOKUP(C31,t.inv!$A$2:$H$261,8,)*A31</f>
        <v>1977.75</v>
      </c>
      <c r="I31" s="325">
        <f>VLOOKUP(E31,t.met!$A$2:$F$13,6,)</f>
        <v>301.63</v>
      </c>
      <c r="J31" s="325">
        <f>VLOOKUP(F31,t.est!$A$3:$F$11,6,)*A31</f>
        <v>480</v>
      </c>
      <c r="K31" s="325">
        <f t="shared" si="8"/>
        <v>360</v>
      </c>
      <c r="L31" s="325">
        <f>VLOOKUP(A31,t.mon!$A$3:$F$263,6,)</f>
        <v>1600</v>
      </c>
      <c r="M31" s="321">
        <f t="shared" si="9"/>
        <v>6121.88</v>
      </c>
      <c r="N31" s="321">
        <f>VLOOKUP(A31,t.coi!$A$2:$E$263,5)</f>
        <v>1200</v>
      </c>
      <c r="O31" s="321">
        <f t="shared" si="10"/>
        <v>7321.88</v>
      </c>
      <c r="P31" s="321">
        <f>VLOOKUP(A31,t.mar!$A$1:$C$263,3)*O31</f>
        <v>2709.0956000000001</v>
      </c>
      <c r="Q31" s="321">
        <f t="shared" si="11"/>
        <v>130</v>
      </c>
      <c r="R31" s="321">
        <f t="shared" si="12"/>
        <v>2133.8048759999997</v>
      </c>
      <c r="S31" s="321">
        <f t="shared" si="7"/>
        <v>12294.780476</v>
      </c>
    </row>
    <row r="32" spans="1:19" s="313" customFormat="1" ht="16.95" customHeight="1">
      <c r="A32" s="322">
        <v>16</v>
      </c>
      <c r="B32" s="323">
        <f t="shared" si="1"/>
        <v>8.8000000000000007</v>
      </c>
      <c r="C32" s="320" t="s">
        <v>407</v>
      </c>
      <c r="D32" s="324" t="str">
        <f t="shared" si="2"/>
        <v>LONGI LR5-72HPH 550 (HiMO5 New)  550 Wp</v>
      </c>
      <c r="E32" s="320" t="s">
        <v>408</v>
      </c>
      <c r="F32" s="320" t="s">
        <v>309</v>
      </c>
      <c r="G32" s="325">
        <f>VLOOKUP($C$1,t.mod!$A$2:$H$28,8,)*A32</f>
        <v>1496</v>
      </c>
      <c r="H32" s="321">
        <f>VLOOKUP(C32,t.inv!$A$2:$H$261,8,)*A32</f>
        <v>2109.6</v>
      </c>
      <c r="I32" s="325">
        <f>VLOOKUP(E32,t.met!$A$2:$F$13,6,)</f>
        <v>301.63</v>
      </c>
      <c r="J32" s="325">
        <f>VLOOKUP(F32,t.est!$A$3:$F$11,6,)*A32</f>
        <v>512</v>
      </c>
      <c r="K32" s="325">
        <f t="shared" si="8"/>
        <v>376</v>
      </c>
      <c r="L32" s="325">
        <f>VLOOKUP(A32,t.mon!$A$3:$F$263,6,)</f>
        <v>1600</v>
      </c>
      <c r="M32" s="321">
        <f t="shared" si="9"/>
        <v>6395.23</v>
      </c>
      <c r="N32" s="321">
        <f>VLOOKUP(A32,t.coi!$A$2:$E$263,5)</f>
        <v>1200</v>
      </c>
      <c r="O32" s="321">
        <f t="shared" si="10"/>
        <v>7595.23</v>
      </c>
      <c r="P32" s="321">
        <f>VLOOKUP(A32,t.mar!$A$1:$C$263,3)*O32</f>
        <v>2810.2350999999999</v>
      </c>
      <c r="Q32" s="321">
        <f t="shared" si="11"/>
        <v>130</v>
      </c>
      <c r="R32" s="321">
        <f t="shared" si="12"/>
        <v>2212.4476709999999</v>
      </c>
      <c r="S32" s="321">
        <f t="shared" si="7"/>
        <v>12747.912770999999</v>
      </c>
    </row>
    <row r="33" spans="1:19" s="313" customFormat="1" ht="16.95" customHeight="1">
      <c r="A33" s="322">
        <v>17</v>
      </c>
      <c r="B33" s="323">
        <f t="shared" si="1"/>
        <v>9.35</v>
      </c>
      <c r="C33" s="320" t="s">
        <v>407</v>
      </c>
      <c r="D33" s="324" t="str">
        <f t="shared" si="2"/>
        <v>LONGI LR5-72HPH 550 (HiMO5 New)  550 Wp</v>
      </c>
      <c r="E33" s="320" t="s">
        <v>408</v>
      </c>
      <c r="F33" s="320" t="s">
        <v>309</v>
      </c>
      <c r="G33" s="325">
        <f>VLOOKUP($C$1,t.mod!$A$2:$H$28,8,)*A33</f>
        <v>1589.5</v>
      </c>
      <c r="H33" s="321">
        <f>VLOOKUP(C33,t.inv!$A$2:$H$261,8,)*A33</f>
        <v>2241.4499999999998</v>
      </c>
      <c r="I33" s="325">
        <f>VLOOKUP(E33,t.met!$A$2:$F$13,6,)</f>
        <v>301.63</v>
      </c>
      <c r="J33" s="325">
        <f>VLOOKUP(F33,t.est!$A$3:$F$11,6,)*A33</f>
        <v>544</v>
      </c>
      <c r="K33" s="325">
        <f t="shared" si="8"/>
        <v>392</v>
      </c>
      <c r="L33" s="325">
        <f>VLOOKUP(A33,t.mon!$A$3:$F$263,6,)</f>
        <v>1700</v>
      </c>
      <c r="M33" s="321">
        <f t="shared" si="9"/>
        <v>6768.58</v>
      </c>
      <c r="N33" s="321">
        <f>VLOOKUP(A33,t.coi!$A$2:$E$263,5)</f>
        <v>1300</v>
      </c>
      <c r="O33" s="321">
        <f t="shared" si="10"/>
        <v>8068.58</v>
      </c>
      <c r="P33" s="321">
        <f>VLOOKUP(A33,t.mar!$A$1:$C$263,3)*O33</f>
        <v>2904.6887999999999</v>
      </c>
      <c r="Q33" s="321">
        <f t="shared" si="11"/>
        <v>130</v>
      </c>
      <c r="R33" s="321">
        <f t="shared" si="12"/>
        <v>2331.6864479999999</v>
      </c>
      <c r="S33" s="321">
        <f t="shared" si="7"/>
        <v>13434.955248</v>
      </c>
    </row>
    <row r="34" spans="1:19" s="313" customFormat="1" ht="16.95" customHeight="1">
      <c r="A34" s="322">
        <v>18</v>
      </c>
      <c r="B34" s="323">
        <f t="shared" si="1"/>
        <v>9.9</v>
      </c>
      <c r="C34" s="320" t="s">
        <v>407</v>
      </c>
      <c r="D34" s="324" t="str">
        <f t="shared" si="2"/>
        <v>LONGI LR5-72HPH 550 (HiMO5 New)  550 Wp</v>
      </c>
      <c r="E34" s="320" t="s">
        <v>408</v>
      </c>
      <c r="F34" s="320" t="s">
        <v>309</v>
      </c>
      <c r="G34" s="325">
        <f>VLOOKUP($C$1,t.mod!$A$2:$H$28,8,)*A34</f>
        <v>1683</v>
      </c>
      <c r="H34" s="321">
        <f>VLOOKUP(C34,t.inv!$A$2:$H$261,8,)*A34</f>
        <v>2373.2999999999997</v>
      </c>
      <c r="I34" s="325">
        <f>VLOOKUP(E34,t.met!$A$2:$F$13,6,)</f>
        <v>301.63</v>
      </c>
      <c r="J34" s="325">
        <f>VLOOKUP(F34,t.est!$A$3:$F$11,6,)*A34</f>
        <v>576</v>
      </c>
      <c r="K34" s="325">
        <f t="shared" si="8"/>
        <v>408</v>
      </c>
      <c r="L34" s="325">
        <f>VLOOKUP(A34,t.mon!$A$3:$F$263,6,)</f>
        <v>1700</v>
      </c>
      <c r="M34" s="321">
        <f t="shared" si="9"/>
        <v>7041.9299999999994</v>
      </c>
      <c r="N34" s="321">
        <f>VLOOKUP(A34,t.coi!$A$2:$E$263,5)</f>
        <v>1300</v>
      </c>
      <c r="O34" s="321">
        <f t="shared" si="10"/>
        <v>8341.93</v>
      </c>
      <c r="P34" s="321">
        <f>VLOOKUP(A34,t.mar!$A$1:$C$263,3)*O34</f>
        <v>3003.0947999999999</v>
      </c>
      <c r="Q34" s="321">
        <f t="shared" si="11"/>
        <v>130</v>
      </c>
      <c r="R34" s="321">
        <f t="shared" si="12"/>
        <v>2409.7552079999996</v>
      </c>
      <c r="S34" s="321">
        <f t="shared" si="7"/>
        <v>13884.780007999998</v>
      </c>
    </row>
    <row r="35" spans="1:19" s="313" customFormat="1" ht="16.95" customHeight="1">
      <c r="A35" s="322">
        <v>19</v>
      </c>
      <c r="B35" s="323">
        <f t="shared" si="1"/>
        <v>10.45</v>
      </c>
      <c r="C35" s="320" t="s">
        <v>407</v>
      </c>
      <c r="D35" s="324" t="str">
        <f t="shared" si="2"/>
        <v>LONGI LR5-72HPH 550 (HiMO5 New)  550 Wp</v>
      </c>
      <c r="E35" s="320" t="s">
        <v>408</v>
      </c>
      <c r="F35" s="320" t="s">
        <v>309</v>
      </c>
      <c r="G35" s="325">
        <f>VLOOKUP($C$1,t.mod!$A$2:$H$28,8,)*A35</f>
        <v>1776.5</v>
      </c>
      <c r="H35" s="321">
        <f>VLOOKUP(C35,t.inv!$A$2:$H$261,8,)*A35</f>
        <v>2505.15</v>
      </c>
      <c r="I35" s="325">
        <f>VLOOKUP(E35,t.met!$A$2:$F$13,6,)</f>
        <v>301.63</v>
      </c>
      <c r="J35" s="325">
        <f>VLOOKUP(F35,t.est!$A$3:$F$11,6,)*A35</f>
        <v>608</v>
      </c>
      <c r="K35" s="325">
        <f t="shared" si="8"/>
        <v>424</v>
      </c>
      <c r="L35" s="325">
        <f>VLOOKUP(A35,t.mon!$A$3:$F$263,6,)</f>
        <v>1800</v>
      </c>
      <c r="M35" s="321">
        <f t="shared" si="9"/>
        <v>7415.28</v>
      </c>
      <c r="N35" s="321">
        <f>VLOOKUP(A35,t.coi!$A$2:$E$263,5)</f>
        <v>1300</v>
      </c>
      <c r="O35" s="321">
        <f t="shared" si="10"/>
        <v>8715.2799999999988</v>
      </c>
      <c r="P35" s="321">
        <f>VLOOKUP(A35,t.mar!$A$1:$C$263,3)*O35</f>
        <v>3137.5007999999993</v>
      </c>
      <c r="Q35" s="321">
        <f t="shared" si="11"/>
        <v>130</v>
      </c>
      <c r="R35" s="321">
        <f t="shared" si="12"/>
        <v>2516.3839679999996</v>
      </c>
      <c r="S35" s="321">
        <f t="shared" si="7"/>
        <v>14499.164767999999</v>
      </c>
    </row>
    <row r="36" spans="1:19" s="313" customFormat="1" ht="16.95" customHeight="1">
      <c r="A36" s="322">
        <v>20</v>
      </c>
      <c r="B36" s="323">
        <f t="shared" si="1"/>
        <v>11</v>
      </c>
      <c r="C36" s="320" t="s">
        <v>407</v>
      </c>
      <c r="D36" s="324" t="str">
        <f t="shared" si="2"/>
        <v>LONGI LR5-72HPH 550 (HiMO5 New)  550 Wp</v>
      </c>
      <c r="E36" s="320" t="s">
        <v>408</v>
      </c>
      <c r="F36" s="320" t="s">
        <v>309</v>
      </c>
      <c r="G36" s="325">
        <f>VLOOKUP($C$1,t.mod!$A$2:$H$28,8,)*A36</f>
        <v>1870</v>
      </c>
      <c r="H36" s="321">
        <f>VLOOKUP(C36,t.inv!$A$2:$H$261,8,)*A36</f>
        <v>2637</v>
      </c>
      <c r="I36" s="325">
        <f>VLOOKUP(E36,t.met!$A$2:$F$13,6,)</f>
        <v>301.63</v>
      </c>
      <c r="J36" s="325">
        <f>VLOOKUP(F36,t.est!$A$3:$F$11,6,)*A36</f>
        <v>640</v>
      </c>
      <c r="K36" s="325">
        <f t="shared" si="8"/>
        <v>440</v>
      </c>
      <c r="L36" s="325">
        <f>VLOOKUP(A36,t.mon!$A$3:$F$263,6,)</f>
        <v>1850</v>
      </c>
      <c r="M36" s="321">
        <f t="shared" si="9"/>
        <v>7738.63</v>
      </c>
      <c r="N36" s="321">
        <f>VLOOKUP(A36,t.coi!$A$2:$E$263,5)</f>
        <v>1300</v>
      </c>
      <c r="O36" s="321">
        <f t="shared" si="10"/>
        <v>9038.630000000001</v>
      </c>
      <c r="P36" s="321">
        <f>VLOOKUP(A36,t.mar!$A$1:$C$263,3)*O36</f>
        <v>3253.9068000000002</v>
      </c>
      <c r="Q36" s="321">
        <f t="shared" si="11"/>
        <v>130</v>
      </c>
      <c r="R36" s="321">
        <f t="shared" si="12"/>
        <v>2608.7327280000004</v>
      </c>
      <c r="S36" s="321">
        <f t="shared" si="7"/>
        <v>15031.269528000003</v>
      </c>
    </row>
    <row r="37" spans="1:19" s="313" customFormat="1" ht="16.95" customHeight="1">
      <c r="A37" s="322">
        <v>21</v>
      </c>
      <c r="B37" s="323">
        <f t="shared" si="1"/>
        <v>11.55</v>
      </c>
      <c r="C37" s="320" t="s">
        <v>407</v>
      </c>
      <c r="D37" s="324" t="str">
        <f t="shared" si="2"/>
        <v>LONGI LR5-72HPH 550 (HiMO5 New)  550 Wp</v>
      </c>
      <c r="E37" s="320" t="s">
        <v>408</v>
      </c>
      <c r="F37" s="320" t="s">
        <v>309</v>
      </c>
      <c r="G37" s="325">
        <f>VLOOKUP($C$1,t.mod!$A$2:$H$28,8,)*A37</f>
        <v>1963.5</v>
      </c>
      <c r="H37" s="321">
        <f>VLOOKUP(C37,t.inv!$A$2:$H$261,8,)*A37</f>
        <v>2768.85</v>
      </c>
      <c r="I37" s="325">
        <f>VLOOKUP(E37,t.met!$A$2:$F$13,6,)</f>
        <v>301.63</v>
      </c>
      <c r="J37" s="325">
        <f>VLOOKUP(F37,t.est!$A$3:$F$11,6,)*A37</f>
        <v>672</v>
      </c>
      <c r="K37" s="325">
        <f t="shared" si="8"/>
        <v>456</v>
      </c>
      <c r="L37" s="325">
        <f>VLOOKUP(A37,t.mon!$A$3:$F$263,6,)</f>
        <v>1850</v>
      </c>
      <c r="M37" s="321">
        <f t="shared" si="9"/>
        <v>8011.9800000000005</v>
      </c>
      <c r="N37" s="321">
        <f>VLOOKUP(A37,t.coi!$A$2:$E$263,5)</f>
        <v>1300</v>
      </c>
      <c r="O37" s="321">
        <f t="shared" si="10"/>
        <v>9311.98</v>
      </c>
      <c r="P37" s="321">
        <f>VLOOKUP(A37,t.mar!$A$1:$C$263,3)*O37</f>
        <v>3352.3127999999997</v>
      </c>
      <c r="Q37" s="321">
        <f t="shared" si="11"/>
        <v>130</v>
      </c>
      <c r="R37" s="321">
        <f t="shared" si="12"/>
        <v>2686.8014879999996</v>
      </c>
      <c r="S37" s="321">
        <f t="shared" si="7"/>
        <v>15481.094287999998</v>
      </c>
    </row>
    <row r="38" spans="1:19" s="313" customFormat="1" ht="16.95" customHeight="1">
      <c r="A38" s="322">
        <v>22</v>
      </c>
      <c r="B38" s="323">
        <f t="shared" si="1"/>
        <v>12.1</v>
      </c>
      <c r="C38" s="320" t="s">
        <v>407</v>
      </c>
      <c r="D38" s="324" t="str">
        <f t="shared" si="2"/>
        <v>LONGI LR5-72HPH 550 (HiMO5 New)  550 Wp</v>
      </c>
      <c r="E38" s="320" t="s">
        <v>408</v>
      </c>
      <c r="F38" s="320" t="s">
        <v>309</v>
      </c>
      <c r="G38" s="325">
        <f>VLOOKUP($C$1,t.mod!$A$2:$H$28,8,)*A38</f>
        <v>2057</v>
      </c>
      <c r="H38" s="321">
        <f>VLOOKUP(C38,t.inv!$A$2:$H$261,8,)*A38</f>
        <v>2900.7</v>
      </c>
      <c r="I38" s="325">
        <f>VLOOKUP(E38,t.met!$A$2:$F$13,6,)</f>
        <v>301.63</v>
      </c>
      <c r="J38" s="325">
        <f>VLOOKUP(F38,t.est!$A$3:$F$11,6,)*A38</f>
        <v>704</v>
      </c>
      <c r="K38" s="325">
        <f t="shared" si="8"/>
        <v>472</v>
      </c>
      <c r="L38" s="325">
        <f>VLOOKUP(A38,t.mon!$A$3:$F$263,6,)</f>
        <v>1900</v>
      </c>
      <c r="M38" s="321">
        <f t="shared" si="9"/>
        <v>8335.33</v>
      </c>
      <c r="N38" s="321">
        <f>VLOOKUP(A38,t.coi!$A$2:$E$263,5)</f>
        <v>1300</v>
      </c>
      <c r="O38" s="321">
        <f t="shared" si="10"/>
        <v>9635.33</v>
      </c>
      <c r="P38" s="321">
        <f>VLOOKUP(A38,t.mar!$A$1:$C$263,3)*O38</f>
        <v>3468.7187999999996</v>
      </c>
      <c r="Q38" s="321">
        <f t="shared" si="11"/>
        <v>130</v>
      </c>
      <c r="R38" s="321">
        <f t="shared" si="12"/>
        <v>2779.1502479999999</v>
      </c>
      <c r="S38" s="321">
        <f t="shared" si="7"/>
        <v>16013.199048</v>
      </c>
    </row>
    <row r="39" spans="1:19" s="313" customFormat="1" ht="16.95" customHeight="1">
      <c r="A39" s="322">
        <v>23</v>
      </c>
      <c r="B39" s="323">
        <f t="shared" si="1"/>
        <v>12.65</v>
      </c>
      <c r="C39" s="320" t="s">
        <v>407</v>
      </c>
      <c r="D39" s="324" t="str">
        <f t="shared" si="2"/>
        <v>LONGI LR5-72HPH 550 (HiMO5 New)  550 Wp</v>
      </c>
      <c r="E39" s="320" t="s">
        <v>408</v>
      </c>
      <c r="F39" s="320" t="s">
        <v>309</v>
      </c>
      <c r="G39" s="325">
        <f>VLOOKUP($C$1,t.mod!$A$2:$H$28,8,)*A39</f>
        <v>2150.5</v>
      </c>
      <c r="H39" s="321">
        <f>VLOOKUP(C39,t.inv!$A$2:$H$261,8,)*A39</f>
        <v>3032.5499999999997</v>
      </c>
      <c r="I39" s="325">
        <f>VLOOKUP(E39,t.met!$A$2:$F$13,6,)</f>
        <v>301.63</v>
      </c>
      <c r="J39" s="325">
        <f>VLOOKUP(F39,t.est!$A$3:$F$11,6,)*A39</f>
        <v>736</v>
      </c>
      <c r="K39" s="325">
        <f t="shared" si="8"/>
        <v>488</v>
      </c>
      <c r="L39" s="325">
        <f>VLOOKUP(A39,t.mon!$A$3:$F$263,6,)</f>
        <v>1900</v>
      </c>
      <c r="M39" s="321">
        <f t="shared" si="9"/>
        <v>8608.68</v>
      </c>
      <c r="N39" s="321">
        <f>VLOOKUP(A39,t.coi!$A$2:$E$263,5)</f>
        <v>1300</v>
      </c>
      <c r="O39" s="321">
        <f t="shared" si="10"/>
        <v>9908.68</v>
      </c>
      <c r="P39" s="321">
        <f>VLOOKUP(A39,t.mar!$A$1:$C$263,3)*O39</f>
        <v>3567.1248000000001</v>
      </c>
      <c r="Q39" s="321">
        <f t="shared" si="11"/>
        <v>130</v>
      </c>
      <c r="R39" s="321">
        <f t="shared" si="12"/>
        <v>2857.219008</v>
      </c>
      <c r="S39" s="321">
        <f t="shared" si="7"/>
        <v>16463.023807999998</v>
      </c>
    </row>
    <row r="40" spans="1:19" s="313" customFormat="1" ht="16.95" customHeight="1">
      <c r="A40" s="322">
        <v>24</v>
      </c>
      <c r="B40" s="323">
        <f t="shared" si="1"/>
        <v>13.2</v>
      </c>
      <c r="C40" s="320" t="s">
        <v>407</v>
      </c>
      <c r="D40" s="324" t="str">
        <f t="shared" si="2"/>
        <v>LONGI LR5-72HPH 550 (HiMO5 New)  550 Wp</v>
      </c>
      <c r="E40" s="320" t="s">
        <v>408</v>
      </c>
      <c r="F40" s="320" t="s">
        <v>309</v>
      </c>
      <c r="G40" s="325">
        <f>VLOOKUP($C$1,t.mod!$A$2:$H$28,8,)*A40</f>
        <v>2244</v>
      </c>
      <c r="H40" s="321">
        <f>VLOOKUP(C40,t.inv!$A$2:$H$261,8,)*A40</f>
        <v>3164.3999999999996</v>
      </c>
      <c r="I40" s="325">
        <f>VLOOKUP(E40,t.met!$A$2:$F$13,6,)</f>
        <v>301.63</v>
      </c>
      <c r="J40" s="325">
        <f>VLOOKUP(F40,t.est!$A$3:$F$11,6,)*A40</f>
        <v>768</v>
      </c>
      <c r="K40" s="325">
        <f t="shared" si="8"/>
        <v>504</v>
      </c>
      <c r="L40" s="325">
        <f>VLOOKUP(A40,t.mon!$A$3:$F$263,6,)</f>
        <v>1950</v>
      </c>
      <c r="M40" s="321">
        <f t="shared" si="9"/>
        <v>8932.0299999999988</v>
      </c>
      <c r="N40" s="321">
        <f>VLOOKUP(A40,t.coi!$A$2:$E$263,5)</f>
        <v>1300</v>
      </c>
      <c r="O40" s="321">
        <f t="shared" si="10"/>
        <v>10232.029999999999</v>
      </c>
      <c r="P40" s="321">
        <f>VLOOKUP(A40,t.mar!$A$1:$C$263,3)*O40</f>
        <v>3683.5307999999995</v>
      </c>
      <c r="Q40" s="321">
        <f t="shared" si="11"/>
        <v>130</v>
      </c>
      <c r="R40" s="321">
        <f t="shared" si="12"/>
        <v>2949.5677679999999</v>
      </c>
      <c r="S40" s="321">
        <f t="shared" si="7"/>
        <v>16995.128568</v>
      </c>
    </row>
    <row r="41" spans="1:19" s="313" customFormat="1" ht="16.95" customHeight="1">
      <c r="A41" s="322">
        <v>25</v>
      </c>
      <c r="B41" s="323">
        <f t="shared" si="1"/>
        <v>13.75</v>
      </c>
      <c r="C41" s="320" t="s">
        <v>407</v>
      </c>
      <c r="D41" s="324" t="str">
        <f t="shared" si="2"/>
        <v>LONGI LR5-72HPH 550 (HiMO5 New)  550 Wp</v>
      </c>
      <c r="E41" s="320" t="s">
        <v>408</v>
      </c>
      <c r="F41" s="320" t="s">
        <v>309</v>
      </c>
      <c r="G41" s="325">
        <f>VLOOKUP($C$1,t.mod!$A$2:$H$28,8,)*A41</f>
        <v>2337.5</v>
      </c>
      <c r="H41" s="321">
        <f>VLOOKUP(C41,t.inv!$A$2:$H$261,8,)*A41</f>
        <v>3296.25</v>
      </c>
      <c r="I41" s="325">
        <f>VLOOKUP(E41,t.met!$A$2:$F$13,6,)</f>
        <v>301.63</v>
      </c>
      <c r="J41" s="325">
        <f>VLOOKUP(F41,t.est!$A$3:$F$11,6,)*A41</f>
        <v>800</v>
      </c>
      <c r="K41" s="325">
        <f t="shared" si="8"/>
        <v>520</v>
      </c>
      <c r="L41" s="325">
        <f>VLOOKUP(A41,t.mon!$A$3:$F$263,6,)</f>
        <v>2000</v>
      </c>
      <c r="M41" s="321">
        <f t="shared" si="9"/>
        <v>9255.380000000001</v>
      </c>
      <c r="N41" s="321">
        <f>VLOOKUP(A41,t.coi!$A$2:$E$263,5)</f>
        <v>1400</v>
      </c>
      <c r="O41" s="321">
        <f t="shared" si="10"/>
        <v>10655.380000000001</v>
      </c>
      <c r="P41" s="321">
        <f>VLOOKUP(A41,t.mar!$A$1:$C$263,3)*O41</f>
        <v>3835.9368000000004</v>
      </c>
      <c r="Q41" s="321">
        <f t="shared" si="11"/>
        <v>130</v>
      </c>
      <c r="R41" s="321">
        <f t="shared" si="12"/>
        <v>3070.4765280000001</v>
      </c>
      <c r="S41" s="321">
        <f t="shared" si="7"/>
        <v>17691.793328</v>
      </c>
    </row>
    <row r="42" spans="1:19" s="313" customFormat="1" ht="16.95" customHeight="1">
      <c r="A42" s="322">
        <v>26</v>
      </c>
      <c r="B42" s="323">
        <f t="shared" si="1"/>
        <v>14.3</v>
      </c>
      <c r="C42" s="320" t="s">
        <v>407</v>
      </c>
      <c r="D42" s="324" t="str">
        <f t="shared" si="2"/>
        <v>LONGI LR5-72HPH 550 (HiMO5 New)  550 Wp</v>
      </c>
      <c r="E42" s="320" t="s">
        <v>408</v>
      </c>
      <c r="F42" s="320" t="s">
        <v>309</v>
      </c>
      <c r="G42" s="325">
        <f>VLOOKUP($C$1,t.mod!$A$2:$H$28,8,)*A42</f>
        <v>2431</v>
      </c>
      <c r="H42" s="321">
        <f>VLOOKUP(C42,t.inv!$A$2:$H$261,8,)*A42</f>
        <v>3428.1</v>
      </c>
      <c r="I42" s="325">
        <f>VLOOKUP(E42,t.met!$A$2:$F$13,6,)</f>
        <v>301.63</v>
      </c>
      <c r="J42" s="325">
        <f>VLOOKUP(F42,t.est!$A$3:$F$11,6,)*A42</f>
        <v>832</v>
      </c>
      <c r="K42" s="325">
        <f t="shared" si="8"/>
        <v>536</v>
      </c>
      <c r="L42" s="325">
        <f>VLOOKUP(A42,t.mon!$A$3:$F$263,6,)</f>
        <v>2000</v>
      </c>
      <c r="M42" s="321">
        <f t="shared" si="9"/>
        <v>9528.73</v>
      </c>
      <c r="N42" s="321">
        <f>VLOOKUP(A42,t.coi!$A$2:$E$263,5)</f>
        <v>1400</v>
      </c>
      <c r="O42" s="321">
        <f t="shared" si="10"/>
        <v>10928.73</v>
      </c>
      <c r="P42" s="321">
        <f>VLOOKUP(A42,t.mar!$A$1:$C$263,3)*O42</f>
        <v>3934.3427999999999</v>
      </c>
      <c r="Q42" s="321">
        <f t="shared" si="11"/>
        <v>130</v>
      </c>
      <c r="R42" s="321">
        <f t="shared" si="12"/>
        <v>3148.5452879999998</v>
      </c>
      <c r="S42" s="321">
        <f t="shared" si="7"/>
        <v>18141.618087999999</v>
      </c>
    </row>
    <row r="43" spans="1:19" ht="15.6">
      <c r="A43" s="316"/>
      <c r="B43" s="316"/>
      <c r="C43" s="317"/>
      <c r="D43" s="317"/>
      <c r="E43" s="329"/>
      <c r="F43" s="329"/>
      <c r="G43" s="331"/>
      <c r="H43" s="331"/>
      <c r="I43" s="331"/>
      <c r="J43" s="317"/>
      <c r="K43" s="317"/>
      <c r="L43" s="317"/>
      <c r="M43" s="317"/>
      <c r="N43" s="317"/>
      <c r="O43" s="317"/>
      <c r="P43" s="317"/>
      <c r="Q43" s="317"/>
      <c r="R43" s="317"/>
      <c r="S43" s="317"/>
    </row>
    <row r="44" spans="1:19" ht="28.8" customHeight="1">
      <c r="A44" s="451" t="s">
        <v>528</v>
      </c>
      <c r="B44" s="451"/>
      <c r="C44" s="451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  <c r="P44" s="451"/>
      <c r="Q44" s="451"/>
      <c r="R44" s="451"/>
      <c r="S44" s="451"/>
    </row>
  </sheetData>
  <mergeCells count="7">
    <mergeCell ref="A1:B1"/>
    <mergeCell ref="C1:D1"/>
    <mergeCell ref="A2:B2"/>
    <mergeCell ref="C2:D2"/>
    <mergeCell ref="A44:S44"/>
    <mergeCell ref="E1:F1"/>
    <mergeCell ref="E2:F2"/>
  </mergeCells>
  <pageMargins left="0.78740157480314965" right="0.39370078740157483" top="0.59055118110236227" bottom="0.39370078740157483" header="0.39370078740157483" footer="0"/>
  <pageSetup paperSize="9" scale="63" orientation="landscape" horizontalDpi="360" verticalDpi="360" r:id="rId1"/>
  <headerFooter>
    <oddHeader>&amp;R&amp;G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0E1E7CF-A431-4F14-874B-71071CA89ECA}">
          <x14:formula1>
            <xm:f>t.inv!$A$4:$A$34</xm:f>
          </x14:formula1>
          <xm:sqref>C7:C18 C20:C42</xm:sqref>
        </x14:dataValidation>
        <x14:dataValidation type="list" allowBlank="1" showInputMessage="1" showErrorMessage="1" xr:uid="{51AF0C79-64AF-41BF-B13F-EBFED076AC9A}">
          <x14:formula1>
            <xm:f>t.est!$A$3:$A$12</xm:f>
          </x14:formula1>
          <xm:sqref>F7:F18 F20:F42</xm:sqref>
        </x14:dataValidation>
        <x14:dataValidation type="list" allowBlank="1" showInputMessage="1" showErrorMessage="1" xr:uid="{3A7A18A1-6177-4FED-8CAE-402C57CDA78B}">
          <x14:formula1>
            <xm:f>t.met!$A$3:$A$22</xm:f>
          </x14:formula1>
          <xm:sqref>F43 E7:E18 E20:E43</xm:sqref>
        </x14:dataValidation>
        <x14:dataValidation type="list" allowBlank="1" showInputMessage="1" showErrorMessage="1" xr:uid="{A6AB08B2-CDAF-48C1-B6C1-401E764E40E0}">
          <x14:formula1>
            <xm:f>t.mod!$A$3:$A$30</xm:f>
          </x14:formula1>
          <xm:sqref>C1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CE24-054D-46B5-B12E-E2B5B19CE10B}">
  <sheetPr codeName="Hoja5">
    <tabColor rgb="FFFFD100"/>
  </sheetPr>
  <dimension ref="A1:CF58"/>
  <sheetViews>
    <sheetView topLeftCell="B1" zoomScale="70" zoomScaleNormal="70" workbookViewId="0">
      <selection activeCell="B8" sqref="B8"/>
    </sheetView>
  </sheetViews>
  <sheetFormatPr baseColWidth="10" defaultColWidth="11.5546875" defaultRowHeight="18" outlineLevelCol="1"/>
  <cols>
    <col min="1" max="1" width="7.6640625" style="10" customWidth="1"/>
    <col min="2" max="2" width="66.88671875" style="14" customWidth="1"/>
    <col min="3" max="3" width="18.33203125" style="10" customWidth="1"/>
    <col min="4" max="4" width="12.6640625" style="13" customWidth="1"/>
    <col min="5" max="5" width="13.33203125" style="13" customWidth="1"/>
    <col min="6" max="6" width="13.44140625" style="13" customWidth="1"/>
    <col min="7" max="7" width="12.33203125" style="13" customWidth="1"/>
    <col min="8" max="8" width="13.44140625" style="13" customWidth="1"/>
    <col min="9" max="9" width="13" style="13" customWidth="1"/>
    <col min="10" max="10" width="15" style="13" customWidth="1"/>
    <col min="11" max="11" width="15.21875" style="13" customWidth="1"/>
    <col min="12" max="12" width="14.21875" style="13" customWidth="1"/>
    <col min="13" max="13" width="15.44140625" style="13" customWidth="1"/>
    <col min="14" max="14" width="15.21875" style="13" customWidth="1"/>
    <col min="15" max="15" width="4.88671875" style="13" customWidth="1"/>
    <col min="16" max="16" width="16.33203125" style="13" customWidth="1"/>
    <col min="17" max="17" width="11.44140625" style="13" customWidth="1"/>
    <col min="18" max="18" width="21.6640625" style="13" customWidth="1"/>
    <col min="19" max="19" width="13.44140625" style="13" customWidth="1"/>
    <col min="20" max="20" width="11.44140625" style="13" customWidth="1"/>
    <col min="21" max="21" width="14.33203125" style="13" customWidth="1"/>
    <col min="22" max="22" width="13.5546875" style="13" customWidth="1"/>
    <col min="23" max="23" width="6.6640625" style="13" customWidth="1"/>
    <col min="24" max="24" width="14.6640625" style="13" customWidth="1"/>
    <col min="25" max="25" width="19.6640625" style="13" customWidth="1"/>
    <col min="26" max="26" width="15.88671875" style="13" customWidth="1"/>
    <col min="27" max="27" width="13.77734375" style="13" customWidth="1"/>
    <col min="28" max="28" width="14.88671875" style="13" customWidth="1"/>
    <col min="29" max="29" width="11.77734375" style="13" customWidth="1" outlineLevel="1"/>
    <col min="30" max="30" width="13.33203125" style="13" customWidth="1" outlineLevel="1"/>
    <col min="31" max="31" width="10.5546875" style="13" customWidth="1" outlineLevel="1"/>
    <col min="32" max="32" width="11.5546875" style="13" customWidth="1" outlineLevel="1"/>
    <col min="33" max="33" width="10.5546875" style="13" customWidth="1" outlineLevel="1"/>
    <col min="34" max="37" width="11.5546875" style="13" customWidth="1" outlineLevel="1"/>
    <col min="38" max="38" width="13" style="13" customWidth="1" outlineLevel="1"/>
    <col min="39" max="39" width="13.5546875" style="13" customWidth="1" outlineLevel="1"/>
    <col min="40" max="40" width="17.5546875" style="13" customWidth="1" outlineLevel="1"/>
    <col min="41" max="41" width="14.77734375" style="13" customWidth="1" outlineLevel="1"/>
    <col min="42" max="42" width="11.88671875" style="13" customWidth="1" outlineLevel="1"/>
    <col min="43" max="44" width="13.44140625" style="13" customWidth="1"/>
    <col min="45" max="45" width="11.77734375" style="13" customWidth="1"/>
    <col min="46" max="46" width="13.44140625" style="13" customWidth="1"/>
    <col min="47" max="47" width="13.33203125" style="13" customWidth="1"/>
    <col min="48" max="48" width="11.5546875" style="13" customWidth="1"/>
    <col min="49" max="49" width="12.88671875" style="13" customWidth="1"/>
    <col min="50" max="50" width="13.88671875" style="13" customWidth="1"/>
    <col min="51" max="51" width="12.109375" style="13" customWidth="1"/>
    <col min="52" max="52" width="9.44140625" style="13" customWidth="1"/>
    <col min="53" max="55" width="12.77734375" style="13" customWidth="1"/>
    <col min="56" max="56" width="16.21875" style="13" customWidth="1"/>
    <col min="57" max="57" width="18.109375" style="13" customWidth="1"/>
    <col min="58" max="59" width="14.77734375" style="13" customWidth="1"/>
    <col min="60" max="60" width="14.33203125" style="13" customWidth="1"/>
    <col min="61" max="61" width="11.5546875" style="13" customWidth="1"/>
    <col min="62" max="62" width="10.44140625" style="13" customWidth="1"/>
    <col min="63" max="63" width="12.5546875" style="13" customWidth="1"/>
    <col min="64" max="66" width="14.6640625" style="13" customWidth="1"/>
    <col min="67" max="67" width="14.88671875" style="13" customWidth="1"/>
    <col min="68" max="68" width="13.88671875" style="13" customWidth="1"/>
    <col min="69" max="69" width="11.21875" style="13" customWidth="1"/>
    <col min="70" max="70" width="13.5546875" style="13" customWidth="1"/>
    <col min="71" max="71" width="11.5546875" style="13"/>
    <col min="72" max="72" width="12.21875" style="13" customWidth="1"/>
    <col min="73" max="74" width="13.6640625" style="13" customWidth="1"/>
    <col min="75" max="75" width="18" style="13" customWidth="1"/>
    <col min="76" max="78" width="11.109375" style="13" customWidth="1"/>
    <col min="79" max="79" width="11" style="13" customWidth="1"/>
    <col min="80" max="80" width="13.33203125" style="13" customWidth="1"/>
    <col min="81" max="82" width="11.88671875" style="13" customWidth="1"/>
    <col min="83" max="84" width="11.5546875" style="13" customWidth="1"/>
    <col min="85" max="16384" width="11.5546875" style="13"/>
  </cols>
  <sheetData>
    <row r="1" spans="2:16">
      <c r="C1" s="21"/>
    </row>
    <row r="2" spans="2:16">
      <c r="C2" s="14"/>
      <c r="D2" s="14"/>
    </row>
    <row r="5" spans="2:16" ht="23.4">
      <c r="B5" s="95" t="s">
        <v>41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2:16">
      <c r="B6" s="14" t="s">
        <v>137</v>
      </c>
      <c r="C6" s="10" t="s">
        <v>25</v>
      </c>
      <c r="D6" s="10" t="s">
        <v>26</v>
      </c>
      <c r="E6" s="10" t="s">
        <v>27</v>
      </c>
      <c r="F6" s="10" t="s">
        <v>28</v>
      </c>
      <c r="G6" s="10" t="s">
        <v>29</v>
      </c>
      <c r="H6" s="10" t="s">
        <v>30</v>
      </c>
      <c r="I6" s="10" t="s">
        <v>31</v>
      </c>
      <c r="J6" s="10" t="s">
        <v>32</v>
      </c>
      <c r="K6" s="10" t="s">
        <v>33</v>
      </c>
      <c r="L6" s="10" t="s">
        <v>34</v>
      </c>
      <c r="M6" s="10" t="s">
        <v>35</v>
      </c>
      <c r="N6" s="10" t="s">
        <v>36</v>
      </c>
      <c r="P6" s="16" t="s">
        <v>9</v>
      </c>
    </row>
    <row r="7" spans="2:16">
      <c r="B7" s="14" t="s">
        <v>42</v>
      </c>
      <c r="C7" s="15">
        <f>t.con!C3</f>
        <v>2180.52</v>
      </c>
      <c r="D7" s="15">
        <f>t.con!D3</f>
        <v>1998.81</v>
      </c>
      <c r="E7" s="15">
        <f>t.con!E3</f>
        <v>1090.26</v>
      </c>
      <c r="F7" s="15">
        <f>t.con!F3</f>
        <v>1090.26</v>
      </c>
      <c r="G7" s="15">
        <f>t.con!G3</f>
        <v>1271.97</v>
      </c>
      <c r="H7" s="15">
        <f>t.con!H3</f>
        <v>1271.97</v>
      </c>
      <c r="I7" s="15">
        <f>t.con!I3</f>
        <v>1635.3899999999999</v>
      </c>
      <c r="J7" s="15">
        <f>t.con!J3</f>
        <v>1817.1000000000001</v>
      </c>
      <c r="K7" s="15">
        <f>t.con!K3</f>
        <v>1090.26</v>
      </c>
      <c r="L7" s="15">
        <f>t.con!L3</f>
        <v>1090.26</v>
      </c>
      <c r="M7" s="15">
        <f>t.con!M3</f>
        <v>1453.68</v>
      </c>
      <c r="N7" s="15">
        <f>t.con!N3</f>
        <v>2180.52</v>
      </c>
      <c r="P7" s="17">
        <f>SUM(C7:N7)</f>
        <v>18171</v>
      </c>
    </row>
    <row r="8" spans="2:16">
      <c r="B8" s="14" t="s">
        <v>43</v>
      </c>
      <c r="C8" s="18">
        <f>C7*preciokwh</f>
        <v>719.57159999999999</v>
      </c>
      <c r="D8" s="18">
        <f t="shared" ref="D8:N8" si="0">D7*preciokwh</f>
        <v>659.60730000000001</v>
      </c>
      <c r="E8" s="18">
        <f t="shared" si="0"/>
        <v>359.78579999999999</v>
      </c>
      <c r="F8" s="18">
        <f t="shared" si="0"/>
        <v>359.78579999999999</v>
      </c>
      <c r="G8" s="18">
        <f t="shared" si="0"/>
        <v>419.75010000000003</v>
      </c>
      <c r="H8" s="18">
        <f t="shared" si="0"/>
        <v>419.75010000000003</v>
      </c>
      <c r="I8" s="18">
        <f t="shared" si="0"/>
        <v>539.67869999999994</v>
      </c>
      <c r="J8" s="18">
        <f t="shared" si="0"/>
        <v>599.64300000000003</v>
      </c>
      <c r="K8" s="18">
        <f t="shared" si="0"/>
        <v>359.78579999999999</v>
      </c>
      <c r="L8" s="18">
        <f t="shared" si="0"/>
        <v>359.78579999999999</v>
      </c>
      <c r="M8" s="18">
        <f t="shared" si="0"/>
        <v>479.71440000000007</v>
      </c>
      <c r="N8" s="18">
        <f t="shared" si="0"/>
        <v>719.57159999999999</v>
      </c>
      <c r="P8" s="19">
        <f>SUM(C8:N8)</f>
        <v>5996.43</v>
      </c>
    </row>
    <row r="9" spans="2:16">
      <c r="B9" s="14" t="s">
        <v>44</v>
      </c>
      <c r="C9" s="15">
        <f>C7*dioxido</f>
        <v>558.21312</v>
      </c>
      <c r="D9" s="15">
        <f t="shared" ref="D9:N9" si="1">D7*dioxido</f>
        <v>511.69535999999999</v>
      </c>
      <c r="E9" s="15">
        <f t="shared" si="1"/>
        <v>279.10656</v>
      </c>
      <c r="F9" s="15">
        <f t="shared" si="1"/>
        <v>279.10656</v>
      </c>
      <c r="G9" s="15">
        <f t="shared" si="1"/>
        <v>325.62432000000001</v>
      </c>
      <c r="H9" s="15">
        <f t="shared" si="1"/>
        <v>325.62432000000001</v>
      </c>
      <c r="I9" s="15">
        <f t="shared" si="1"/>
        <v>418.65983999999997</v>
      </c>
      <c r="J9" s="15">
        <f t="shared" si="1"/>
        <v>465.17760000000004</v>
      </c>
      <c r="K9" s="15">
        <f t="shared" si="1"/>
        <v>279.10656</v>
      </c>
      <c r="L9" s="15">
        <f t="shared" si="1"/>
        <v>279.10656</v>
      </c>
      <c r="M9" s="15">
        <f t="shared" si="1"/>
        <v>372.14208000000002</v>
      </c>
      <c r="N9" s="15">
        <f t="shared" si="1"/>
        <v>558.21312</v>
      </c>
      <c r="P9" s="17">
        <f>SUM(C9:N9)</f>
        <v>4651.7759999999998</v>
      </c>
    </row>
    <row r="10" spans="2:16" ht="23.4">
      <c r="B10" s="95" t="s">
        <v>50</v>
      </c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2:16">
      <c r="B11" s="14" t="s">
        <v>137</v>
      </c>
      <c r="C11" s="20" t="s">
        <v>25</v>
      </c>
      <c r="D11" s="20" t="s">
        <v>26</v>
      </c>
      <c r="E11" s="20" t="s">
        <v>27</v>
      </c>
      <c r="F11" s="20" t="s">
        <v>28</v>
      </c>
      <c r="G11" s="20" t="s">
        <v>29</v>
      </c>
      <c r="H11" s="20" t="s">
        <v>30</v>
      </c>
      <c r="I11" s="20" t="s">
        <v>31</v>
      </c>
      <c r="J11" s="20" t="s">
        <v>32</v>
      </c>
      <c r="K11" s="20" t="s">
        <v>33</v>
      </c>
      <c r="L11" s="20" t="s">
        <v>34</v>
      </c>
      <c r="M11" s="20" t="s">
        <v>35</v>
      </c>
      <c r="N11" s="20" t="s">
        <v>36</v>
      </c>
      <c r="P11" s="16" t="s">
        <v>9</v>
      </c>
    </row>
    <row r="12" spans="2:16">
      <c r="B12" s="14" t="s">
        <v>52</v>
      </c>
      <c r="C12" s="20">
        <v>118.59</v>
      </c>
      <c r="D12" s="20">
        <v>118.19</v>
      </c>
      <c r="E12" s="20">
        <v>140.32</v>
      </c>
      <c r="F12" s="20">
        <v>142.16</v>
      </c>
      <c r="G12" s="20">
        <v>155.06</v>
      </c>
      <c r="H12" s="20">
        <v>153.94999999999999</v>
      </c>
      <c r="I12" s="20">
        <v>163.58000000000001</v>
      </c>
      <c r="J12" s="20">
        <v>161.53</v>
      </c>
      <c r="K12" s="20">
        <v>144.55000000000001</v>
      </c>
      <c r="L12" s="20">
        <v>132.32</v>
      </c>
      <c r="M12" s="20">
        <v>112.65</v>
      </c>
      <c r="N12" s="20">
        <v>113.4</v>
      </c>
      <c r="P12" s="17">
        <f>SUM(C12:N12)</f>
        <v>1656.3000000000002</v>
      </c>
    </row>
    <row r="13" spans="2:16">
      <c r="B13" s="14" t="s">
        <v>51</v>
      </c>
      <c r="C13" s="21">
        <f>C12/$P$12</f>
        <v>7.1599347944212993E-2</v>
      </c>
      <c r="D13" s="21">
        <f t="shared" ref="D13:N13" si="2">D12/$P$12</f>
        <v>7.1357845800881475E-2</v>
      </c>
      <c r="E13" s="21">
        <f t="shared" si="2"/>
        <v>8.4718951880697932E-2</v>
      </c>
      <c r="F13" s="21">
        <f t="shared" si="2"/>
        <v>8.5829861740022925E-2</v>
      </c>
      <c r="G13" s="21">
        <f t="shared" si="2"/>
        <v>9.3618305862464515E-2</v>
      </c>
      <c r="H13" s="21">
        <f t="shared" si="2"/>
        <v>9.2948137414719537E-2</v>
      </c>
      <c r="I13" s="21">
        <f t="shared" si="2"/>
        <v>9.8762301515425949E-2</v>
      </c>
      <c r="J13" s="21">
        <f t="shared" si="2"/>
        <v>9.7524603030851892E-2</v>
      </c>
      <c r="K13" s="21">
        <f t="shared" si="2"/>
        <v>8.7272837046428783E-2</v>
      </c>
      <c r="L13" s="21">
        <f t="shared" si="2"/>
        <v>7.9888909014067491E-2</v>
      </c>
      <c r="M13" s="21">
        <f t="shared" si="2"/>
        <v>6.80130411157399E-2</v>
      </c>
      <c r="N13" s="21">
        <f t="shared" si="2"/>
        <v>6.8465857634486496E-2</v>
      </c>
      <c r="P13" s="130">
        <f>SUM(C13:N13)</f>
        <v>1</v>
      </c>
    </row>
    <row r="14" spans="2:16">
      <c r="B14" s="14" t="s">
        <v>139</v>
      </c>
      <c r="C14" s="15">
        <f>$P$14*C13</f>
        <v>1812.8417904365149</v>
      </c>
      <c r="D14" s="15">
        <f t="shared" ref="D14:N14" si="3">$P$14*D13</f>
        <v>1806.7271372939683</v>
      </c>
      <c r="E14" s="15">
        <f t="shared" si="3"/>
        <v>2145.0203224053612</v>
      </c>
      <c r="F14" s="15">
        <f t="shared" si="3"/>
        <v>2173.1477268610756</v>
      </c>
      <c r="G14" s="15">
        <f t="shared" si="3"/>
        <v>2370.3452907082046</v>
      </c>
      <c r="H14" s="15">
        <f t="shared" si="3"/>
        <v>2353.3771282376374</v>
      </c>
      <c r="I14" s="15">
        <f t="shared" si="3"/>
        <v>2500.5874026444485</v>
      </c>
      <c r="J14" s="15">
        <f t="shared" si="3"/>
        <v>2469.2498052888968</v>
      </c>
      <c r="K14" s="15">
        <f t="shared" si="3"/>
        <v>2209.6827793877919</v>
      </c>
      <c r="L14" s="15">
        <f t="shared" si="3"/>
        <v>2022.7272595544284</v>
      </c>
      <c r="M14" s="15">
        <f t="shared" si="3"/>
        <v>1722.0391912696975</v>
      </c>
      <c r="N14" s="15">
        <f t="shared" si="3"/>
        <v>1733.5041659119722</v>
      </c>
      <c r="P14" s="17">
        <f>p_gen*kwhkwp</f>
        <v>25319.25</v>
      </c>
    </row>
    <row r="15" spans="2:16"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P15" s="17"/>
    </row>
    <row r="16" spans="2:16" ht="23.4">
      <c r="B16" s="97" t="s">
        <v>57</v>
      </c>
      <c r="C16" s="457" t="s">
        <v>111</v>
      </c>
      <c r="D16" s="457"/>
      <c r="E16" s="457"/>
      <c r="F16" s="457"/>
      <c r="G16" s="457"/>
      <c r="H16" s="457"/>
      <c r="I16" s="457"/>
      <c r="J16" s="457"/>
      <c r="K16" s="457"/>
      <c r="L16" s="457"/>
      <c r="M16" s="457"/>
      <c r="N16" s="457"/>
    </row>
    <row r="17" spans="2:18">
      <c r="B17" s="14" t="s">
        <v>137</v>
      </c>
      <c r="C17" s="20" t="s">
        <v>25</v>
      </c>
      <c r="D17" s="20" t="s">
        <v>26</v>
      </c>
      <c r="E17" s="20" t="s">
        <v>27</v>
      </c>
      <c r="F17" s="20" t="s">
        <v>28</v>
      </c>
      <c r="G17" s="20" t="s">
        <v>29</v>
      </c>
      <c r="H17" s="20" t="s">
        <v>30</v>
      </c>
      <c r="I17" s="20" t="s">
        <v>31</v>
      </c>
      <c r="J17" s="20" t="s">
        <v>32</v>
      </c>
      <c r="K17" s="20" t="s">
        <v>33</v>
      </c>
      <c r="L17" s="20" t="s">
        <v>34</v>
      </c>
      <c r="M17" s="20" t="s">
        <v>35</v>
      </c>
      <c r="N17" s="20" t="s">
        <v>36</v>
      </c>
      <c r="P17" s="16" t="s">
        <v>9</v>
      </c>
    </row>
    <row r="18" spans="2:18">
      <c r="B18" s="14" t="s">
        <v>56</v>
      </c>
      <c r="C18" s="96">
        <f>incentivo!C43</f>
        <v>0.50490611570247934</v>
      </c>
      <c r="D18" s="96">
        <f>incentivo!C43</f>
        <v>0.50490611570247934</v>
      </c>
      <c r="E18" s="96">
        <f>incentivo!C43</f>
        <v>0.50490611570247934</v>
      </c>
      <c r="F18" s="96">
        <f>incentivo!C43</f>
        <v>0.50490611570247934</v>
      </c>
      <c r="G18" s="96">
        <f>incentivo!C43</f>
        <v>0.50490611570247934</v>
      </c>
      <c r="H18" s="96">
        <f>incentivo!C43</f>
        <v>0.50490611570247934</v>
      </c>
      <c r="I18" s="96">
        <f>incentivo!C43</f>
        <v>0.50490611570247934</v>
      </c>
      <c r="J18" s="96">
        <f>incentivo!C43</f>
        <v>0.50490611570247934</v>
      </c>
      <c r="K18" s="96">
        <f>incentivo!C43</f>
        <v>0.50490611570247934</v>
      </c>
      <c r="L18" s="96">
        <f>incentivo!C43</f>
        <v>0.50490611570247934</v>
      </c>
      <c r="M18" s="96">
        <f>incentivo!C43</f>
        <v>0.50490611570247934</v>
      </c>
      <c r="N18" s="96">
        <f>incentivo!C43</f>
        <v>0.50490611570247934</v>
      </c>
      <c r="P18" s="17"/>
    </row>
    <row r="19" spans="2:18">
      <c r="B19" s="14" t="s">
        <v>61</v>
      </c>
      <c r="C19" s="20">
        <f t="shared" ref="C19:N19" si="4">C14-$P$14/12</f>
        <v>-297.09570956348512</v>
      </c>
      <c r="D19" s="20">
        <f t="shared" si="4"/>
        <v>-303.21036270603167</v>
      </c>
      <c r="E19" s="20">
        <f t="shared" si="4"/>
        <v>35.082822405361185</v>
      </c>
      <c r="F19" s="20">
        <f t="shared" si="4"/>
        <v>63.210226861075625</v>
      </c>
      <c r="G19" s="20">
        <f t="shared" si="4"/>
        <v>260.40779070820463</v>
      </c>
      <c r="H19" s="20">
        <f t="shared" si="4"/>
        <v>243.43962823763741</v>
      </c>
      <c r="I19" s="20">
        <f t="shared" si="4"/>
        <v>390.6499026444485</v>
      </c>
      <c r="J19" s="20">
        <f t="shared" si="4"/>
        <v>359.31230528889682</v>
      </c>
      <c r="K19" s="20">
        <f t="shared" si="4"/>
        <v>99.745279387791925</v>
      </c>
      <c r="L19" s="20">
        <f t="shared" si="4"/>
        <v>-87.210240445571571</v>
      </c>
      <c r="M19" s="20">
        <f t="shared" si="4"/>
        <v>-387.89830873030246</v>
      </c>
      <c r="N19" s="20">
        <f t="shared" si="4"/>
        <v>-376.43333408802778</v>
      </c>
      <c r="P19" s="17">
        <f>SUM(C19:N19)</f>
        <v>-2.5011104298755527E-12</v>
      </c>
    </row>
    <row r="20" spans="2:18">
      <c r="B20" s="14" t="s">
        <v>62</v>
      </c>
      <c r="C20" s="20">
        <f t="shared" ref="C20:N20" si="5">C7-$P$7/12</f>
        <v>666.27</v>
      </c>
      <c r="D20" s="20">
        <f t="shared" si="5"/>
        <v>484.55999999999995</v>
      </c>
      <c r="E20" s="20">
        <f t="shared" si="5"/>
        <v>-423.99</v>
      </c>
      <c r="F20" s="20">
        <f t="shared" si="5"/>
        <v>-423.99</v>
      </c>
      <c r="G20" s="20">
        <f t="shared" si="5"/>
        <v>-242.27999999999997</v>
      </c>
      <c r="H20" s="20">
        <f t="shared" si="5"/>
        <v>-242.27999999999997</v>
      </c>
      <c r="I20" s="20">
        <f t="shared" si="5"/>
        <v>121.13999999999987</v>
      </c>
      <c r="J20" s="20">
        <f t="shared" si="5"/>
        <v>302.85000000000014</v>
      </c>
      <c r="K20" s="20">
        <f t="shared" si="5"/>
        <v>-423.99</v>
      </c>
      <c r="L20" s="20">
        <f t="shared" si="5"/>
        <v>-423.99</v>
      </c>
      <c r="M20" s="20">
        <f t="shared" si="5"/>
        <v>-60.569999999999936</v>
      </c>
      <c r="N20" s="20">
        <f t="shared" si="5"/>
        <v>666.27</v>
      </c>
      <c r="P20" s="17">
        <f>SUM(C20:N20)</f>
        <v>0</v>
      </c>
    </row>
    <row r="21" spans="2:18">
      <c r="B21" s="14" t="s">
        <v>58</v>
      </c>
      <c r="C21" s="21">
        <f>C19/$P$14</f>
        <v>-1.1733985389120337E-2</v>
      </c>
      <c r="D21" s="21">
        <f t="shared" ref="D21:N21" si="6">D19/$P$14</f>
        <v>-1.1975487532451857E-2</v>
      </c>
      <c r="E21" s="21">
        <f t="shared" si="6"/>
        <v>1.3856185473646015E-3</v>
      </c>
      <c r="F21" s="21">
        <f t="shared" si="6"/>
        <v>2.4965284066895987E-3</v>
      </c>
      <c r="G21" s="21">
        <f t="shared" si="6"/>
        <v>1.028497252913118E-2</v>
      </c>
      <c r="H21" s="21">
        <f t="shared" si="6"/>
        <v>9.614804081386194E-3</v>
      </c>
      <c r="I21" s="21">
        <f t="shared" si="6"/>
        <v>1.5428968182092617E-2</v>
      </c>
      <c r="J21" s="21">
        <f t="shared" si="6"/>
        <v>1.4191269697518561E-2</v>
      </c>
      <c r="K21" s="21">
        <f t="shared" si="6"/>
        <v>3.9395037130954477E-3</v>
      </c>
      <c r="L21" s="21">
        <f t="shared" si="6"/>
        <v>-3.4444243192658379E-3</v>
      </c>
      <c r="M21" s="21">
        <f t="shared" si="6"/>
        <v>-1.532029221759343E-2</v>
      </c>
      <c r="N21" s="21">
        <f t="shared" si="6"/>
        <v>-1.4867475698846838E-2</v>
      </c>
      <c r="P21" s="17">
        <f>SUM(C21:N21)</f>
        <v>-9.7144514654701197E-17</v>
      </c>
    </row>
    <row r="22" spans="2:18">
      <c r="B22" s="14" t="s">
        <v>59</v>
      </c>
      <c r="C22" s="21">
        <f>C20/$P$7</f>
        <v>3.6666666666666667E-2</v>
      </c>
      <c r="D22" s="21">
        <f t="shared" ref="D22:N22" si="7">D20/$P$7</f>
        <v>2.6666666666666665E-2</v>
      </c>
      <c r="E22" s="21">
        <f t="shared" si="7"/>
        <v>-2.3333333333333334E-2</v>
      </c>
      <c r="F22" s="21">
        <f t="shared" si="7"/>
        <v>-2.3333333333333334E-2</v>
      </c>
      <c r="G22" s="21">
        <f t="shared" si="7"/>
        <v>-1.3333333333333332E-2</v>
      </c>
      <c r="H22" s="21">
        <f t="shared" si="7"/>
        <v>-1.3333333333333332E-2</v>
      </c>
      <c r="I22" s="21">
        <f t="shared" si="7"/>
        <v>6.6666666666666593E-3</v>
      </c>
      <c r="J22" s="21">
        <f t="shared" si="7"/>
        <v>1.6666666666666673E-2</v>
      </c>
      <c r="K22" s="21">
        <f t="shared" si="7"/>
        <v>-2.3333333333333334E-2</v>
      </c>
      <c r="L22" s="21">
        <f t="shared" si="7"/>
        <v>-2.3333333333333334E-2</v>
      </c>
      <c r="M22" s="21">
        <f t="shared" si="7"/>
        <v>-3.3333333333333296E-3</v>
      </c>
      <c r="N22" s="21">
        <f t="shared" si="7"/>
        <v>3.6666666666666667E-2</v>
      </c>
      <c r="P22" s="17">
        <f>SUM(C22:N22)</f>
        <v>0</v>
      </c>
    </row>
    <row r="23" spans="2:18">
      <c r="B23" s="14" t="s">
        <v>60</v>
      </c>
      <c r="C23" s="96">
        <f>C18+C21-C22</f>
        <v>0.45650546364669231</v>
      </c>
      <c r="D23" s="96">
        <f t="shared" ref="D23:N23" si="8">D18+D21-D22</f>
        <v>0.4662639615033608</v>
      </c>
      <c r="E23" s="96">
        <f t="shared" si="8"/>
        <v>0.52962506758317729</v>
      </c>
      <c r="F23" s="96">
        <f t="shared" si="8"/>
        <v>0.53073597744250223</v>
      </c>
      <c r="G23" s="96">
        <f t="shared" si="8"/>
        <v>0.52852442156494384</v>
      </c>
      <c r="H23" s="96">
        <f t="shared" si="8"/>
        <v>0.5278542531171988</v>
      </c>
      <c r="I23" s="96">
        <f t="shared" si="8"/>
        <v>0.51366841721790524</v>
      </c>
      <c r="J23" s="96">
        <f t="shared" si="8"/>
        <v>0.50243071873333123</v>
      </c>
      <c r="K23" s="96">
        <f t="shared" si="8"/>
        <v>0.53217895274890814</v>
      </c>
      <c r="L23" s="96">
        <f t="shared" si="8"/>
        <v>0.52479502471654682</v>
      </c>
      <c r="M23" s="96">
        <f t="shared" si="8"/>
        <v>0.49291915681821924</v>
      </c>
      <c r="N23" s="96">
        <f t="shared" si="8"/>
        <v>0.45337197333696583</v>
      </c>
      <c r="P23" s="100">
        <f>SUM(C23:N23)/12</f>
        <v>0.50490611570247934</v>
      </c>
    </row>
    <row r="24" spans="2:18"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P24" s="15"/>
    </row>
    <row r="25" spans="2:18" ht="23.4" customHeight="1">
      <c r="B25" s="97" t="s">
        <v>46</v>
      </c>
      <c r="C25" s="457" t="s">
        <v>111</v>
      </c>
      <c r="D25" s="457"/>
      <c r="E25" s="457"/>
      <c r="F25" s="457"/>
      <c r="G25" s="457"/>
      <c r="H25" s="457"/>
      <c r="I25" s="457"/>
      <c r="J25" s="457"/>
      <c r="K25" s="457"/>
      <c r="L25" s="457"/>
      <c r="M25" s="457"/>
      <c r="N25" s="457"/>
    </row>
    <row r="26" spans="2:18">
      <c r="B26" s="14" t="s">
        <v>137</v>
      </c>
      <c r="C26" s="10" t="s">
        <v>25</v>
      </c>
      <c r="D26" s="10" t="s">
        <v>26</v>
      </c>
      <c r="E26" s="10" t="s">
        <v>27</v>
      </c>
      <c r="F26" s="10" t="s">
        <v>28</v>
      </c>
      <c r="G26" s="10" t="s">
        <v>29</v>
      </c>
      <c r="H26" s="10" t="s">
        <v>30</v>
      </c>
      <c r="I26" s="10" t="s">
        <v>31</v>
      </c>
      <c r="J26" s="10" t="s">
        <v>32</v>
      </c>
      <c r="K26" s="10" t="s">
        <v>33</v>
      </c>
      <c r="L26" s="10" t="s">
        <v>34</v>
      </c>
      <c r="M26" s="10" t="s">
        <v>35</v>
      </c>
      <c r="N26" s="10" t="s">
        <v>36</v>
      </c>
      <c r="P26" s="16" t="s">
        <v>9</v>
      </c>
    </row>
    <row r="27" spans="2:18">
      <c r="B27" s="14" t="s">
        <v>53</v>
      </c>
      <c r="C27" s="15">
        <f>C7*C23</f>
        <v>995.41929359088556</v>
      </c>
      <c r="D27" s="15">
        <f t="shared" ref="D27:N27" si="9">D7*D23</f>
        <v>931.97306889253252</v>
      </c>
      <c r="E27" s="15">
        <f t="shared" si="9"/>
        <v>577.4290261832349</v>
      </c>
      <c r="F27" s="15">
        <f t="shared" si="9"/>
        <v>578.64020676646248</v>
      </c>
      <c r="G27" s="15">
        <f t="shared" si="9"/>
        <v>672.26720849796163</v>
      </c>
      <c r="H27" s="15">
        <f t="shared" si="9"/>
        <v>671.41477433748332</v>
      </c>
      <c r="I27" s="15">
        <f t="shared" si="9"/>
        <v>840.04819283399002</v>
      </c>
      <c r="J27" s="15">
        <f t="shared" si="9"/>
        <v>912.96685901033629</v>
      </c>
      <c r="K27" s="15">
        <f t="shared" si="9"/>
        <v>580.21342502402456</v>
      </c>
      <c r="L27" s="15">
        <f t="shared" si="9"/>
        <v>572.1630236474623</v>
      </c>
      <c r="M27" s="15">
        <f t="shared" si="9"/>
        <v>716.54671988350901</v>
      </c>
      <c r="N27" s="15">
        <f t="shared" si="9"/>
        <v>988.58665530072074</v>
      </c>
      <c r="P27" s="17">
        <f>SUM(C27:N27)</f>
        <v>9037.668453968603</v>
      </c>
    </row>
    <row r="28" spans="2:18">
      <c r="B28" s="14" t="s">
        <v>54</v>
      </c>
      <c r="C28" s="15">
        <f>C7-C27</f>
        <v>1185.1007064091145</v>
      </c>
      <c r="D28" s="15">
        <f t="shared" ref="D28:N28" si="10">D7-D27</f>
        <v>1066.8369311074675</v>
      </c>
      <c r="E28" s="15">
        <f t="shared" si="10"/>
        <v>512.83097381676509</v>
      </c>
      <c r="F28" s="15">
        <f t="shared" si="10"/>
        <v>511.61979323353751</v>
      </c>
      <c r="G28" s="15">
        <f t="shared" si="10"/>
        <v>599.70279150203839</v>
      </c>
      <c r="H28" s="15">
        <f t="shared" si="10"/>
        <v>600.5552256625167</v>
      </c>
      <c r="I28" s="15">
        <f t="shared" si="10"/>
        <v>795.34180716600986</v>
      </c>
      <c r="J28" s="15">
        <f t="shared" si="10"/>
        <v>904.13314098966384</v>
      </c>
      <c r="K28" s="15">
        <f t="shared" si="10"/>
        <v>510.04657497597543</v>
      </c>
      <c r="L28" s="15">
        <f t="shared" si="10"/>
        <v>518.09697635253769</v>
      </c>
      <c r="M28" s="15">
        <f t="shared" si="10"/>
        <v>737.13328011649105</v>
      </c>
      <c r="N28" s="15">
        <f t="shared" si="10"/>
        <v>1191.9333446992791</v>
      </c>
      <c r="P28" s="17">
        <f>SUM(C28:N28)</f>
        <v>9133.331546031397</v>
      </c>
    </row>
    <row r="29" spans="2:18">
      <c r="B29" s="14" t="s">
        <v>49</v>
      </c>
      <c r="C29" s="15">
        <f>C14-(C7-C28)</f>
        <v>817.42249684562944</v>
      </c>
      <c r="D29" s="15">
        <f>D14-(D7-D28)</f>
        <v>874.75406840143592</v>
      </c>
      <c r="E29" s="15">
        <f t="shared" ref="E29:N29" si="11">E14-E27</f>
        <v>1567.5912962221264</v>
      </c>
      <c r="F29" s="15">
        <f t="shared" si="11"/>
        <v>1594.507520094613</v>
      </c>
      <c r="G29" s="15">
        <f t="shared" si="11"/>
        <v>1698.0780822102429</v>
      </c>
      <c r="H29" s="15">
        <f t="shared" si="11"/>
        <v>1681.9623539001541</v>
      </c>
      <c r="I29" s="15">
        <f t="shared" si="11"/>
        <v>1660.5392098104585</v>
      </c>
      <c r="J29" s="15">
        <f t="shared" si="11"/>
        <v>1556.2829462785605</v>
      </c>
      <c r="K29" s="15">
        <f t="shared" si="11"/>
        <v>1629.4693543637673</v>
      </c>
      <c r="L29" s="15">
        <f t="shared" si="11"/>
        <v>1450.5642359069661</v>
      </c>
      <c r="M29" s="15">
        <f t="shared" si="11"/>
        <v>1005.4924713861885</v>
      </c>
      <c r="N29" s="15">
        <f t="shared" si="11"/>
        <v>744.91751061125149</v>
      </c>
      <c r="P29" s="17">
        <f t="shared" ref="P29" si="12">SUM(C29:N29)</f>
        <v>16281.581546031393</v>
      </c>
      <c r="R29" s="131">
        <f>C7-C28</f>
        <v>995.41929359088545</v>
      </c>
    </row>
    <row r="30" spans="2:18" ht="23.4">
      <c r="B30" s="97" t="s">
        <v>47</v>
      </c>
      <c r="C30" s="457" t="s">
        <v>111</v>
      </c>
      <c r="D30" s="457"/>
      <c r="E30" s="457"/>
      <c r="F30" s="457"/>
      <c r="G30" s="457"/>
      <c r="H30" s="457"/>
      <c r="I30" s="457"/>
      <c r="J30" s="457"/>
      <c r="K30" s="457"/>
      <c r="L30" s="457"/>
      <c r="M30" s="457"/>
      <c r="N30" s="457"/>
    </row>
    <row r="31" spans="2:18">
      <c r="B31" s="14" t="s">
        <v>137</v>
      </c>
      <c r="C31" s="10" t="s">
        <v>25</v>
      </c>
      <c r="D31" s="10" t="s">
        <v>26</v>
      </c>
      <c r="E31" s="10" t="s">
        <v>27</v>
      </c>
      <c r="F31" s="10" t="s">
        <v>28</v>
      </c>
      <c r="G31" s="10" t="s">
        <v>29</v>
      </c>
      <c r="H31" s="10" t="s">
        <v>30</v>
      </c>
      <c r="I31" s="10" t="s">
        <v>31</v>
      </c>
      <c r="J31" s="10" t="s">
        <v>32</v>
      </c>
      <c r="K31" s="10" t="s">
        <v>33</v>
      </c>
      <c r="L31" s="10" t="s">
        <v>34</v>
      </c>
      <c r="M31" s="10" t="s">
        <v>35</v>
      </c>
      <c r="N31" s="10" t="s">
        <v>36</v>
      </c>
      <c r="P31" s="16" t="s">
        <v>9</v>
      </c>
    </row>
    <row r="32" spans="2:18">
      <c r="B32" s="14" t="s">
        <v>48</v>
      </c>
      <c r="C32" s="18">
        <f t="shared" ref="C32:N32" si="13">C28*preciokwh</f>
        <v>391.08323311500783</v>
      </c>
      <c r="D32" s="18">
        <f t="shared" si="13"/>
        <v>352.0561872654643</v>
      </c>
      <c r="E32" s="18">
        <f t="shared" si="13"/>
        <v>169.23422135953248</v>
      </c>
      <c r="F32" s="18">
        <f t="shared" si="13"/>
        <v>168.83453176706738</v>
      </c>
      <c r="G32" s="18">
        <f t="shared" si="13"/>
        <v>197.90192119567268</v>
      </c>
      <c r="H32" s="18">
        <f t="shared" si="13"/>
        <v>198.18322446863053</v>
      </c>
      <c r="I32" s="18">
        <f t="shared" si="13"/>
        <v>262.46279636478329</v>
      </c>
      <c r="J32" s="18">
        <f t="shared" si="13"/>
        <v>298.3639365265891</v>
      </c>
      <c r="K32" s="18">
        <f t="shared" si="13"/>
        <v>168.31536974207191</v>
      </c>
      <c r="L32" s="18">
        <f t="shared" si="13"/>
        <v>170.97200219633746</v>
      </c>
      <c r="M32" s="18">
        <f t="shared" si="13"/>
        <v>243.25398243844205</v>
      </c>
      <c r="N32" s="18">
        <f t="shared" si="13"/>
        <v>393.33800375076214</v>
      </c>
      <c r="P32" s="19">
        <f>SUM(C32:N32)</f>
        <v>3013.9994101903617</v>
      </c>
    </row>
    <row r="33" spans="1:16">
      <c r="B33" s="14" t="s">
        <v>55</v>
      </c>
      <c r="C33" s="18">
        <f t="shared" ref="C33:N33" si="14">C27*preciokwh+C29*precioexc</f>
        <v>414.31772905378335</v>
      </c>
      <c r="D33" s="18">
        <f t="shared" si="14"/>
        <v>399.40028991668652</v>
      </c>
      <c r="E33" s="18">
        <f t="shared" si="14"/>
        <v>355.14866474379079</v>
      </c>
      <c r="F33" s="18">
        <f t="shared" si="14"/>
        <v>358.37455784286698</v>
      </c>
      <c r="G33" s="18">
        <f t="shared" si="14"/>
        <v>400.14637743640287</v>
      </c>
      <c r="H33" s="18">
        <f t="shared" si="14"/>
        <v>398.17292269088568</v>
      </c>
      <c r="I33" s="18">
        <f t="shared" si="14"/>
        <v>451.57252066531487</v>
      </c>
      <c r="J33" s="18">
        <f t="shared" si="14"/>
        <v>464.68877283265982</v>
      </c>
      <c r="K33" s="18">
        <f t="shared" si="14"/>
        <v>362.56471246612364</v>
      </c>
      <c r="L33" s="18">
        <f t="shared" si="14"/>
        <v>341.123042573894</v>
      </c>
      <c r="M33" s="18">
        <f t="shared" si="14"/>
        <v>342.0371270571078</v>
      </c>
      <c r="N33" s="18">
        <f t="shared" si="14"/>
        <v>404.44993486341923</v>
      </c>
      <c r="P33" s="19">
        <f>SUM(C33:N33)</f>
        <v>4691.996652142936</v>
      </c>
    </row>
    <row r="34" spans="1:16" ht="23.4">
      <c r="B34" s="97" t="s">
        <v>354</v>
      </c>
      <c r="C34" s="457" t="s">
        <v>111</v>
      </c>
      <c r="D34" s="457"/>
      <c r="E34" s="457"/>
      <c r="F34" s="457"/>
      <c r="G34" s="457"/>
      <c r="H34" s="457"/>
      <c r="I34" s="457"/>
      <c r="J34" s="457"/>
      <c r="K34" s="457"/>
      <c r="L34" s="457"/>
      <c r="M34" s="457"/>
      <c r="N34" s="457"/>
    </row>
    <row r="35" spans="1:16">
      <c r="B35" s="14" t="s">
        <v>137</v>
      </c>
      <c r="C35" s="10" t="s">
        <v>25</v>
      </c>
      <c r="D35" s="10" t="s">
        <v>26</v>
      </c>
      <c r="E35" s="10" t="s">
        <v>27</v>
      </c>
      <c r="F35" s="10" t="s">
        <v>28</v>
      </c>
      <c r="G35" s="10" t="s">
        <v>29</v>
      </c>
      <c r="H35" s="10" t="s">
        <v>30</v>
      </c>
      <c r="I35" s="10" t="s">
        <v>31</v>
      </c>
      <c r="J35" s="10" t="s">
        <v>32</v>
      </c>
      <c r="K35" s="10" t="s">
        <v>33</v>
      </c>
      <c r="L35" s="10" t="s">
        <v>34</v>
      </c>
      <c r="M35" s="10" t="s">
        <v>35</v>
      </c>
      <c r="N35" s="10" t="s">
        <v>36</v>
      </c>
      <c r="P35" s="16" t="s">
        <v>9</v>
      </c>
    </row>
    <row r="36" spans="1:16">
      <c r="B36" s="14" t="s">
        <v>44</v>
      </c>
      <c r="C36" s="15">
        <f t="shared" ref="C36:N36" si="15">C28*dioxido</f>
        <v>303.38578084073333</v>
      </c>
      <c r="D36" s="15">
        <f t="shared" si="15"/>
        <v>273.11025436351167</v>
      </c>
      <c r="E36" s="15">
        <f t="shared" si="15"/>
        <v>131.28472929709187</v>
      </c>
      <c r="F36" s="15">
        <f t="shared" si="15"/>
        <v>130.97466706778562</v>
      </c>
      <c r="G36" s="15">
        <f t="shared" si="15"/>
        <v>153.52391462452184</v>
      </c>
      <c r="H36" s="15">
        <f t="shared" si="15"/>
        <v>153.74213776960428</v>
      </c>
      <c r="I36" s="15">
        <f t="shared" si="15"/>
        <v>203.60750263449853</v>
      </c>
      <c r="J36" s="15">
        <f t="shared" si="15"/>
        <v>231.45808409335396</v>
      </c>
      <c r="K36" s="15">
        <f t="shared" si="15"/>
        <v>130.57192319384973</v>
      </c>
      <c r="L36" s="15">
        <f t="shared" si="15"/>
        <v>132.63282594624965</v>
      </c>
      <c r="M36" s="15">
        <f t="shared" si="15"/>
        <v>188.70611970982171</v>
      </c>
      <c r="N36" s="15">
        <f t="shared" si="15"/>
        <v>305.13493624301549</v>
      </c>
      <c r="P36" s="17">
        <f t="shared" ref="P36" si="16">SUM(C36:N36)</f>
        <v>2338.1328757840374</v>
      </c>
    </row>
    <row r="37" spans="1:16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P37" s="17"/>
    </row>
    <row r="38" spans="1:16" ht="23.4">
      <c r="A38" s="13"/>
      <c r="B38" s="99" t="s">
        <v>57</v>
      </c>
      <c r="C38" s="456" t="s">
        <v>112</v>
      </c>
      <c r="D38" s="456"/>
      <c r="E38" s="456"/>
      <c r="F38" s="456"/>
      <c r="G38" s="456"/>
      <c r="H38" s="456"/>
      <c r="I38" s="456"/>
      <c r="J38" s="456"/>
      <c r="K38" s="456"/>
      <c r="L38" s="456"/>
      <c r="M38" s="456"/>
      <c r="N38" s="456"/>
    </row>
    <row r="39" spans="1:16">
      <c r="A39" s="13"/>
      <c r="B39" s="14" t="s">
        <v>137</v>
      </c>
      <c r="C39" s="20" t="s">
        <v>25</v>
      </c>
      <c r="D39" s="20" t="s">
        <v>26</v>
      </c>
      <c r="E39" s="20" t="s">
        <v>27</v>
      </c>
      <c r="F39" s="20" t="s">
        <v>28</v>
      </c>
      <c r="G39" s="20" t="s">
        <v>29</v>
      </c>
      <c r="H39" s="20" t="s">
        <v>30</v>
      </c>
      <c r="I39" s="20" t="s">
        <v>31</v>
      </c>
      <c r="J39" s="20" t="s">
        <v>32</v>
      </c>
      <c r="K39" s="20" t="s">
        <v>33</v>
      </c>
      <c r="L39" s="20" t="s">
        <v>34</v>
      </c>
      <c r="M39" s="20" t="s">
        <v>35</v>
      </c>
      <c r="N39" s="20" t="s">
        <v>36</v>
      </c>
      <c r="P39" s="16" t="s">
        <v>9</v>
      </c>
    </row>
    <row r="40" spans="1:16">
      <c r="A40" s="13"/>
      <c r="B40" s="14" t="s">
        <v>56</v>
      </c>
      <c r="C40" s="96" t="e">
        <f>incentivo!D43</f>
        <v>#DIV/0!</v>
      </c>
      <c r="D40" s="96" t="e">
        <f>incentivo!D43</f>
        <v>#DIV/0!</v>
      </c>
      <c r="E40" s="96" t="e">
        <f>incentivo!D43</f>
        <v>#DIV/0!</v>
      </c>
      <c r="F40" s="96" t="e">
        <f>incentivo!D43</f>
        <v>#DIV/0!</v>
      </c>
      <c r="G40" s="96" t="e">
        <f>incentivo!D43</f>
        <v>#DIV/0!</v>
      </c>
      <c r="H40" s="96" t="e">
        <f>incentivo!D43</f>
        <v>#DIV/0!</v>
      </c>
      <c r="I40" s="96" t="e">
        <f>incentivo!D43</f>
        <v>#DIV/0!</v>
      </c>
      <c r="J40" s="96" t="e">
        <f>incentivo!D43</f>
        <v>#DIV/0!</v>
      </c>
      <c r="K40" s="96" t="e">
        <f>incentivo!D43</f>
        <v>#DIV/0!</v>
      </c>
      <c r="L40" s="96" t="e">
        <f>incentivo!D43</f>
        <v>#DIV/0!</v>
      </c>
      <c r="M40" s="96" t="e">
        <f>incentivo!D43</f>
        <v>#DIV/0!</v>
      </c>
      <c r="N40" s="96" t="e">
        <f>incentivo!D43</f>
        <v>#DIV/0!</v>
      </c>
      <c r="P40" s="17"/>
    </row>
    <row r="41" spans="1:16">
      <c r="B41" s="14" t="s">
        <v>61</v>
      </c>
      <c r="C41" s="20">
        <f>C19</f>
        <v>-297.09570956348512</v>
      </c>
      <c r="D41" s="20">
        <f t="shared" ref="D41:N41" si="17">D19</f>
        <v>-303.21036270603167</v>
      </c>
      <c r="E41" s="20">
        <f t="shared" si="17"/>
        <v>35.082822405361185</v>
      </c>
      <c r="F41" s="20">
        <f t="shared" si="17"/>
        <v>63.210226861075625</v>
      </c>
      <c r="G41" s="20">
        <f t="shared" si="17"/>
        <v>260.40779070820463</v>
      </c>
      <c r="H41" s="20">
        <f t="shared" si="17"/>
        <v>243.43962823763741</v>
      </c>
      <c r="I41" s="20">
        <f t="shared" si="17"/>
        <v>390.6499026444485</v>
      </c>
      <c r="J41" s="20">
        <f t="shared" si="17"/>
        <v>359.31230528889682</v>
      </c>
      <c r="K41" s="20">
        <f t="shared" si="17"/>
        <v>99.745279387791925</v>
      </c>
      <c r="L41" s="20">
        <f t="shared" si="17"/>
        <v>-87.210240445571571</v>
      </c>
      <c r="M41" s="20">
        <f t="shared" si="17"/>
        <v>-387.89830873030246</v>
      </c>
      <c r="N41" s="20">
        <f t="shared" si="17"/>
        <v>-376.43333408802778</v>
      </c>
      <c r="P41" s="17">
        <f>SUM(C41:N41)</f>
        <v>-2.5011104298755527E-12</v>
      </c>
    </row>
    <row r="42" spans="1:16">
      <c r="B42" s="14" t="s">
        <v>62</v>
      </c>
      <c r="C42" s="20">
        <f>C20</f>
        <v>666.27</v>
      </c>
      <c r="D42" s="20">
        <f t="shared" ref="D42:N42" si="18">D20</f>
        <v>484.55999999999995</v>
      </c>
      <c r="E42" s="20">
        <f t="shared" si="18"/>
        <v>-423.99</v>
      </c>
      <c r="F42" s="20">
        <f t="shared" si="18"/>
        <v>-423.99</v>
      </c>
      <c r="G42" s="20">
        <f t="shared" si="18"/>
        <v>-242.27999999999997</v>
      </c>
      <c r="H42" s="20">
        <f t="shared" si="18"/>
        <v>-242.27999999999997</v>
      </c>
      <c r="I42" s="20">
        <f t="shared" si="18"/>
        <v>121.13999999999987</v>
      </c>
      <c r="J42" s="20">
        <f t="shared" si="18"/>
        <v>302.85000000000014</v>
      </c>
      <c r="K42" s="20">
        <f t="shared" si="18"/>
        <v>-423.99</v>
      </c>
      <c r="L42" s="20">
        <f t="shared" si="18"/>
        <v>-423.99</v>
      </c>
      <c r="M42" s="20">
        <f t="shared" si="18"/>
        <v>-60.569999999999936</v>
      </c>
      <c r="N42" s="20">
        <f t="shared" si="18"/>
        <v>666.27</v>
      </c>
      <c r="P42" s="17">
        <f>SUM(C42:N42)</f>
        <v>0</v>
      </c>
    </row>
    <row r="43" spans="1:16">
      <c r="B43" s="14" t="s">
        <v>58</v>
      </c>
      <c r="C43" s="21">
        <f>C21</f>
        <v>-1.1733985389120337E-2</v>
      </c>
      <c r="D43" s="21">
        <f t="shared" ref="D43:N43" si="19">D21</f>
        <v>-1.1975487532451857E-2</v>
      </c>
      <c r="E43" s="21">
        <f t="shared" si="19"/>
        <v>1.3856185473646015E-3</v>
      </c>
      <c r="F43" s="21">
        <f t="shared" si="19"/>
        <v>2.4965284066895987E-3</v>
      </c>
      <c r="G43" s="21">
        <f t="shared" si="19"/>
        <v>1.028497252913118E-2</v>
      </c>
      <c r="H43" s="21">
        <f t="shared" si="19"/>
        <v>9.614804081386194E-3</v>
      </c>
      <c r="I43" s="21">
        <f t="shared" si="19"/>
        <v>1.5428968182092617E-2</v>
      </c>
      <c r="J43" s="21">
        <f t="shared" si="19"/>
        <v>1.4191269697518561E-2</v>
      </c>
      <c r="K43" s="21">
        <f t="shared" si="19"/>
        <v>3.9395037130954477E-3</v>
      </c>
      <c r="L43" s="21">
        <f t="shared" si="19"/>
        <v>-3.4444243192658379E-3</v>
      </c>
      <c r="M43" s="21">
        <f t="shared" si="19"/>
        <v>-1.532029221759343E-2</v>
      </c>
      <c r="N43" s="21">
        <f t="shared" si="19"/>
        <v>-1.4867475698846838E-2</v>
      </c>
      <c r="P43" s="17">
        <f>SUM(C43:N43)</f>
        <v>-9.7144514654701197E-17</v>
      </c>
    </row>
    <row r="44" spans="1:16">
      <c r="B44" s="14" t="s">
        <v>59</v>
      </c>
      <c r="C44" s="21">
        <f>C22</f>
        <v>3.6666666666666667E-2</v>
      </c>
      <c r="D44" s="21">
        <f t="shared" ref="D44:M44" si="20">D22</f>
        <v>2.6666666666666665E-2</v>
      </c>
      <c r="E44" s="21">
        <f t="shared" si="20"/>
        <v>-2.3333333333333334E-2</v>
      </c>
      <c r="F44" s="21">
        <f t="shared" si="20"/>
        <v>-2.3333333333333334E-2</v>
      </c>
      <c r="G44" s="21">
        <f t="shared" si="20"/>
        <v>-1.3333333333333332E-2</v>
      </c>
      <c r="H44" s="21">
        <f t="shared" si="20"/>
        <v>-1.3333333333333332E-2</v>
      </c>
      <c r="I44" s="21">
        <f t="shared" si="20"/>
        <v>6.6666666666666593E-3</v>
      </c>
      <c r="J44" s="21">
        <f t="shared" si="20"/>
        <v>1.6666666666666673E-2</v>
      </c>
      <c r="K44" s="21">
        <f t="shared" si="20"/>
        <v>-2.3333333333333334E-2</v>
      </c>
      <c r="L44" s="21">
        <f t="shared" si="20"/>
        <v>-2.3333333333333334E-2</v>
      </c>
      <c r="M44" s="21">
        <f t="shared" si="20"/>
        <v>-3.3333333333333296E-3</v>
      </c>
      <c r="N44" s="21">
        <f>N22</f>
        <v>3.6666666666666667E-2</v>
      </c>
      <c r="P44" s="17">
        <f>SUM(C44:N44)</f>
        <v>0</v>
      </c>
    </row>
    <row r="45" spans="1:16">
      <c r="B45" s="14" t="s">
        <v>60</v>
      </c>
      <c r="C45" s="96" t="e">
        <f>C40+C43-C44</f>
        <v>#DIV/0!</v>
      </c>
      <c r="D45" s="96" t="e">
        <f t="shared" ref="D45:N45" si="21">D40+D43-D44</f>
        <v>#DIV/0!</v>
      </c>
      <c r="E45" s="96" t="e">
        <f t="shared" si="21"/>
        <v>#DIV/0!</v>
      </c>
      <c r="F45" s="96" t="e">
        <f t="shared" si="21"/>
        <v>#DIV/0!</v>
      </c>
      <c r="G45" s="96" t="e">
        <f t="shared" si="21"/>
        <v>#DIV/0!</v>
      </c>
      <c r="H45" s="96" t="e">
        <f t="shared" si="21"/>
        <v>#DIV/0!</v>
      </c>
      <c r="I45" s="96" t="e">
        <f t="shared" si="21"/>
        <v>#DIV/0!</v>
      </c>
      <c r="J45" s="96" t="e">
        <f t="shared" si="21"/>
        <v>#DIV/0!</v>
      </c>
      <c r="K45" s="96" t="e">
        <f t="shared" si="21"/>
        <v>#DIV/0!</v>
      </c>
      <c r="L45" s="96" t="e">
        <f t="shared" si="21"/>
        <v>#DIV/0!</v>
      </c>
      <c r="M45" s="96" t="e">
        <f t="shared" si="21"/>
        <v>#DIV/0!</v>
      </c>
      <c r="N45" s="96" t="e">
        <f t="shared" si="21"/>
        <v>#DIV/0!</v>
      </c>
      <c r="P45" s="100" t="e">
        <f>SUM(C45:N45)/12</f>
        <v>#DIV/0!</v>
      </c>
    </row>
    <row r="46" spans="1:16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P46" s="15"/>
    </row>
    <row r="47" spans="1:16" ht="23.4">
      <c r="B47" s="99" t="s">
        <v>46</v>
      </c>
      <c r="C47" s="456" t="s">
        <v>112</v>
      </c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</row>
    <row r="48" spans="1:16">
      <c r="B48" s="14" t="s">
        <v>137</v>
      </c>
      <c r="C48" s="10" t="s">
        <v>25</v>
      </c>
      <c r="D48" s="10" t="s">
        <v>26</v>
      </c>
      <c r="E48" s="10" t="s">
        <v>27</v>
      </c>
      <c r="F48" s="10" t="s">
        <v>28</v>
      </c>
      <c r="G48" s="10" t="s">
        <v>29</v>
      </c>
      <c r="H48" s="10" t="s">
        <v>30</v>
      </c>
      <c r="I48" s="10" t="s">
        <v>31</v>
      </c>
      <c r="J48" s="10" t="s">
        <v>32</v>
      </c>
      <c r="K48" s="10" t="s">
        <v>33</v>
      </c>
      <c r="L48" s="10" t="s">
        <v>34</v>
      </c>
      <c r="M48" s="10" t="s">
        <v>35</v>
      </c>
      <c r="N48" s="10" t="s">
        <v>36</v>
      </c>
      <c r="P48" s="16" t="s">
        <v>9</v>
      </c>
    </row>
    <row r="49" spans="2:84">
      <c r="B49" s="14" t="s">
        <v>53</v>
      </c>
      <c r="C49" s="15" t="e">
        <f>C7*C45</f>
        <v>#DIV/0!</v>
      </c>
      <c r="D49" s="15" t="e">
        <f t="shared" ref="D49:N49" si="22">D7*D45</f>
        <v>#DIV/0!</v>
      </c>
      <c r="E49" s="15" t="e">
        <f t="shared" si="22"/>
        <v>#DIV/0!</v>
      </c>
      <c r="F49" s="15" t="e">
        <f t="shared" si="22"/>
        <v>#DIV/0!</v>
      </c>
      <c r="G49" s="15" t="e">
        <f t="shared" si="22"/>
        <v>#DIV/0!</v>
      </c>
      <c r="H49" s="15" t="e">
        <f t="shared" si="22"/>
        <v>#DIV/0!</v>
      </c>
      <c r="I49" s="15" t="e">
        <f t="shared" si="22"/>
        <v>#DIV/0!</v>
      </c>
      <c r="J49" s="15" t="e">
        <f t="shared" si="22"/>
        <v>#DIV/0!</v>
      </c>
      <c r="K49" s="15" t="e">
        <f t="shared" si="22"/>
        <v>#DIV/0!</v>
      </c>
      <c r="L49" s="15" t="e">
        <f t="shared" si="22"/>
        <v>#DIV/0!</v>
      </c>
      <c r="M49" s="15" t="e">
        <f t="shared" si="22"/>
        <v>#DIV/0!</v>
      </c>
      <c r="N49" s="15" t="e">
        <f t="shared" si="22"/>
        <v>#DIV/0!</v>
      </c>
      <c r="P49" s="17" t="e">
        <f>SUM(C49:N49)</f>
        <v>#DIV/0!</v>
      </c>
    </row>
    <row r="50" spans="2:84">
      <c r="B50" s="14" t="s">
        <v>54</v>
      </c>
      <c r="C50" s="15" t="e">
        <f>C7-C49</f>
        <v>#DIV/0!</v>
      </c>
      <c r="D50" s="15" t="e">
        <f t="shared" ref="D50:N50" si="23">D7-D49</f>
        <v>#DIV/0!</v>
      </c>
      <c r="E50" s="15" t="e">
        <f t="shared" si="23"/>
        <v>#DIV/0!</v>
      </c>
      <c r="F50" s="15" t="e">
        <f t="shared" si="23"/>
        <v>#DIV/0!</v>
      </c>
      <c r="G50" s="15" t="e">
        <f t="shared" si="23"/>
        <v>#DIV/0!</v>
      </c>
      <c r="H50" s="15" t="e">
        <f t="shared" si="23"/>
        <v>#DIV/0!</v>
      </c>
      <c r="I50" s="15" t="e">
        <f t="shared" si="23"/>
        <v>#DIV/0!</v>
      </c>
      <c r="J50" s="15" t="e">
        <f t="shared" si="23"/>
        <v>#DIV/0!</v>
      </c>
      <c r="K50" s="15" t="e">
        <f t="shared" si="23"/>
        <v>#DIV/0!</v>
      </c>
      <c r="L50" s="15" t="e">
        <f t="shared" si="23"/>
        <v>#DIV/0!</v>
      </c>
      <c r="M50" s="15" t="e">
        <f t="shared" si="23"/>
        <v>#DIV/0!</v>
      </c>
      <c r="N50" s="15" t="e">
        <f t="shared" si="23"/>
        <v>#DIV/0!</v>
      </c>
      <c r="P50" s="17" t="e">
        <f t="shared" ref="P50:P51" si="24">SUM(C50:N50)</f>
        <v>#DIV/0!</v>
      </c>
    </row>
    <row r="51" spans="2:84">
      <c r="B51" s="14" t="s">
        <v>49</v>
      </c>
      <c r="C51" s="15" t="e">
        <f>C14-C49</f>
        <v>#DIV/0!</v>
      </c>
      <c r="D51" s="15" t="e">
        <f t="shared" ref="D51:N51" si="25">D14-D49</f>
        <v>#DIV/0!</v>
      </c>
      <c r="E51" s="15" t="e">
        <f t="shared" si="25"/>
        <v>#DIV/0!</v>
      </c>
      <c r="F51" s="15" t="e">
        <f t="shared" si="25"/>
        <v>#DIV/0!</v>
      </c>
      <c r="G51" s="15" t="e">
        <f t="shared" si="25"/>
        <v>#DIV/0!</v>
      </c>
      <c r="H51" s="15" t="e">
        <f t="shared" si="25"/>
        <v>#DIV/0!</v>
      </c>
      <c r="I51" s="15" t="e">
        <f t="shared" si="25"/>
        <v>#DIV/0!</v>
      </c>
      <c r="J51" s="15" t="e">
        <f t="shared" si="25"/>
        <v>#DIV/0!</v>
      </c>
      <c r="K51" s="15" t="e">
        <f t="shared" si="25"/>
        <v>#DIV/0!</v>
      </c>
      <c r="L51" s="15" t="e">
        <f t="shared" si="25"/>
        <v>#DIV/0!</v>
      </c>
      <c r="M51" s="15" t="e">
        <f t="shared" si="25"/>
        <v>#DIV/0!</v>
      </c>
      <c r="N51" s="15" t="e">
        <f t="shared" si="25"/>
        <v>#DIV/0!</v>
      </c>
      <c r="P51" s="17" t="e">
        <f t="shared" si="24"/>
        <v>#DIV/0!</v>
      </c>
    </row>
    <row r="52" spans="2:84" ht="23.4">
      <c r="B52" s="99" t="s">
        <v>47</v>
      </c>
      <c r="C52" s="456" t="s">
        <v>112</v>
      </c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</row>
    <row r="53" spans="2:84" s="10" customFormat="1">
      <c r="B53" s="14" t="s">
        <v>137</v>
      </c>
      <c r="C53" s="10" t="s">
        <v>25</v>
      </c>
      <c r="D53" s="10" t="s">
        <v>26</v>
      </c>
      <c r="E53" s="10" t="s">
        <v>27</v>
      </c>
      <c r="F53" s="10" t="s">
        <v>28</v>
      </c>
      <c r="G53" s="10" t="s">
        <v>29</v>
      </c>
      <c r="H53" s="10" t="s">
        <v>30</v>
      </c>
      <c r="I53" s="10" t="s">
        <v>31</v>
      </c>
      <c r="J53" s="10" t="s">
        <v>32</v>
      </c>
      <c r="K53" s="10" t="s">
        <v>33</v>
      </c>
      <c r="L53" s="10" t="s">
        <v>34</v>
      </c>
      <c r="M53" s="10" t="s">
        <v>35</v>
      </c>
      <c r="N53" s="10" t="s">
        <v>36</v>
      </c>
      <c r="O53" s="13"/>
      <c r="P53" s="16" t="s">
        <v>9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</row>
    <row r="54" spans="2:84" s="10" customFormat="1">
      <c r="B54" s="14" t="s">
        <v>48</v>
      </c>
      <c r="C54" s="18" t="e">
        <f t="shared" ref="C54:N54" si="26">C50*preciokwh</f>
        <v>#DIV/0!</v>
      </c>
      <c r="D54" s="18" t="e">
        <f t="shared" si="26"/>
        <v>#DIV/0!</v>
      </c>
      <c r="E54" s="18" t="e">
        <f t="shared" si="26"/>
        <v>#DIV/0!</v>
      </c>
      <c r="F54" s="18" t="e">
        <f t="shared" si="26"/>
        <v>#DIV/0!</v>
      </c>
      <c r="G54" s="18" t="e">
        <f t="shared" si="26"/>
        <v>#DIV/0!</v>
      </c>
      <c r="H54" s="18" t="e">
        <f t="shared" si="26"/>
        <v>#DIV/0!</v>
      </c>
      <c r="I54" s="18" t="e">
        <f t="shared" si="26"/>
        <v>#DIV/0!</v>
      </c>
      <c r="J54" s="18" t="e">
        <f t="shared" si="26"/>
        <v>#DIV/0!</v>
      </c>
      <c r="K54" s="18" t="e">
        <f t="shared" si="26"/>
        <v>#DIV/0!</v>
      </c>
      <c r="L54" s="18" t="e">
        <f t="shared" si="26"/>
        <v>#DIV/0!</v>
      </c>
      <c r="M54" s="18" t="e">
        <f t="shared" si="26"/>
        <v>#DIV/0!</v>
      </c>
      <c r="N54" s="18" t="e">
        <f t="shared" si="26"/>
        <v>#DIV/0!</v>
      </c>
      <c r="O54" s="13"/>
      <c r="P54" s="19" t="e">
        <f>SUM(C54:N54)</f>
        <v>#DIV/0!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</row>
    <row r="55" spans="2:84" s="10" customFormat="1">
      <c r="B55" s="14" t="s">
        <v>55</v>
      </c>
      <c r="C55" s="18" t="e">
        <f t="shared" ref="C55:N55" si="27">C49*preciokwh+C51*precioexc</f>
        <v>#DIV/0!</v>
      </c>
      <c r="D55" s="18" t="e">
        <f t="shared" si="27"/>
        <v>#DIV/0!</v>
      </c>
      <c r="E55" s="18" t="e">
        <f t="shared" si="27"/>
        <v>#DIV/0!</v>
      </c>
      <c r="F55" s="18" t="e">
        <f t="shared" si="27"/>
        <v>#DIV/0!</v>
      </c>
      <c r="G55" s="18" t="e">
        <f t="shared" si="27"/>
        <v>#DIV/0!</v>
      </c>
      <c r="H55" s="18" t="e">
        <f t="shared" si="27"/>
        <v>#DIV/0!</v>
      </c>
      <c r="I55" s="18" t="e">
        <f t="shared" si="27"/>
        <v>#DIV/0!</v>
      </c>
      <c r="J55" s="18" t="e">
        <f t="shared" si="27"/>
        <v>#DIV/0!</v>
      </c>
      <c r="K55" s="18" t="e">
        <f t="shared" si="27"/>
        <v>#DIV/0!</v>
      </c>
      <c r="L55" s="18" t="e">
        <f t="shared" si="27"/>
        <v>#DIV/0!</v>
      </c>
      <c r="M55" s="18" t="e">
        <f t="shared" si="27"/>
        <v>#DIV/0!</v>
      </c>
      <c r="N55" s="18" t="e">
        <f t="shared" si="27"/>
        <v>#DIV/0!</v>
      </c>
      <c r="O55" s="13"/>
      <c r="P55" s="19" t="e">
        <f>SUM(C55:N55)</f>
        <v>#DIV/0!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</row>
    <row r="56" spans="2:84" ht="23.4">
      <c r="B56" s="99" t="s">
        <v>354</v>
      </c>
      <c r="C56" s="456" t="s">
        <v>112</v>
      </c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</row>
    <row r="57" spans="2:84">
      <c r="B57" s="14" t="s">
        <v>137</v>
      </c>
      <c r="C57" s="10" t="s">
        <v>25</v>
      </c>
      <c r="D57" s="10" t="s">
        <v>26</v>
      </c>
      <c r="E57" s="10" t="s">
        <v>27</v>
      </c>
      <c r="F57" s="10" t="s">
        <v>28</v>
      </c>
      <c r="G57" s="10" t="s">
        <v>29</v>
      </c>
      <c r="H57" s="10" t="s">
        <v>30</v>
      </c>
      <c r="I57" s="10" t="s">
        <v>31</v>
      </c>
      <c r="J57" s="10" t="s">
        <v>32</v>
      </c>
      <c r="K57" s="10" t="s">
        <v>33</v>
      </c>
      <c r="L57" s="10" t="s">
        <v>34</v>
      </c>
      <c r="M57" s="10" t="s">
        <v>35</v>
      </c>
      <c r="N57" s="10" t="s">
        <v>36</v>
      </c>
      <c r="P57" s="16" t="s">
        <v>9</v>
      </c>
    </row>
    <row r="58" spans="2:84">
      <c r="B58" s="14" t="s">
        <v>44</v>
      </c>
      <c r="C58" s="15" t="e">
        <f t="shared" ref="C58:N58" si="28">C50*dioxido</f>
        <v>#DIV/0!</v>
      </c>
      <c r="D58" s="15" t="e">
        <f t="shared" si="28"/>
        <v>#DIV/0!</v>
      </c>
      <c r="E58" s="15" t="e">
        <f t="shared" si="28"/>
        <v>#DIV/0!</v>
      </c>
      <c r="F58" s="15" t="e">
        <f t="shared" si="28"/>
        <v>#DIV/0!</v>
      </c>
      <c r="G58" s="15" t="e">
        <f t="shared" si="28"/>
        <v>#DIV/0!</v>
      </c>
      <c r="H58" s="15" t="e">
        <f t="shared" si="28"/>
        <v>#DIV/0!</v>
      </c>
      <c r="I58" s="15" t="e">
        <f t="shared" si="28"/>
        <v>#DIV/0!</v>
      </c>
      <c r="J58" s="15" t="e">
        <f t="shared" si="28"/>
        <v>#DIV/0!</v>
      </c>
      <c r="K58" s="15" t="e">
        <f t="shared" si="28"/>
        <v>#DIV/0!</v>
      </c>
      <c r="L58" s="15" t="e">
        <f t="shared" si="28"/>
        <v>#DIV/0!</v>
      </c>
      <c r="M58" s="15" t="e">
        <f t="shared" si="28"/>
        <v>#DIV/0!</v>
      </c>
      <c r="N58" s="15" t="e">
        <f t="shared" si="28"/>
        <v>#DIV/0!</v>
      </c>
      <c r="P58" s="17" t="e">
        <f t="shared" ref="P58" si="29">SUM(C58:N58)</f>
        <v>#DIV/0!</v>
      </c>
    </row>
  </sheetData>
  <sheetProtection algorithmName="SHA-512" hashValue="wEmHzjIpqSfxJDbvcisd4LBihf3+gKRBR63dJ1fDJX8Cotu+YxhBx58D70jP4RL7j0QF8tBoYadvXDTG+nXRyg==" saltValue="Di8izhFU+WjFFXZg7+bb3g==" spinCount="100000" sheet="1" selectLockedCells="1" selectUnlockedCells="1"/>
  <mergeCells count="8">
    <mergeCell ref="C56:N56"/>
    <mergeCell ref="C52:N52"/>
    <mergeCell ref="C16:N16"/>
    <mergeCell ref="C25:N25"/>
    <mergeCell ref="C30:N30"/>
    <mergeCell ref="C38:N38"/>
    <mergeCell ref="C47:N47"/>
    <mergeCell ref="C34:N3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13B3-942F-4AA8-BFFC-FE2E57D96DB7}">
  <sheetPr>
    <tabColor rgb="FFFFD100"/>
  </sheetPr>
  <dimension ref="C2:F6"/>
  <sheetViews>
    <sheetView workbookViewId="0">
      <selection activeCell="B8" sqref="B8"/>
    </sheetView>
  </sheetViews>
  <sheetFormatPr baseColWidth="10" defaultColWidth="11.5546875" defaultRowHeight="14.4"/>
  <cols>
    <col min="1" max="1" width="11.5546875" style="4"/>
    <col min="2" max="2" width="10.5546875" style="4" customWidth="1"/>
    <col min="3" max="3" width="30.33203125" style="4" customWidth="1"/>
    <col min="4" max="4" width="24.6640625" style="4" customWidth="1"/>
    <col min="5" max="5" width="29.109375" style="4" customWidth="1"/>
    <col min="6" max="6" width="26.6640625" style="4" customWidth="1"/>
    <col min="7" max="16384" width="11.5546875" style="4"/>
  </cols>
  <sheetData>
    <row r="2" spans="3:6" ht="18.600000000000001" customHeight="1">
      <c r="C2" s="255" t="s">
        <v>113</v>
      </c>
      <c r="D2" s="255" t="s">
        <v>355</v>
      </c>
      <c r="E2" s="255" t="s">
        <v>356</v>
      </c>
      <c r="F2" s="255" t="s">
        <v>529</v>
      </c>
    </row>
    <row r="3" spans="3:6" ht="26.4" customHeight="1">
      <c r="C3" s="4" t="s">
        <v>357</v>
      </c>
      <c r="D3" s="256">
        <f>ppto!G44</f>
        <v>19994.920879999998</v>
      </c>
      <c r="E3" s="256">
        <f>ppto!H44</f>
        <v>19994.920879999998</v>
      </c>
      <c r="F3" s="256">
        <f>ppto!I44</f>
        <v>5894.5150000000003</v>
      </c>
    </row>
    <row r="4" spans="3:6" ht="23.4" customHeight="1">
      <c r="C4" s="8" t="s">
        <v>358</v>
      </c>
      <c r="D4" s="256">
        <f>D3*fin12m</f>
        <v>1778.9881005353598</v>
      </c>
      <c r="E4" s="256">
        <f>E3*fin12m</f>
        <v>1778.9881005353598</v>
      </c>
      <c r="F4" s="256">
        <f>F3*fin12m</f>
        <v>524.44678857999997</v>
      </c>
    </row>
    <row r="5" spans="3:6" ht="22.2" customHeight="1">
      <c r="C5" s="8" t="s">
        <v>359</v>
      </c>
      <c r="D5" s="256">
        <f>D3*fin24m</f>
        <v>924.4851618076799</v>
      </c>
      <c r="E5" s="256">
        <f>E3*fin24m</f>
        <v>924.4851618076799</v>
      </c>
      <c r="F5" s="256">
        <f>F3*fin24m</f>
        <v>272.53879554000002</v>
      </c>
    </row>
    <row r="6" spans="3:6" ht="23.4" customHeight="1">
      <c r="C6" s="8" t="s">
        <v>360</v>
      </c>
      <c r="D6" s="256">
        <f>D3*fin120m</f>
        <v>247.17721191855998</v>
      </c>
      <c r="E6" s="256">
        <f>E3*fin120m</f>
        <v>247.17721191855998</v>
      </c>
      <c r="F6" s="256">
        <f>F3*fin120m</f>
        <v>72.867994429999996</v>
      </c>
    </row>
  </sheetData>
  <sheetProtection algorithmName="SHA-512" hashValue="0/+tE7uVhSLk7W75+TITNh9HPff6XO5bStv5DkKx5EBtaP4WHIMK9eEzIQbN+Om51rixtOIABviQ4oP9H/p4/A==" saltValue="+bep07GmwS/MONQkj8DzHg==" spinCount="100000" sheet="1" objects="1" scenarios="1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8330-079B-4A34-B1D1-790A21038A2B}">
  <sheetPr codeName="Hoja6">
    <tabColor rgb="FF00B0F0"/>
  </sheetPr>
  <dimension ref="A2:M31"/>
  <sheetViews>
    <sheetView showGridLines="0" showZeros="0" zoomScale="85" zoomScaleNormal="85" workbookViewId="0">
      <selection activeCell="E18" sqref="E18"/>
    </sheetView>
  </sheetViews>
  <sheetFormatPr baseColWidth="10" defaultColWidth="11.5546875" defaultRowHeight="14.4"/>
  <cols>
    <col min="1" max="1" width="14.33203125" style="27" customWidth="1"/>
    <col min="2" max="2" width="64.6640625" style="27" customWidth="1"/>
    <col min="3" max="3" width="18.33203125" style="27" customWidth="1"/>
    <col min="4" max="4" width="15.44140625" style="27" customWidth="1"/>
    <col min="5" max="5" width="26.109375" style="27" customWidth="1"/>
    <col min="6" max="6" width="6.33203125" style="27" customWidth="1"/>
    <col min="7" max="7" width="27.88671875" style="27" customWidth="1"/>
    <col min="8" max="8" width="14.109375" style="27" customWidth="1"/>
    <col min="9" max="9" width="21" style="27" customWidth="1"/>
    <col min="10" max="10" width="21.33203125" style="27" customWidth="1"/>
    <col min="11" max="11" width="16.6640625" style="27" customWidth="1"/>
    <col min="12" max="12" width="19.21875" style="27" customWidth="1"/>
    <col min="13" max="13" width="16.33203125" style="27" customWidth="1"/>
    <col min="14" max="16384" width="11.5546875" style="27"/>
  </cols>
  <sheetData>
    <row r="2" spans="1:13" ht="15.6">
      <c r="B2" s="250">
        <f>empresa</f>
        <v>0</v>
      </c>
      <c r="D2" s="32"/>
    </row>
    <row r="3" spans="1:13" ht="15.6">
      <c r="A3" s="30"/>
      <c r="B3" s="31" t="str">
        <f>nombre&amp;" "&amp;apellidos</f>
        <v xml:space="preserve">   </v>
      </c>
      <c r="C3" s="32">
        <f ca="1">fecha</f>
        <v>45568</v>
      </c>
      <c r="D3" s="198"/>
    </row>
    <row r="4" spans="1:13" ht="15.6">
      <c r="A4" s="30"/>
      <c r="B4" s="250" t="str">
        <f>nif</f>
        <v xml:space="preserve"> </v>
      </c>
      <c r="C4" s="198"/>
      <c r="D4" s="198"/>
    </row>
    <row r="5" spans="1:13" ht="15.6">
      <c r="A5" s="30"/>
      <c r="B5" s="31" t="str">
        <f>telefono</f>
        <v xml:space="preserve"> </v>
      </c>
      <c r="C5" s="198"/>
      <c r="D5" s="198"/>
    </row>
    <row r="6" spans="1:13" ht="15.6">
      <c r="A6" s="30"/>
      <c r="B6" s="30" t="str">
        <f>direccion</f>
        <v xml:space="preserve"> </v>
      </c>
      <c r="C6" s="31"/>
      <c r="D6" s="198"/>
    </row>
    <row r="7" spans="1:13" ht="15.6">
      <c r="A7" s="30"/>
      <c r="B7" s="30" t="str">
        <f>cp&amp;" "&amp;localidad&amp;" - "&amp;provincia</f>
        <v xml:space="preserve">    -  </v>
      </c>
      <c r="C7" s="30"/>
      <c r="D7" s="31"/>
    </row>
    <row r="8" spans="1:13" ht="15.6">
      <c r="A8" s="30"/>
      <c r="B8" s="30" t="str">
        <f>email</f>
        <v xml:space="preserve"> </v>
      </c>
      <c r="C8" s="30"/>
      <c r="D8" s="199"/>
    </row>
    <row r="9" spans="1:13" ht="15.6">
      <c r="A9" s="30"/>
      <c r="B9" s="31"/>
      <c r="C9" s="32"/>
    </row>
    <row r="10" spans="1:13" ht="22.8" customHeight="1"/>
    <row r="11" spans="1:13">
      <c r="K11" s="6"/>
    </row>
    <row r="13" spans="1:13" ht="36" customHeight="1">
      <c r="C13" s="269" t="str">
        <f>"r."&amp;descuento*100</f>
        <v>r.0</v>
      </c>
      <c r="E13" s="200">
        <f>num_mod</f>
        <v>27</v>
      </c>
      <c r="G13" s="201">
        <f>p_gen</f>
        <v>16.335000000000001</v>
      </c>
      <c r="H13" s="201">
        <f>cap_bat</f>
        <v>0</v>
      </c>
      <c r="I13" s="202">
        <f>cálculos!P14</f>
        <v>25319.25</v>
      </c>
      <c r="J13" s="203">
        <f>cálculos!P33</f>
        <v>4691.996652142936</v>
      </c>
      <c r="K13" s="203" t="e">
        <f>cálculos!P55</f>
        <v>#DIV/0!</v>
      </c>
      <c r="L13" s="203"/>
      <c r="M13" s="203"/>
    </row>
    <row r="14" spans="1:13" ht="16.2" customHeight="1">
      <c r="E14" s="247" t="s">
        <v>319</v>
      </c>
      <c r="G14" s="247" t="s">
        <v>320</v>
      </c>
      <c r="I14" s="27" t="s">
        <v>476</v>
      </c>
      <c r="J14" s="6" t="s">
        <v>319</v>
      </c>
      <c r="K14" s="6" t="s">
        <v>320</v>
      </c>
      <c r="L14" s="27" t="s">
        <v>476</v>
      </c>
    </row>
    <row r="15" spans="1:13" ht="30.6" customHeight="1">
      <c r="D15" s="27" t="s">
        <v>477</v>
      </c>
      <c r="E15" s="204">
        <f>ppto!G32</f>
        <v>16524.727999999999</v>
      </c>
      <c r="G15" s="204">
        <f>ppto!H32</f>
        <v>16524.727999999999</v>
      </c>
      <c r="I15" s="306">
        <f>ppto!I32</f>
        <v>4871.5</v>
      </c>
    </row>
    <row r="16" spans="1:13" ht="31.2">
      <c r="D16" s="27" t="s">
        <v>478</v>
      </c>
      <c r="E16" s="204">
        <f>ppto!G44</f>
        <v>19994.920879999998</v>
      </c>
      <c r="G16" s="204">
        <f>ppto!H44</f>
        <v>19994.920879999998</v>
      </c>
      <c r="I16" s="306">
        <f>ppto!I44</f>
        <v>5894.5150000000003</v>
      </c>
      <c r="J16" s="222">
        <f>E16</f>
        <v>19994.920879999998</v>
      </c>
      <c r="K16" s="222">
        <f>G16</f>
        <v>19994.920879999998</v>
      </c>
      <c r="L16" s="222">
        <f>I16</f>
        <v>5894.5150000000003</v>
      </c>
    </row>
    <row r="17" spans="3:12" ht="36.6" customHeight="1">
      <c r="D17" s="27" t="s">
        <v>479</v>
      </c>
      <c r="E17" s="219">
        <f>-incentivo!C36</f>
        <v>0</v>
      </c>
      <c r="G17" s="219">
        <f>-incentivo!D36</f>
        <v>0</v>
      </c>
      <c r="I17" s="307">
        <f>-incentivo!E36</f>
        <v>0</v>
      </c>
      <c r="J17" s="35">
        <f>-E17</f>
        <v>0</v>
      </c>
      <c r="K17" s="35">
        <f>-G17</f>
        <v>0</v>
      </c>
      <c r="L17" s="35">
        <f>-I17</f>
        <v>0</v>
      </c>
    </row>
    <row r="18" spans="3:12" ht="32.4" customHeight="1">
      <c r="D18" s="27" t="s">
        <v>546</v>
      </c>
      <c r="E18" s="205">
        <f>E16+E17</f>
        <v>19994.920879999998</v>
      </c>
      <c r="G18" s="205">
        <f>G16+G17</f>
        <v>19994.920879999998</v>
      </c>
      <c r="I18" s="336">
        <f>I16+I17</f>
        <v>5894.5150000000003</v>
      </c>
      <c r="J18" s="222">
        <f>E18</f>
        <v>19994.920879999998</v>
      </c>
      <c r="K18" s="222">
        <f>G18</f>
        <v>19994.920879999998</v>
      </c>
      <c r="L18" s="222">
        <f>I18</f>
        <v>5894.5150000000003</v>
      </c>
    </row>
    <row r="20" spans="3:12" ht="21" customHeight="1">
      <c r="C20" s="27" t="s">
        <v>325</v>
      </c>
      <c r="E20" s="206">
        <f>finan!D6</f>
        <v>247.17721191855998</v>
      </c>
      <c r="G20" s="206">
        <f>finan!E6</f>
        <v>247.17721191855998</v>
      </c>
      <c r="I20" s="206">
        <f>finan!F6</f>
        <v>72.867994429999996</v>
      </c>
    </row>
    <row r="21" spans="3:12" ht="31.2">
      <c r="C21" s="27" t="s">
        <v>329</v>
      </c>
      <c r="E21" s="206">
        <f>finan!D5</f>
        <v>924.4851618076799</v>
      </c>
      <c r="G21" s="206">
        <f>finan!E5</f>
        <v>924.4851618076799</v>
      </c>
      <c r="I21" s="206">
        <f>finan!F5</f>
        <v>272.53879554000002</v>
      </c>
    </row>
    <row r="22" spans="3:12" ht="31.2">
      <c r="C22" s="27" t="s">
        <v>330</v>
      </c>
      <c r="E22" s="206">
        <f>finan!D4</f>
        <v>1778.9881005353598</v>
      </c>
      <c r="G22" s="206">
        <f>finan!E4</f>
        <v>1778.9881005353598</v>
      </c>
      <c r="I22" s="206">
        <f>finan!F4</f>
        <v>524.44678857999997</v>
      </c>
    </row>
    <row r="25" spans="3:12" ht="61.2">
      <c r="E25" s="218">
        <f>incentivo!C37</f>
        <v>0</v>
      </c>
      <c r="G25" s="218">
        <f>incentivo!D37</f>
        <v>0</v>
      </c>
      <c r="I25" s="218">
        <f>incentivo!E37</f>
        <v>0</v>
      </c>
      <c r="J25" s="220">
        <f>E25</f>
        <v>0</v>
      </c>
      <c r="K25" s="220">
        <f>G25</f>
        <v>0</v>
      </c>
      <c r="L25" s="220">
        <f>I25</f>
        <v>0</v>
      </c>
    </row>
    <row r="26" spans="3:12" ht="12.6" customHeight="1"/>
    <row r="27" spans="3:12" ht="23.4">
      <c r="E27" s="249" t="str">
        <f>programa</f>
        <v>Sinayuda</v>
      </c>
      <c r="H27" s="6"/>
      <c r="I27" s="6"/>
      <c r="J27" s="221" t="str">
        <f>E27</f>
        <v>Sinayuda</v>
      </c>
      <c r="K27" s="221" t="str">
        <f>J27</f>
        <v>Sinayuda</v>
      </c>
      <c r="L27" s="221" t="str">
        <f>K27</f>
        <v>Sinayuda</v>
      </c>
    </row>
    <row r="28" spans="3:12">
      <c r="H28" s="6"/>
      <c r="I28" s="6"/>
    </row>
    <row r="29" spans="3:12" ht="24.6" customHeight="1">
      <c r="C29" s="293" t="str">
        <f>datos!F113</f>
        <v>Excluídas</v>
      </c>
      <c r="H29" s="6" t="s">
        <v>337</v>
      </c>
      <c r="I29" s="6"/>
      <c r="J29" s="222">
        <f>adelanto</f>
        <v>500</v>
      </c>
      <c r="K29" s="222">
        <f>adelanto</f>
        <v>500</v>
      </c>
      <c r="L29" s="222">
        <f>adelanto</f>
        <v>500</v>
      </c>
    </row>
    <row r="30" spans="3:12" ht="24" customHeight="1">
      <c r="H30" s="6" t="s">
        <v>338</v>
      </c>
      <c r="I30" s="6"/>
      <c r="J30" s="222">
        <f>(ppto!G44/2)-adelanto</f>
        <v>9497.4604399999989</v>
      </c>
      <c r="K30" s="222">
        <f>(ppto!H44/2)-adelanto</f>
        <v>9497.4604399999989</v>
      </c>
      <c r="L30" s="222">
        <f>(ppto!I44/2)-adelanto</f>
        <v>2447.2575000000002</v>
      </c>
    </row>
    <row r="31" spans="3:12" ht="25.2" customHeight="1">
      <c r="H31" s="6" t="s">
        <v>339</v>
      </c>
      <c r="I31" s="6"/>
      <c r="J31" s="222">
        <f>ppto!G44-exp0!J29-exp0!J30</f>
        <v>9997.4604399999989</v>
      </c>
      <c r="K31" s="222">
        <f>ppto!H44-exp0!K29-exp0!K30</f>
        <v>9997.4604399999989</v>
      </c>
      <c r="L31" s="222">
        <f>ppto!I44-exp0!L29-exp0!L30</f>
        <v>2947.2575000000002</v>
      </c>
    </row>
  </sheetData>
  <sheetProtection selectLockedCells="1" selectUnlockedCells="1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F9FD-C185-4C2F-983B-1F62E2A0306E}">
  <sheetPr codeName="Hoja7">
    <tabColor rgb="FF00B0F0"/>
  </sheetPr>
  <dimension ref="B2:M74"/>
  <sheetViews>
    <sheetView showGridLines="0" topLeftCell="A4" zoomScale="55" zoomScaleNormal="55" workbookViewId="0">
      <selection activeCell="B8" sqref="B8"/>
    </sheetView>
  </sheetViews>
  <sheetFormatPr baseColWidth="10" defaultRowHeight="14.4"/>
  <cols>
    <col min="1" max="1" width="28" customWidth="1"/>
    <col min="2" max="2" width="29.109375" customWidth="1"/>
    <col min="3" max="3" width="27" customWidth="1"/>
    <col min="4" max="4" width="29.77734375" customWidth="1"/>
    <col min="10" max="10" width="180.21875" customWidth="1"/>
    <col min="11" max="11" width="38" customWidth="1"/>
    <col min="12" max="12" width="26.33203125" customWidth="1"/>
    <col min="13" max="13" width="35.5546875" customWidth="1"/>
    <col min="14" max="14" width="12.5546875" customWidth="1"/>
  </cols>
  <sheetData>
    <row r="2" spans="2:13" ht="21" customHeight="1">
      <c r="D2" s="139"/>
    </row>
    <row r="3" spans="2:13" ht="24" customHeight="1">
      <c r="B3" s="223" t="s">
        <v>194</v>
      </c>
      <c r="C3" s="224"/>
      <c r="D3" s="237">
        <f>cálculos!P14</f>
        <v>25319.25</v>
      </c>
      <c r="K3" s="223" t="s">
        <v>194</v>
      </c>
      <c r="L3" s="224"/>
      <c r="M3" s="237">
        <f>cálculos!P14</f>
        <v>25319.25</v>
      </c>
    </row>
    <row r="4" spans="2:13" ht="7.95" customHeight="1">
      <c r="B4" s="225"/>
      <c r="C4" s="225"/>
      <c r="D4" s="238"/>
      <c r="K4" s="225"/>
      <c r="L4" s="225"/>
      <c r="M4" s="238"/>
    </row>
    <row r="5" spans="2:13" ht="24" customHeight="1">
      <c r="B5" s="226" t="s">
        <v>199</v>
      </c>
      <c r="C5" s="227"/>
      <c r="D5" s="239">
        <f>cálculos!P7</f>
        <v>18171</v>
      </c>
      <c r="K5" s="226" t="s">
        <v>199</v>
      </c>
      <c r="L5" s="227"/>
      <c r="M5" s="239">
        <f>cálculos!P7</f>
        <v>18171</v>
      </c>
    </row>
    <row r="6" spans="2:13" ht="7.95" customHeight="1">
      <c r="B6" s="228"/>
      <c r="C6" s="229"/>
      <c r="D6" s="238"/>
      <c r="K6" s="228"/>
      <c r="L6" s="229"/>
      <c r="M6" s="238"/>
    </row>
    <row r="7" spans="2:13" ht="24" customHeight="1">
      <c r="B7" s="230" t="s">
        <v>200</v>
      </c>
      <c r="C7" s="231"/>
      <c r="D7" s="240">
        <f>cálculos!P28</f>
        <v>9133.331546031397</v>
      </c>
      <c r="K7" s="230" t="s">
        <v>200</v>
      </c>
      <c r="L7" s="231"/>
      <c r="M7" s="240" t="e">
        <f>cálculos!P50</f>
        <v>#DIV/0!</v>
      </c>
    </row>
    <row r="8" spans="2:13" ht="7.95" customHeight="1">
      <c r="B8" s="232"/>
      <c r="C8" s="232"/>
      <c r="D8" s="241"/>
      <c r="K8" s="232"/>
      <c r="L8" s="232"/>
      <c r="M8" s="241"/>
    </row>
    <row r="9" spans="2:13" ht="25.2" customHeight="1">
      <c r="B9" s="233" t="s">
        <v>197</v>
      </c>
      <c r="C9" s="234"/>
      <c r="D9" s="242">
        <f>cálculos!P27</f>
        <v>9037.668453968603</v>
      </c>
      <c r="K9" s="233" t="s">
        <v>197</v>
      </c>
      <c r="L9" s="234"/>
      <c r="M9" s="242" t="e">
        <f>cálculos!P49</f>
        <v>#DIV/0!</v>
      </c>
    </row>
    <row r="10" spans="2:13" ht="7.95" customHeight="1">
      <c r="B10" s="232"/>
      <c r="C10" s="232"/>
      <c r="D10" s="241"/>
      <c r="K10" s="232"/>
      <c r="L10" s="232"/>
      <c r="M10" s="241"/>
    </row>
    <row r="11" spans="2:13" ht="21.6" customHeight="1">
      <c r="B11" s="235" t="s">
        <v>196</v>
      </c>
      <c r="C11" s="236"/>
      <c r="D11" s="243">
        <f>cálculos!P29</f>
        <v>16281.581546031393</v>
      </c>
      <c r="K11" s="235" t="s">
        <v>196</v>
      </c>
      <c r="L11" s="236"/>
      <c r="M11" s="243" t="e">
        <f>cálculos!P51</f>
        <v>#DIV/0!</v>
      </c>
    </row>
    <row r="12" spans="2:13" ht="18" customHeight="1">
      <c r="B12" s="141"/>
      <c r="C12" s="141"/>
      <c r="D12" s="141"/>
      <c r="M12" s="139"/>
    </row>
    <row r="13" spans="2:13" ht="27" customHeight="1">
      <c r="B13" s="244" t="s">
        <v>326</v>
      </c>
      <c r="C13" s="246"/>
      <c r="D13" s="245">
        <f>cálculos!P23</f>
        <v>0.50490611570247934</v>
      </c>
      <c r="K13" s="244"/>
      <c r="L13" s="246"/>
      <c r="M13" s="245"/>
    </row>
    <row r="69" spans="2:3" ht="346.2" customHeight="1"/>
    <row r="70" spans="2:3" ht="190.8" customHeight="1">
      <c r="B70" s="134" t="s">
        <v>198</v>
      </c>
      <c r="C70" s="138" t="s">
        <v>204</v>
      </c>
    </row>
    <row r="71" spans="2:3" ht="24" customHeight="1">
      <c r="B71" s="134" t="s">
        <v>199</v>
      </c>
      <c r="C71" s="137" t="s">
        <v>203</v>
      </c>
    </row>
    <row r="72" spans="2:3" ht="21">
      <c r="B72" s="134" t="s">
        <v>200</v>
      </c>
      <c r="C72" s="135" t="s">
        <v>202</v>
      </c>
    </row>
    <row r="73" spans="2:3" ht="21" customHeight="1">
      <c r="B73" s="134" t="s">
        <v>197</v>
      </c>
      <c r="C73" s="136" t="s">
        <v>201</v>
      </c>
    </row>
    <row r="74" spans="2:3" ht="21">
      <c r="B74" s="134" t="s">
        <v>196</v>
      </c>
      <c r="C74" s="140" t="s">
        <v>195</v>
      </c>
    </row>
  </sheetData>
  <sheetProtection selectLockedCells="1" selectUnlockedCells="1"/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72A7-665F-4466-B3E2-F6631EBAE7F1}">
  <sheetPr codeName="Hoja8">
    <tabColor rgb="FF00B0F0"/>
  </sheetPr>
  <dimension ref="A1:E20"/>
  <sheetViews>
    <sheetView showGridLines="0" showZeros="0" topLeftCell="A4" zoomScaleNormal="100" workbookViewId="0">
      <selection activeCell="B5" sqref="B5"/>
    </sheetView>
  </sheetViews>
  <sheetFormatPr baseColWidth="10" defaultColWidth="11.5546875" defaultRowHeight="14.4"/>
  <cols>
    <col min="1" max="1" width="17.21875" style="27" customWidth="1"/>
    <col min="2" max="2" width="30.6640625" style="27" customWidth="1"/>
    <col min="3" max="3" width="14.5546875" style="27" customWidth="1"/>
    <col min="4" max="4" width="29.33203125" style="27" customWidth="1"/>
    <col min="5" max="16384" width="11.5546875" style="27"/>
  </cols>
  <sheetData>
    <row r="1" spans="1:5" ht="30.6" customHeight="1">
      <c r="A1" s="30" t="s">
        <v>285</v>
      </c>
      <c r="B1" s="250">
        <f>empresa</f>
        <v>0</v>
      </c>
      <c r="C1" s="30" t="s">
        <v>12</v>
      </c>
      <c r="D1" s="31" t="str">
        <f>direccion</f>
        <v xml:space="preserve"> </v>
      </c>
    </row>
    <row r="2" spans="1:5" ht="21.6" customHeight="1">
      <c r="A2" s="30" t="s">
        <v>286</v>
      </c>
      <c r="B2" s="250" t="str">
        <f>nif</f>
        <v xml:space="preserve"> </v>
      </c>
      <c r="C2" s="30" t="s">
        <v>284</v>
      </c>
      <c r="D2" s="31" t="str">
        <f>cp</f>
        <v xml:space="preserve"> </v>
      </c>
    </row>
    <row r="3" spans="1:5" ht="22.8" customHeight="1">
      <c r="A3" s="30" t="s">
        <v>11</v>
      </c>
      <c r="B3" s="31" t="str">
        <f>nombre</f>
        <v xml:space="preserve"> </v>
      </c>
      <c r="C3" s="30" t="s">
        <v>71</v>
      </c>
      <c r="D3" s="31" t="str">
        <f>localidad</f>
        <v xml:space="preserve"> </v>
      </c>
      <c r="E3" s="198"/>
    </row>
    <row r="4" spans="1:5" ht="24.6" customHeight="1">
      <c r="A4" s="30" t="s">
        <v>13</v>
      </c>
      <c r="B4" s="31" t="str">
        <f>apellidos</f>
        <v xml:space="preserve"> </v>
      </c>
      <c r="C4" s="30" t="s">
        <v>14</v>
      </c>
      <c r="D4" s="198" t="str">
        <f>provincia</f>
        <v xml:space="preserve"> </v>
      </c>
      <c r="E4" s="198"/>
    </row>
    <row r="5" spans="1:5" ht="24.6" customHeight="1">
      <c r="A5" s="30" t="s">
        <v>17</v>
      </c>
      <c r="B5" s="250" t="str">
        <f>email</f>
        <v xml:space="preserve"> </v>
      </c>
      <c r="C5" s="30" t="s">
        <v>452</v>
      </c>
      <c r="D5" s="443" t="str">
        <f>cups</f>
        <v xml:space="preserve"> </v>
      </c>
      <c r="E5" s="443"/>
    </row>
    <row r="6" spans="1:5" ht="22.8" customHeight="1">
      <c r="A6" s="30" t="s">
        <v>16</v>
      </c>
      <c r="B6" s="31" t="str">
        <f>telefono</f>
        <v xml:space="preserve"> </v>
      </c>
      <c r="C6" s="30" t="s">
        <v>15</v>
      </c>
      <c r="D6" s="443">
        <f ca="1">fecha</f>
        <v>45568</v>
      </c>
      <c r="E6" s="443"/>
    </row>
    <row r="7" spans="1:5" ht="22.8" customHeight="1"/>
    <row r="8" spans="1:5" ht="24" customHeight="1">
      <c r="A8" s="452"/>
      <c r="B8" s="452"/>
    </row>
    <row r="9" spans="1:5" ht="12.6" customHeight="1">
      <c r="A9" s="33"/>
      <c r="B9" s="33"/>
    </row>
    <row r="10" spans="1:5" ht="19.8" customHeight="1">
      <c r="A10" s="33"/>
      <c r="B10" s="33"/>
    </row>
    <row r="11" spans="1:5" ht="12.6" customHeight="1">
      <c r="A11" s="33"/>
      <c r="B11" s="33"/>
    </row>
    <row r="12" spans="1:5" ht="12.6" customHeight="1">
      <c r="A12" s="33"/>
      <c r="B12" s="33"/>
    </row>
    <row r="13" spans="1:5" ht="12.6" customHeight="1">
      <c r="A13" s="33"/>
      <c r="B13" s="33"/>
    </row>
    <row r="14" spans="1:5" ht="12.6" customHeight="1">
      <c r="A14" s="33"/>
      <c r="B14" s="33"/>
    </row>
    <row r="15" spans="1:5" ht="12.6" customHeight="1">
      <c r="A15" s="33"/>
      <c r="B15" s="33"/>
    </row>
    <row r="16" spans="1:5" ht="12.6" customHeight="1">
      <c r="A16" s="33"/>
      <c r="B16" s="33"/>
    </row>
    <row r="17" spans="1:4" ht="37.799999999999997" customHeight="1">
      <c r="A17" s="28"/>
      <c r="B17" s="34"/>
    </row>
    <row r="18" spans="1:4" ht="28.8" customHeight="1">
      <c r="A18" s="29"/>
      <c r="B18" s="34"/>
    </row>
    <row r="19" spans="1:4" ht="32.4" customHeight="1">
      <c r="A19" s="29"/>
      <c r="B19" s="35"/>
    </row>
    <row r="20" spans="1:4" ht="10.8" customHeight="1">
      <c r="B20" s="36"/>
      <c r="C20" s="29"/>
      <c r="D20" s="35"/>
    </row>
  </sheetData>
  <sheetProtection selectLockedCells="1" selectUnlockedCells="1"/>
  <mergeCells count="3">
    <mergeCell ref="A8:B8"/>
    <mergeCell ref="D5:E5"/>
    <mergeCell ref="D6:E6"/>
  </mergeCell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A5A1-9337-4BAA-A34D-E0CA0848EB72}">
  <sheetPr codeName="Hoja9">
    <tabColor rgb="FF00B0F0"/>
  </sheetPr>
  <dimension ref="A1:T30"/>
  <sheetViews>
    <sheetView showGridLines="0" zoomScale="40" zoomScaleNormal="40" workbookViewId="0">
      <selection activeCell="B3" sqref="B3:J30"/>
    </sheetView>
  </sheetViews>
  <sheetFormatPr baseColWidth="10" defaultColWidth="11.5546875" defaultRowHeight="14.4"/>
  <cols>
    <col min="1" max="1" width="5.88671875" style="6" customWidth="1"/>
    <col min="2" max="2" width="34.6640625" style="3" customWidth="1"/>
    <col min="3" max="3" width="35" style="3" customWidth="1"/>
    <col min="4" max="4" width="30.6640625" style="3" customWidth="1"/>
    <col min="5" max="5" width="23.33203125" style="3" customWidth="1"/>
    <col min="6" max="6" width="47.33203125" style="6" customWidth="1"/>
    <col min="7" max="7" width="23.88671875" style="6" customWidth="1"/>
    <col min="8" max="8" width="28.6640625" style="3" customWidth="1"/>
    <col min="9" max="9" width="22.109375" style="3" customWidth="1"/>
    <col min="10" max="10" width="48.6640625" style="3" customWidth="1"/>
    <col min="11" max="11" width="25.21875" style="6" customWidth="1"/>
    <col min="12" max="12" width="38.33203125" style="3" customWidth="1"/>
    <col min="13" max="13" width="30" style="3" customWidth="1"/>
    <col min="14" max="14" width="20.109375" style="3" customWidth="1"/>
    <col min="15" max="15" width="22.77734375" style="3" customWidth="1"/>
    <col min="16" max="16" width="48.33203125" style="6" customWidth="1"/>
    <col min="17" max="17" width="20.5546875" style="6" customWidth="1"/>
    <col min="18" max="18" width="20" style="3" customWidth="1"/>
    <col min="19" max="19" width="31.44140625" style="3" customWidth="1"/>
    <col min="20" max="20" width="41.5546875" style="3" customWidth="1"/>
    <col min="21" max="16384" width="11.5546875" style="6"/>
  </cols>
  <sheetData>
    <row r="1" spans="1:20" ht="85.2" customHeight="1">
      <c r="B1" s="458" t="str">
        <f>"Autoconsumo (Sin Baterías) de "&amp;p_gen&amp;" kW"</f>
        <v>Autoconsumo (Sin Baterías) de 16,335 kW</v>
      </c>
      <c r="C1" s="458"/>
      <c r="D1" s="458"/>
      <c r="E1" s="458"/>
      <c r="F1" s="458"/>
      <c r="G1" s="458"/>
      <c r="H1" s="458"/>
      <c r="I1" s="458"/>
      <c r="J1" s="458"/>
      <c r="L1" s="458" t="s">
        <v>208</v>
      </c>
      <c r="M1" s="458"/>
      <c r="N1" s="458"/>
      <c r="O1" s="458"/>
      <c r="P1" s="458"/>
      <c r="Q1" s="458"/>
      <c r="R1" s="458"/>
      <c r="S1" s="458"/>
      <c r="T1" s="458"/>
    </row>
    <row r="2" spans="1:20" ht="28.2" customHeight="1">
      <c r="B2" s="106"/>
      <c r="C2" s="106"/>
      <c r="D2" s="106"/>
      <c r="E2" s="106"/>
      <c r="F2" s="106"/>
      <c r="G2" s="106"/>
      <c r="H2" s="106"/>
      <c r="I2" s="106"/>
      <c r="J2" s="106"/>
      <c r="P2" s="3"/>
      <c r="Q2" s="3"/>
    </row>
    <row r="3" spans="1:20" s="108" customFormat="1" ht="81" customHeight="1">
      <c r="B3" s="143" t="s">
        <v>211</v>
      </c>
      <c r="C3" s="144" t="s">
        <v>205</v>
      </c>
      <c r="D3" s="460" t="s">
        <v>206</v>
      </c>
      <c r="E3" s="460"/>
      <c r="F3" s="145" t="s">
        <v>207</v>
      </c>
      <c r="G3" s="459" t="s">
        <v>8</v>
      </c>
      <c r="H3" s="459"/>
      <c r="I3" s="459"/>
      <c r="J3" s="146" t="s">
        <v>10</v>
      </c>
      <c r="K3" s="6"/>
      <c r="L3" s="143" t="s">
        <v>211</v>
      </c>
      <c r="M3" s="144" t="s">
        <v>205</v>
      </c>
      <c r="N3" s="460" t="s">
        <v>206</v>
      </c>
      <c r="O3" s="460"/>
      <c r="P3" s="145" t="s">
        <v>207</v>
      </c>
      <c r="Q3" s="459" t="s">
        <v>8</v>
      </c>
      <c r="R3" s="459"/>
      <c r="S3" s="459"/>
      <c r="T3" s="146" t="s">
        <v>10</v>
      </c>
    </row>
    <row r="4" spans="1:20" s="108" customFormat="1" ht="66.599999999999994" customHeight="1">
      <c r="B4" s="142"/>
      <c r="C4" s="142" t="s">
        <v>64</v>
      </c>
      <c r="D4" s="142" t="s">
        <v>64</v>
      </c>
      <c r="E4" s="142" t="s">
        <v>223</v>
      </c>
      <c r="F4" s="142" t="s">
        <v>64</v>
      </c>
      <c r="G4" s="142" t="s">
        <v>65</v>
      </c>
      <c r="H4" s="142" t="s">
        <v>66</v>
      </c>
      <c r="I4" s="142" t="s">
        <v>67</v>
      </c>
      <c r="J4" s="142" t="s">
        <v>64</v>
      </c>
      <c r="K4" s="6"/>
      <c r="L4" s="142"/>
      <c r="M4" s="142" t="s">
        <v>64</v>
      </c>
      <c r="N4" s="142" t="s">
        <v>64</v>
      </c>
      <c r="O4" s="142" t="s">
        <v>209</v>
      </c>
      <c r="P4" s="142" t="s">
        <v>64</v>
      </c>
      <c r="Q4" s="142" t="s">
        <v>65</v>
      </c>
      <c r="R4" s="142" t="s">
        <v>66</v>
      </c>
      <c r="S4" s="142" t="s">
        <v>67</v>
      </c>
      <c r="T4" s="142" t="s">
        <v>64</v>
      </c>
    </row>
    <row r="5" spans="1:20" s="60" customFormat="1" ht="60" customHeight="1">
      <c r="B5" s="147">
        <v>0</v>
      </c>
      <c r="C5" s="147"/>
      <c r="D5" s="148"/>
      <c r="E5" s="148"/>
      <c r="F5" s="148"/>
      <c r="G5" s="147"/>
      <c r="H5" s="148"/>
      <c r="I5" s="147"/>
      <c r="J5" s="147"/>
      <c r="K5" s="6"/>
      <c r="L5" s="151">
        <v>0</v>
      </c>
      <c r="M5" s="152"/>
      <c r="N5" s="152"/>
      <c r="O5" s="153"/>
      <c r="P5" s="152"/>
      <c r="Q5" s="152"/>
      <c r="R5" s="151"/>
      <c r="S5" s="152"/>
      <c r="T5" s="152"/>
    </row>
    <row r="6" spans="1:20" s="60" customFormat="1" ht="60" customHeight="1">
      <c r="A6" s="107"/>
      <c r="B6" s="149">
        <v>1</v>
      </c>
      <c r="C6" s="150">
        <f>t.con!O3</f>
        <v>18171</v>
      </c>
      <c r="D6" s="150">
        <f>cálculos!P28</f>
        <v>9133.331546031397</v>
      </c>
      <c r="E6" s="154">
        <f>cálculos!P23</f>
        <v>0.50490611570247934</v>
      </c>
      <c r="F6" s="150">
        <f>cálculos!P14</f>
        <v>25319.25</v>
      </c>
      <c r="G6" s="150">
        <f>cálculos!P27</f>
        <v>9037.668453968603</v>
      </c>
      <c r="H6" s="150">
        <v>0</v>
      </c>
      <c r="I6" s="150">
        <f>G6+H6</f>
        <v>9037.668453968603</v>
      </c>
      <c r="J6" s="150">
        <f>cálculos!P29</f>
        <v>16281.581546031393</v>
      </c>
      <c r="K6" s="295"/>
      <c r="L6" s="151">
        <v>1</v>
      </c>
      <c r="M6" s="152">
        <f>cálculos!P7</f>
        <v>18171</v>
      </c>
      <c r="N6" s="152" t="e">
        <f>cálculos!P50</f>
        <v>#DIV/0!</v>
      </c>
      <c r="O6" s="155" t="e">
        <f>cálculos!P45</f>
        <v>#DIV/0!</v>
      </c>
      <c r="P6" s="152">
        <f>cálculos!P14</f>
        <v>25319.25</v>
      </c>
      <c r="Q6" s="152">
        <f>cálculos!P27</f>
        <v>9037.668453968603</v>
      </c>
      <c r="R6" s="152" t="e">
        <f>cálculos!P49-Q6</f>
        <v>#DIV/0!</v>
      </c>
      <c r="S6" s="152" t="e">
        <f>Q6+R6</f>
        <v>#DIV/0!</v>
      </c>
      <c r="T6" s="152" t="e">
        <f>P6-S6</f>
        <v>#DIV/0!</v>
      </c>
    </row>
    <row r="7" spans="1:20" s="60" customFormat="1" ht="60" customHeight="1">
      <c r="B7" s="149">
        <v>2</v>
      </c>
      <c r="C7" s="150">
        <f>$C$6</f>
        <v>18171</v>
      </c>
      <c r="D7" s="150">
        <f>C7-I7</f>
        <v>9201.7466962279395</v>
      </c>
      <c r="E7" s="154">
        <f>1-D7/C7</f>
        <v>0.49360262526949872</v>
      </c>
      <c r="F7" s="150">
        <f t="shared" ref="F7:F30" si="0">F6*coefper</f>
        <v>25127.583277500002</v>
      </c>
      <c r="G7" s="150">
        <f>G6*coefper</f>
        <v>8969.2533037720605</v>
      </c>
      <c r="H7" s="149">
        <v>0</v>
      </c>
      <c r="I7" s="150">
        <f t="shared" ref="I7:I15" si="1">G7+H7</f>
        <v>8969.2533037720605</v>
      </c>
      <c r="J7" s="150">
        <f t="shared" ref="J7:J30" si="2">F7-I7</f>
        <v>16158.329973727941</v>
      </c>
      <c r="K7" s="6"/>
      <c r="L7" s="151">
        <v>2</v>
      </c>
      <c r="M7" s="152">
        <f>$M$6</f>
        <v>18171</v>
      </c>
      <c r="N7" s="152" t="e">
        <f>M7-S7</f>
        <v>#DIV/0!</v>
      </c>
      <c r="O7" s="155" t="e">
        <f>1-N7/M7</f>
        <v>#DIV/0!</v>
      </c>
      <c r="P7" s="152">
        <f>P6*coefper</f>
        <v>25127.583277500002</v>
      </c>
      <c r="Q7" s="152">
        <f>Q6*coefper</f>
        <v>8969.2533037720605</v>
      </c>
      <c r="R7" s="152" t="e">
        <f t="shared" ref="R7:R30" si="3">R6-(1-coefper)*(R6/S6)*R6</f>
        <v>#DIV/0!</v>
      </c>
      <c r="S7" s="152" t="e">
        <f t="shared" ref="S7:S30" si="4">Q7+R7</f>
        <v>#DIV/0!</v>
      </c>
      <c r="T7" s="152" t="e">
        <f t="shared" ref="T7:T30" si="5">P7-S7</f>
        <v>#DIV/0!</v>
      </c>
    </row>
    <row r="8" spans="1:20" s="60" customFormat="1" ht="60" customHeight="1">
      <c r="B8" s="149">
        <v>3</v>
      </c>
      <c r="C8" s="150">
        <f t="shared" ref="C8:C30" si="6">$C$6</f>
        <v>18171</v>
      </c>
      <c r="D8" s="150">
        <f t="shared" ref="D8:D30" si="7">C8-I8</f>
        <v>9269.6439437374938</v>
      </c>
      <c r="E8" s="154">
        <f t="shared" ref="E8:E30" si="8">1-D8/C8</f>
        <v>0.48986605339620859</v>
      </c>
      <c r="F8" s="150">
        <f t="shared" si="0"/>
        <v>24937.367472089329</v>
      </c>
      <c r="G8" s="150">
        <f t="shared" ref="G8:G30" si="9">G7*coefper</f>
        <v>8901.3560562625062</v>
      </c>
      <c r="H8" s="149">
        <v>0</v>
      </c>
      <c r="I8" s="150">
        <f t="shared" si="1"/>
        <v>8901.3560562625062</v>
      </c>
      <c r="J8" s="150">
        <f t="shared" si="2"/>
        <v>16036.011415826822</v>
      </c>
      <c r="K8" s="6"/>
      <c r="L8" s="151">
        <v>3</v>
      </c>
      <c r="M8" s="152">
        <f t="shared" ref="M8:M30" si="10">$M$6</f>
        <v>18171</v>
      </c>
      <c r="N8" s="152" t="e">
        <f t="shared" ref="N8:N30" si="11">M8-S8</f>
        <v>#DIV/0!</v>
      </c>
      <c r="O8" s="155" t="e">
        <f t="shared" ref="O8:O30" si="12">1-N8/M8</f>
        <v>#DIV/0!</v>
      </c>
      <c r="P8" s="152">
        <f t="shared" ref="P8:Q30" si="13">P7*coefper</f>
        <v>24937.367472089329</v>
      </c>
      <c r="Q8" s="152">
        <f t="shared" si="13"/>
        <v>8901.3560562625062</v>
      </c>
      <c r="R8" s="152" t="e">
        <f t="shared" si="3"/>
        <v>#DIV/0!</v>
      </c>
      <c r="S8" s="152" t="e">
        <f t="shared" si="4"/>
        <v>#DIV/0!</v>
      </c>
      <c r="T8" s="152" t="e">
        <f t="shared" si="5"/>
        <v>#DIV/0!</v>
      </c>
    </row>
    <row r="9" spans="1:20" s="60" customFormat="1" ht="60" customHeight="1">
      <c r="B9" s="149">
        <v>4</v>
      </c>
      <c r="C9" s="150">
        <f t="shared" si="6"/>
        <v>18171</v>
      </c>
      <c r="D9" s="150">
        <f t="shared" si="7"/>
        <v>9337.0272090834005</v>
      </c>
      <c r="E9" s="154">
        <f t="shared" si="8"/>
        <v>0.48615776737199934</v>
      </c>
      <c r="F9" s="150">
        <f t="shared" si="0"/>
        <v>24748.591600325613</v>
      </c>
      <c r="G9" s="150">
        <f t="shared" si="9"/>
        <v>8833.9727909165995</v>
      </c>
      <c r="H9" s="149">
        <v>0</v>
      </c>
      <c r="I9" s="150">
        <f t="shared" si="1"/>
        <v>8833.9727909165995</v>
      </c>
      <c r="J9" s="150">
        <f t="shared" si="2"/>
        <v>15914.618809409014</v>
      </c>
      <c r="K9" s="6"/>
      <c r="L9" s="151">
        <v>4</v>
      </c>
      <c r="M9" s="152">
        <f t="shared" si="10"/>
        <v>18171</v>
      </c>
      <c r="N9" s="152" t="e">
        <f t="shared" si="11"/>
        <v>#DIV/0!</v>
      </c>
      <c r="O9" s="155" t="e">
        <f t="shared" si="12"/>
        <v>#DIV/0!</v>
      </c>
      <c r="P9" s="152">
        <f t="shared" si="13"/>
        <v>24748.591600325613</v>
      </c>
      <c r="Q9" s="152">
        <f t="shared" si="13"/>
        <v>8833.9727909165995</v>
      </c>
      <c r="R9" s="152" t="e">
        <f t="shared" si="3"/>
        <v>#DIV/0!</v>
      </c>
      <c r="S9" s="152" t="e">
        <f t="shared" si="4"/>
        <v>#DIV/0!</v>
      </c>
      <c r="T9" s="152" t="e">
        <f t="shared" si="5"/>
        <v>#DIV/0!</v>
      </c>
    </row>
    <row r="10" spans="1:20" s="60" customFormat="1" ht="60" customHeight="1">
      <c r="B10" s="149">
        <v>5</v>
      </c>
      <c r="C10" s="150">
        <f t="shared" si="6"/>
        <v>18171</v>
      </c>
      <c r="D10" s="150">
        <f t="shared" si="7"/>
        <v>9403.9003831106384</v>
      </c>
      <c r="E10" s="154">
        <f t="shared" si="8"/>
        <v>0.48247755307299334</v>
      </c>
      <c r="F10" s="150">
        <f t="shared" si="0"/>
        <v>24561.244761911148</v>
      </c>
      <c r="G10" s="150">
        <f t="shared" si="9"/>
        <v>8767.0996168893616</v>
      </c>
      <c r="H10" s="149">
        <v>0</v>
      </c>
      <c r="I10" s="150">
        <f t="shared" si="1"/>
        <v>8767.0996168893616</v>
      </c>
      <c r="J10" s="150">
        <f t="shared" si="2"/>
        <v>15794.145145021786</v>
      </c>
      <c r="K10" s="6"/>
      <c r="L10" s="151">
        <v>5</v>
      </c>
      <c r="M10" s="152">
        <f t="shared" si="10"/>
        <v>18171</v>
      </c>
      <c r="N10" s="152" t="e">
        <f t="shared" si="11"/>
        <v>#DIV/0!</v>
      </c>
      <c r="O10" s="155" t="e">
        <f t="shared" si="12"/>
        <v>#DIV/0!</v>
      </c>
      <c r="P10" s="152">
        <f t="shared" si="13"/>
        <v>24561.244761911148</v>
      </c>
      <c r="Q10" s="152">
        <f t="shared" si="13"/>
        <v>8767.0996168893616</v>
      </c>
      <c r="R10" s="152" t="e">
        <f t="shared" si="3"/>
        <v>#DIV/0!</v>
      </c>
      <c r="S10" s="152" t="e">
        <f t="shared" si="4"/>
        <v>#DIV/0!</v>
      </c>
      <c r="T10" s="152" t="e">
        <f t="shared" si="5"/>
        <v>#DIV/0!</v>
      </c>
    </row>
    <row r="11" spans="1:20" s="60" customFormat="1" ht="60" customHeight="1">
      <c r="B11" s="149">
        <v>6</v>
      </c>
      <c r="C11" s="150">
        <f t="shared" si="6"/>
        <v>18171</v>
      </c>
      <c r="D11" s="150">
        <f t="shared" si="7"/>
        <v>9470.2673272104912</v>
      </c>
      <c r="E11" s="154">
        <f t="shared" si="8"/>
        <v>0.47882519799623069</v>
      </c>
      <c r="F11" s="150">
        <f t="shared" si="0"/>
        <v>24375.316139063481</v>
      </c>
      <c r="G11" s="150">
        <f t="shared" si="9"/>
        <v>8700.7326727895088</v>
      </c>
      <c r="H11" s="149">
        <v>0</v>
      </c>
      <c r="I11" s="150">
        <f t="shared" si="1"/>
        <v>8700.7326727895088</v>
      </c>
      <c r="J11" s="150">
        <f t="shared" si="2"/>
        <v>15674.583466273973</v>
      </c>
      <c r="K11" s="6"/>
      <c r="L11" s="151">
        <v>6</v>
      </c>
      <c r="M11" s="152">
        <f t="shared" si="10"/>
        <v>18171</v>
      </c>
      <c r="N11" s="152" t="e">
        <f t="shared" si="11"/>
        <v>#DIV/0!</v>
      </c>
      <c r="O11" s="155" t="e">
        <f t="shared" si="12"/>
        <v>#DIV/0!</v>
      </c>
      <c r="P11" s="152">
        <f t="shared" si="13"/>
        <v>24375.316139063481</v>
      </c>
      <c r="Q11" s="152">
        <f t="shared" si="13"/>
        <v>8700.7326727895088</v>
      </c>
      <c r="R11" s="152" t="e">
        <f t="shared" si="3"/>
        <v>#DIV/0!</v>
      </c>
      <c r="S11" s="152" t="e">
        <f t="shared" si="4"/>
        <v>#DIV/0!</v>
      </c>
      <c r="T11" s="152" t="e">
        <f t="shared" si="5"/>
        <v>#DIV/0!</v>
      </c>
    </row>
    <row r="12" spans="1:20" s="60" customFormat="1" ht="60" customHeight="1">
      <c r="B12" s="149">
        <v>7</v>
      </c>
      <c r="C12" s="150">
        <f t="shared" si="6"/>
        <v>18171</v>
      </c>
      <c r="D12" s="150">
        <f t="shared" si="7"/>
        <v>9536.131873543507</v>
      </c>
      <c r="E12" s="154">
        <f t="shared" si="8"/>
        <v>0.47520049124739927</v>
      </c>
      <c r="F12" s="150">
        <f t="shared" si="0"/>
        <v>24190.79499589077</v>
      </c>
      <c r="G12" s="150">
        <f t="shared" si="9"/>
        <v>8634.868126456493</v>
      </c>
      <c r="H12" s="149">
        <v>0</v>
      </c>
      <c r="I12" s="150">
        <f t="shared" si="1"/>
        <v>8634.868126456493</v>
      </c>
      <c r="J12" s="150">
        <f t="shared" si="2"/>
        <v>15555.926869434277</v>
      </c>
      <c r="K12" s="6"/>
      <c r="L12" s="151">
        <v>7</v>
      </c>
      <c r="M12" s="152">
        <f t="shared" si="10"/>
        <v>18171</v>
      </c>
      <c r="N12" s="152" t="e">
        <f t="shared" si="11"/>
        <v>#DIV/0!</v>
      </c>
      <c r="O12" s="155" t="e">
        <f t="shared" si="12"/>
        <v>#DIV/0!</v>
      </c>
      <c r="P12" s="152">
        <f t="shared" si="13"/>
        <v>24190.79499589077</v>
      </c>
      <c r="Q12" s="152">
        <f t="shared" si="13"/>
        <v>8634.868126456493</v>
      </c>
      <c r="R12" s="152" t="e">
        <f t="shared" si="3"/>
        <v>#DIV/0!</v>
      </c>
      <c r="S12" s="152" t="e">
        <f t="shared" si="4"/>
        <v>#DIV/0!</v>
      </c>
      <c r="T12" s="152" t="e">
        <f t="shared" si="5"/>
        <v>#DIV/0!</v>
      </c>
    </row>
    <row r="13" spans="1:20" s="60" customFormat="1" ht="60" customHeight="1">
      <c r="B13" s="149">
        <v>8</v>
      </c>
      <c r="C13" s="150">
        <f t="shared" si="6"/>
        <v>18171</v>
      </c>
      <c r="D13" s="150">
        <f t="shared" si="7"/>
        <v>9601.4978252607816</v>
      </c>
      <c r="E13" s="154">
        <f t="shared" si="8"/>
        <v>0.47160322352865658</v>
      </c>
      <c r="F13" s="150">
        <f t="shared" si="0"/>
        <v>24007.670677771879</v>
      </c>
      <c r="G13" s="150">
        <f t="shared" si="9"/>
        <v>8569.5021747392184</v>
      </c>
      <c r="H13" s="149">
        <v>0</v>
      </c>
      <c r="I13" s="150">
        <f t="shared" si="1"/>
        <v>8569.5021747392184</v>
      </c>
      <c r="J13" s="150">
        <f t="shared" si="2"/>
        <v>15438.168503032661</v>
      </c>
      <c r="K13" s="6"/>
      <c r="L13" s="151">
        <v>8</v>
      </c>
      <c r="M13" s="152">
        <f t="shared" si="10"/>
        <v>18171</v>
      </c>
      <c r="N13" s="152" t="e">
        <f t="shared" si="11"/>
        <v>#DIV/0!</v>
      </c>
      <c r="O13" s="155" t="e">
        <f t="shared" si="12"/>
        <v>#DIV/0!</v>
      </c>
      <c r="P13" s="152">
        <f t="shared" si="13"/>
        <v>24007.670677771879</v>
      </c>
      <c r="Q13" s="152">
        <f t="shared" si="13"/>
        <v>8569.5021747392184</v>
      </c>
      <c r="R13" s="152" t="e">
        <f t="shared" si="3"/>
        <v>#DIV/0!</v>
      </c>
      <c r="S13" s="152" t="e">
        <f t="shared" si="4"/>
        <v>#DIV/0!</v>
      </c>
      <c r="T13" s="152" t="e">
        <f t="shared" si="5"/>
        <v>#DIV/0!</v>
      </c>
    </row>
    <row r="14" spans="1:20" s="60" customFormat="1" ht="60" customHeight="1">
      <c r="B14" s="149">
        <v>9</v>
      </c>
      <c r="C14" s="150">
        <f t="shared" si="6"/>
        <v>18171</v>
      </c>
      <c r="D14" s="150">
        <f t="shared" si="7"/>
        <v>9666.3689567235579</v>
      </c>
      <c r="E14" s="154">
        <f t="shared" si="8"/>
        <v>0.46803318712654463</v>
      </c>
      <c r="F14" s="150">
        <f t="shared" si="0"/>
        <v>23825.932610741147</v>
      </c>
      <c r="G14" s="150">
        <f t="shared" si="9"/>
        <v>8504.6310432764421</v>
      </c>
      <c r="H14" s="149">
        <v>0</v>
      </c>
      <c r="I14" s="150">
        <f t="shared" si="1"/>
        <v>8504.6310432764421</v>
      </c>
      <c r="J14" s="150">
        <f t="shared" si="2"/>
        <v>15321.301567464705</v>
      </c>
      <c r="K14" s="6"/>
      <c r="L14" s="151">
        <v>9</v>
      </c>
      <c r="M14" s="152">
        <f t="shared" si="10"/>
        <v>18171</v>
      </c>
      <c r="N14" s="152" t="e">
        <f t="shared" si="11"/>
        <v>#DIV/0!</v>
      </c>
      <c r="O14" s="155" t="e">
        <f t="shared" si="12"/>
        <v>#DIV/0!</v>
      </c>
      <c r="P14" s="152">
        <f t="shared" si="13"/>
        <v>23825.932610741147</v>
      </c>
      <c r="Q14" s="152">
        <f t="shared" si="13"/>
        <v>8504.6310432764421</v>
      </c>
      <c r="R14" s="152" t="e">
        <f t="shared" si="3"/>
        <v>#DIV/0!</v>
      </c>
      <c r="S14" s="152" t="e">
        <f t="shared" si="4"/>
        <v>#DIV/0!</v>
      </c>
      <c r="T14" s="152" t="e">
        <f t="shared" si="5"/>
        <v>#DIV/0!</v>
      </c>
    </row>
    <row r="15" spans="1:20" s="60" customFormat="1" ht="60" customHeight="1">
      <c r="B15" s="149">
        <v>10</v>
      </c>
      <c r="C15" s="150">
        <f t="shared" si="6"/>
        <v>18171</v>
      </c>
      <c r="D15" s="150">
        <f t="shared" si="7"/>
        <v>9730.7490137211607</v>
      </c>
      <c r="E15" s="154">
        <f t="shared" si="8"/>
        <v>0.46449017589999664</v>
      </c>
      <c r="F15" s="150">
        <f t="shared" si="0"/>
        <v>23645.570300877836</v>
      </c>
      <c r="G15" s="150">
        <f t="shared" si="9"/>
        <v>8440.2509862788393</v>
      </c>
      <c r="H15" s="149">
        <v>0</v>
      </c>
      <c r="I15" s="150">
        <f t="shared" si="1"/>
        <v>8440.2509862788393</v>
      </c>
      <c r="J15" s="150">
        <f t="shared" si="2"/>
        <v>15205.319314598997</v>
      </c>
      <c r="K15" s="6"/>
      <c r="L15" s="151">
        <v>10</v>
      </c>
      <c r="M15" s="152">
        <f t="shared" si="10"/>
        <v>18171</v>
      </c>
      <c r="N15" s="152" t="e">
        <f t="shared" si="11"/>
        <v>#DIV/0!</v>
      </c>
      <c r="O15" s="155" t="e">
        <f t="shared" si="12"/>
        <v>#DIV/0!</v>
      </c>
      <c r="P15" s="152">
        <f t="shared" si="13"/>
        <v>23645.570300877836</v>
      </c>
      <c r="Q15" s="152">
        <f t="shared" si="13"/>
        <v>8440.2509862788393</v>
      </c>
      <c r="R15" s="152" t="e">
        <f t="shared" si="3"/>
        <v>#DIV/0!</v>
      </c>
      <c r="S15" s="152" t="e">
        <f t="shared" si="4"/>
        <v>#DIV/0!</v>
      </c>
      <c r="T15" s="152" t="e">
        <f t="shared" si="5"/>
        <v>#DIV/0!</v>
      </c>
    </row>
    <row r="16" spans="1:20" s="60" customFormat="1" ht="60" customHeight="1">
      <c r="B16" s="149">
        <v>11</v>
      </c>
      <c r="C16" s="150">
        <f t="shared" si="6"/>
        <v>18171</v>
      </c>
      <c r="D16" s="150">
        <f>C16-I16</f>
        <v>9794.6417136872915</v>
      </c>
      <c r="E16" s="154">
        <f t="shared" si="8"/>
        <v>0.46097398526843369</v>
      </c>
      <c r="F16" s="150">
        <f t="shared" si="0"/>
        <v>23466.573333700191</v>
      </c>
      <c r="G16" s="150">
        <f t="shared" si="9"/>
        <v>8376.3582863127085</v>
      </c>
      <c r="H16" s="149">
        <v>0</v>
      </c>
      <c r="I16" s="150">
        <f>G16+H16</f>
        <v>8376.3582863127085</v>
      </c>
      <c r="J16" s="150">
        <f t="shared" si="2"/>
        <v>15090.215047387483</v>
      </c>
      <c r="K16" s="6"/>
      <c r="L16" s="151">
        <v>11</v>
      </c>
      <c r="M16" s="152">
        <f t="shared" si="10"/>
        <v>18171</v>
      </c>
      <c r="N16" s="152" t="e">
        <f t="shared" si="11"/>
        <v>#DIV/0!</v>
      </c>
      <c r="O16" s="155" t="e">
        <f t="shared" si="12"/>
        <v>#DIV/0!</v>
      </c>
      <c r="P16" s="152">
        <f t="shared" si="13"/>
        <v>23466.573333700191</v>
      </c>
      <c r="Q16" s="152">
        <f t="shared" si="13"/>
        <v>8376.3582863127085</v>
      </c>
      <c r="R16" s="152" t="e">
        <f t="shared" si="3"/>
        <v>#DIV/0!</v>
      </c>
      <c r="S16" s="152" t="e">
        <f t="shared" si="4"/>
        <v>#DIV/0!</v>
      </c>
      <c r="T16" s="152" t="e">
        <f t="shared" si="5"/>
        <v>#DIV/0!</v>
      </c>
    </row>
    <row r="17" spans="2:20" s="60" customFormat="1" ht="60" customHeight="1">
      <c r="B17" s="149">
        <v>12</v>
      </c>
      <c r="C17" s="150">
        <f t="shared" si="6"/>
        <v>18171</v>
      </c>
      <c r="D17" s="150">
        <f t="shared" si="7"/>
        <v>9858.0507459146793</v>
      </c>
      <c r="E17" s="154">
        <f>1-D17/C17</f>
        <v>0.45748441219995162</v>
      </c>
      <c r="F17" s="150">
        <f t="shared" si="0"/>
        <v>23288.931373564083</v>
      </c>
      <c r="G17" s="150">
        <f t="shared" si="9"/>
        <v>8312.9492540853207</v>
      </c>
      <c r="H17" s="149">
        <v>0</v>
      </c>
      <c r="I17" s="150">
        <f t="shared" ref="I17:I30" si="14">G17+H17</f>
        <v>8312.9492540853207</v>
      </c>
      <c r="J17" s="150">
        <f t="shared" si="2"/>
        <v>14975.982119478762</v>
      </c>
      <c r="K17" s="6"/>
      <c r="L17" s="151">
        <v>12</v>
      </c>
      <c r="M17" s="152">
        <f t="shared" si="10"/>
        <v>18171</v>
      </c>
      <c r="N17" s="152" t="e">
        <f t="shared" si="11"/>
        <v>#DIV/0!</v>
      </c>
      <c r="O17" s="155" t="e">
        <f t="shared" si="12"/>
        <v>#DIV/0!</v>
      </c>
      <c r="P17" s="152">
        <f t="shared" si="13"/>
        <v>23288.931373564083</v>
      </c>
      <c r="Q17" s="152">
        <f t="shared" si="13"/>
        <v>8312.9492540853207</v>
      </c>
      <c r="R17" s="152" t="e">
        <f t="shared" si="3"/>
        <v>#DIV/0!</v>
      </c>
      <c r="S17" s="152" t="e">
        <f t="shared" si="4"/>
        <v>#DIV/0!</v>
      </c>
      <c r="T17" s="152" t="e">
        <f t="shared" si="5"/>
        <v>#DIV/0!</v>
      </c>
    </row>
    <row r="18" spans="2:20" s="60" customFormat="1" ht="60" customHeight="1">
      <c r="B18" s="149">
        <v>13</v>
      </c>
      <c r="C18" s="150">
        <f t="shared" si="6"/>
        <v>18171</v>
      </c>
      <c r="D18" s="150">
        <f t="shared" si="7"/>
        <v>9920.9797717681049</v>
      </c>
      <c r="E18" s="154">
        <f t="shared" si="8"/>
        <v>0.45402125519959802</v>
      </c>
      <c r="F18" s="150">
        <f t="shared" si="0"/>
        <v>23112.634163066203</v>
      </c>
      <c r="G18" s="150">
        <f t="shared" si="9"/>
        <v>8250.0202282318951</v>
      </c>
      <c r="H18" s="149">
        <v>0</v>
      </c>
      <c r="I18" s="150">
        <f t="shared" si="14"/>
        <v>8250.0202282318951</v>
      </c>
      <c r="J18" s="150">
        <f t="shared" si="2"/>
        <v>14862.613934834308</v>
      </c>
      <c r="K18" s="6"/>
      <c r="L18" s="151">
        <v>13</v>
      </c>
      <c r="M18" s="152">
        <f t="shared" si="10"/>
        <v>18171</v>
      </c>
      <c r="N18" s="152" t="e">
        <f t="shared" si="11"/>
        <v>#DIV/0!</v>
      </c>
      <c r="O18" s="155" t="e">
        <f t="shared" si="12"/>
        <v>#DIV/0!</v>
      </c>
      <c r="P18" s="152">
        <f t="shared" si="13"/>
        <v>23112.634163066203</v>
      </c>
      <c r="Q18" s="152">
        <f t="shared" si="13"/>
        <v>8250.0202282318951</v>
      </c>
      <c r="R18" s="152" t="e">
        <f t="shared" si="3"/>
        <v>#DIV/0!</v>
      </c>
      <c r="S18" s="152" t="e">
        <f t="shared" si="4"/>
        <v>#DIV/0!</v>
      </c>
      <c r="T18" s="152" t="e">
        <f t="shared" si="5"/>
        <v>#DIV/0!</v>
      </c>
    </row>
    <row r="19" spans="2:20" s="60" customFormat="1" ht="60" customHeight="1">
      <c r="B19" s="149">
        <v>14</v>
      </c>
      <c r="C19" s="150">
        <f t="shared" si="6"/>
        <v>18171</v>
      </c>
      <c r="D19" s="150">
        <f t="shared" si="7"/>
        <v>9983.4324248958201</v>
      </c>
      <c r="E19" s="154">
        <f t="shared" si="8"/>
        <v>0.45058431429773704</v>
      </c>
      <c r="F19" s="150">
        <f t="shared" si="0"/>
        <v>22937.671522451794</v>
      </c>
      <c r="G19" s="150">
        <f t="shared" si="9"/>
        <v>8187.5675751041799</v>
      </c>
      <c r="H19" s="149">
        <v>0</v>
      </c>
      <c r="I19" s="150">
        <f t="shared" si="14"/>
        <v>8187.5675751041799</v>
      </c>
      <c r="J19" s="150">
        <f t="shared" si="2"/>
        <v>14750.103947347614</v>
      </c>
      <c r="K19" s="6"/>
      <c r="L19" s="151">
        <v>14</v>
      </c>
      <c r="M19" s="152">
        <f t="shared" si="10"/>
        <v>18171</v>
      </c>
      <c r="N19" s="152" t="e">
        <f t="shared" si="11"/>
        <v>#DIV/0!</v>
      </c>
      <c r="O19" s="155" t="e">
        <f t="shared" si="12"/>
        <v>#DIV/0!</v>
      </c>
      <c r="P19" s="152">
        <f t="shared" si="13"/>
        <v>22937.671522451794</v>
      </c>
      <c r="Q19" s="152">
        <f t="shared" si="13"/>
        <v>8187.5675751041799</v>
      </c>
      <c r="R19" s="152" t="e">
        <f t="shared" si="3"/>
        <v>#DIV/0!</v>
      </c>
      <c r="S19" s="152" t="e">
        <f t="shared" si="4"/>
        <v>#DIV/0!</v>
      </c>
      <c r="T19" s="152" t="e">
        <f t="shared" si="5"/>
        <v>#DIV/0!</v>
      </c>
    </row>
    <row r="20" spans="2:20" s="60" customFormat="1" ht="60" customHeight="1">
      <c r="B20" s="149">
        <v>15</v>
      </c>
      <c r="C20" s="150">
        <f t="shared" si="6"/>
        <v>18171</v>
      </c>
      <c r="D20" s="150">
        <f t="shared" si="7"/>
        <v>10045.412311439359</v>
      </c>
      <c r="E20" s="154">
        <f t="shared" si="8"/>
        <v>0.44717339103850318</v>
      </c>
      <c r="F20" s="150">
        <f t="shared" si="0"/>
        <v>22764.033349026835</v>
      </c>
      <c r="G20" s="150">
        <f t="shared" si="9"/>
        <v>8125.5876885606413</v>
      </c>
      <c r="H20" s="149">
        <v>0</v>
      </c>
      <c r="I20" s="150">
        <f t="shared" si="14"/>
        <v>8125.5876885606413</v>
      </c>
      <c r="J20" s="150">
        <f t="shared" si="2"/>
        <v>14638.445660466194</v>
      </c>
      <c r="K20" s="6"/>
      <c r="L20" s="151">
        <v>15</v>
      </c>
      <c r="M20" s="152">
        <f t="shared" si="10"/>
        <v>18171</v>
      </c>
      <c r="N20" s="152" t="e">
        <f t="shared" si="11"/>
        <v>#DIV/0!</v>
      </c>
      <c r="O20" s="155" t="e">
        <f t="shared" si="12"/>
        <v>#DIV/0!</v>
      </c>
      <c r="P20" s="152">
        <f t="shared" si="13"/>
        <v>22764.033349026835</v>
      </c>
      <c r="Q20" s="152">
        <f t="shared" si="13"/>
        <v>8125.5876885606413</v>
      </c>
      <c r="R20" s="152" t="e">
        <f t="shared" si="3"/>
        <v>#DIV/0!</v>
      </c>
      <c r="S20" s="152" t="e">
        <f t="shared" si="4"/>
        <v>#DIV/0!</v>
      </c>
      <c r="T20" s="152" t="e">
        <f t="shared" si="5"/>
        <v>#DIV/0!</v>
      </c>
    </row>
    <row r="21" spans="2:20" s="60" customFormat="1" ht="60" customHeight="1">
      <c r="B21" s="149">
        <v>16</v>
      </c>
      <c r="C21" s="150">
        <f t="shared" si="6"/>
        <v>18171</v>
      </c>
      <c r="D21" s="150">
        <f t="shared" si="7"/>
        <v>10106.923010241762</v>
      </c>
      <c r="E21" s="154">
        <f t="shared" si="8"/>
        <v>0.44378828846834173</v>
      </c>
      <c r="F21" s="150">
        <f t="shared" si="0"/>
        <v>22591.709616574703</v>
      </c>
      <c r="G21" s="150">
        <f t="shared" si="9"/>
        <v>8064.0769897582377</v>
      </c>
      <c r="H21" s="149">
        <v>0</v>
      </c>
      <c r="I21" s="150">
        <f t="shared" si="14"/>
        <v>8064.0769897582377</v>
      </c>
      <c r="J21" s="150">
        <f t="shared" si="2"/>
        <v>14527.632626816465</v>
      </c>
      <c r="K21" s="6"/>
      <c r="L21" s="151">
        <v>16</v>
      </c>
      <c r="M21" s="152">
        <f t="shared" si="10"/>
        <v>18171</v>
      </c>
      <c r="N21" s="152" t="e">
        <f t="shared" si="11"/>
        <v>#DIV/0!</v>
      </c>
      <c r="O21" s="155" t="e">
        <f t="shared" si="12"/>
        <v>#DIV/0!</v>
      </c>
      <c r="P21" s="152">
        <f t="shared" si="13"/>
        <v>22591.709616574703</v>
      </c>
      <c r="Q21" s="152">
        <f t="shared" si="13"/>
        <v>8064.0769897582377</v>
      </c>
      <c r="R21" s="152" t="e">
        <f t="shared" si="3"/>
        <v>#DIV/0!</v>
      </c>
      <c r="S21" s="152" t="e">
        <f t="shared" si="4"/>
        <v>#DIV/0!</v>
      </c>
      <c r="T21" s="152" t="e">
        <f t="shared" si="5"/>
        <v>#DIV/0!</v>
      </c>
    </row>
    <row r="22" spans="2:20" s="60" customFormat="1" ht="60" customHeight="1">
      <c r="B22" s="149">
        <v>17</v>
      </c>
      <c r="C22" s="150">
        <f t="shared" si="6"/>
        <v>18171</v>
      </c>
      <c r="D22" s="150">
        <f t="shared" si="7"/>
        <v>10167.968073054231</v>
      </c>
      <c r="E22" s="154">
        <f t="shared" si="8"/>
        <v>0.44042881112463639</v>
      </c>
      <c r="F22" s="150">
        <f t="shared" si="0"/>
        <v>22420.690374777234</v>
      </c>
      <c r="G22" s="150">
        <f t="shared" si="9"/>
        <v>8003.0319269457677</v>
      </c>
      <c r="H22" s="149">
        <v>0</v>
      </c>
      <c r="I22" s="150">
        <f t="shared" si="14"/>
        <v>8003.0319269457677</v>
      </c>
      <c r="J22" s="150">
        <f t="shared" si="2"/>
        <v>14417.658447831465</v>
      </c>
      <c r="K22" s="6"/>
      <c r="L22" s="151">
        <v>17</v>
      </c>
      <c r="M22" s="152">
        <f t="shared" si="10"/>
        <v>18171</v>
      </c>
      <c r="N22" s="152" t="e">
        <f t="shared" si="11"/>
        <v>#DIV/0!</v>
      </c>
      <c r="O22" s="155" t="e">
        <f t="shared" si="12"/>
        <v>#DIV/0!</v>
      </c>
      <c r="P22" s="152">
        <f t="shared" si="13"/>
        <v>22420.690374777234</v>
      </c>
      <c r="Q22" s="152">
        <f t="shared" si="13"/>
        <v>8003.0319269457677</v>
      </c>
      <c r="R22" s="152" t="e">
        <f t="shared" si="3"/>
        <v>#DIV/0!</v>
      </c>
      <c r="S22" s="152" t="e">
        <f t="shared" si="4"/>
        <v>#DIV/0!</v>
      </c>
      <c r="T22" s="152" t="e">
        <f t="shared" si="5"/>
        <v>#DIV/0!</v>
      </c>
    </row>
    <row r="23" spans="2:20" s="60" customFormat="1" ht="60" customHeight="1">
      <c r="B23" s="149">
        <v>18</v>
      </c>
      <c r="C23" s="150">
        <f t="shared" si="6"/>
        <v>18171</v>
      </c>
      <c r="D23" s="150">
        <f t="shared" si="7"/>
        <v>10228.551024741211</v>
      </c>
      <c r="E23" s="154">
        <f t="shared" si="8"/>
        <v>0.4370947650244229</v>
      </c>
      <c r="F23" s="150">
        <f t="shared" si="0"/>
        <v>22250.96574864017</v>
      </c>
      <c r="G23" s="150">
        <f t="shared" si="9"/>
        <v>7942.4489752587888</v>
      </c>
      <c r="H23" s="149">
        <v>0</v>
      </c>
      <c r="I23" s="150">
        <f t="shared" si="14"/>
        <v>7942.4489752587888</v>
      </c>
      <c r="J23" s="150">
        <f t="shared" si="2"/>
        <v>14308.516773381381</v>
      </c>
      <c r="K23" s="6"/>
      <c r="L23" s="151">
        <v>18</v>
      </c>
      <c r="M23" s="152">
        <f t="shared" si="10"/>
        <v>18171</v>
      </c>
      <c r="N23" s="152" t="e">
        <f t="shared" si="11"/>
        <v>#DIV/0!</v>
      </c>
      <c r="O23" s="155" t="e">
        <f t="shared" si="12"/>
        <v>#DIV/0!</v>
      </c>
      <c r="P23" s="152">
        <f t="shared" si="13"/>
        <v>22250.96574864017</v>
      </c>
      <c r="Q23" s="152">
        <f t="shared" si="13"/>
        <v>7942.4489752587888</v>
      </c>
      <c r="R23" s="152" t="e">
        <f t="shared" si="3"/>
        <v>#DIV/0!</v>
      </c>
      <c r="S23" s="152" t="e">
        <f t="shared" si="4"/>
        <v>#DIV/0!</v>
      </c>
      <c r="T23" s="152" t="e">
        <f t="shared" si="5"/>
        <v>#DIV/0!</v>
      </c>
    </row>
    <row r="24" spans="2:20" s="60" customFormat="1" ht="60" customHeight="1">
      <c r="B24" s="149">
        <v>19</v>
      </c>
      <c r="C24" s="150">
        <f t="shared" si="6"/>
        <v>18171</v>
      </c>
      <c r="D24" s="150">
        <f t="shared" si="7"/>
        <v>10288.675363483919</v>
      </c>
      <c r="E24" s="154">
        <f t="shared" si="8"/>
        <v>0.43378595765318806</v>
      </c>
      <c r="F24" s="150">
        <f t="shared" si="0"/>
        <v>22082.525937922965</v>
      </c>
      <c r="G24" s="150">
        <f t="shared" si="9"/>
        <v>7882.3246365160803</v>
      </c>
      <c r="H24" s="149">
        <v>0</v>
      </c>
      <c r="I24" s="150">
        <f t="shared" si="14"/>
        <v>7882.3246365160803</v>
      </c>
      <c r="J24" s="150">
        <f t="shared" si="2"/>
        <v>14200.201301406883</v>
      </c>
      <c r="K24" s="6"/>
      <c r="L24" s="151">
        <v>19</v>
      </c>
      <c r="M24" s="152">
        <f t="shared" si="10"/>
        <v>18171</v>
      </c>
      <c r="N24" s="152" t="e">
        <f t="shared" si="11"/>
        <v>#DIV/0!</v>
      </c>
      <c r="O24" s="155" t="e">
        <f t="shared" si="12"/>
        <v>#DIV/0!</v>
      </c>
      <c r="P24" s="152">
        <f t="shared" si="13"/>
        <v>22082.525937922965</v>
      </c>
      <c r="Q24" s="152">
        <f t="shared" si="13"/>
        <v>7882.3246365160803</v>
      </c>
      <c r="R24" s="152" t="e">
        <f t="shared" si="3"/>
        <v>#DIV/0!</v>
      </c>
      <c r="S24" s="152" t="e">
        <f t="shared" si="4"/>
        <v>#DIV/0!</v>
      </c>
      <c r="T24" s="152" t="e">
        <f t="shared" si="5"/>
        <v>#DIV/0!</v>
      </c>
    </row>
    <row r="25" spans="2:20" s="60" customFormat="1" ht="60" customHeight="1">
      <c r="B25" s="149">
        <v>20</v>
      </c>
      <c r="C25" s="150">
        <f t="shared" si="6"/>
        <v>18171</v>
      </c>
      <c r="D25" s="150">
        <f t="shared" si="7"/>
        <v>10348.344560982347</v>
      </c>
      <c r="E25" s="154">
        <f t="shared" si="8"/>
        <v>0.43050219795375344</v>
      </c>
      <c r="F25" s="150">
        <f t="shared" si="0"/>
        <v>21915.361216572888</v>
      </c>
      <c r="G25" s="150">
        <f t="shared" si="9"/>
        <v>7822.6554390176534</v>
      </c>
      <c r="H25" s="149">
        <v>0</v>
      </c>
      <c r="I25" s="150">
        <f t="shared" si="14"/>
        <v>7822.6554390176534</v>
      </c>
      <c r="J25" s="150">
        <f t="shared" si="2"/>
        <v>14092.705777555235</v>
      </c>
      <c r="K25" s="6"/>
      <c r="L25" s="151">
        <v>20</v>
      </c>
      <c r="M25" s="152">
        <f t="shared" si="10"/>
        <v>18171</v>
      </c>
      <c r="N25" s="152" t="e">
        <f t="shared" si="11"/>
        <v>#DIV/0!</v>
      </c>
      <c r="O25" s="155" t="e">
        <f t="shared" si="12"/>
        <v>#DIV/0!</v>
      </c>
      <c r="P25" s="152">
        <f t="shared" si="13"/>
        <v>21915.361216572888</v>
      </c>
      <c r="Q25" s="152">
        <f t="shared" si="13"/>
        <v>7822.6554390176534</v>
      </c>
      <c r="R25" s="152" t="e">
        <f t="shared" si="3"/>
        <v>#DIV/0!</v>
      </c>
      <c r="S25" s="152" t="e">
        <f t="shared" si="4"/>
        <v>#DIV/0!</v>
      </c>
      <c r="T25" s="152" t="e">
        <f t="shared" si="5"/>
        <v>#DIV/0!</v>
      </c>
    </row>
    <row r="26" spans="2:20" s="60" customFormat="1" ht="60" customHeight="1">
      <c r="B26" s="149">
        <v>21</v>
      </c>
      <c r="C26" s="150">
        <f t="shared" si="6"/>
        <v>18171</v>
      </c>
      <c r="D26" s="150">
        <f t="shared" si="7"/>
        <v>10407.56206265571</v>
      </c>
      <c r="E26" s="154">
        <f t="shared" si="8"/>
        <v>0.42724329631524349</v>
      </c>
      <c r="F26" s="150">
        <f t="shared" si="0"/>
        <v>21749.461932163431</v>
      </c>
      <c r="G26" s="150">
        <f t="shared" si="9"/>
        <v>7763.4379373442898</v>
      </c>
      <c r="H26" s="149">
        <v>0</v>
      </c>
      <c r="I26" s="150">
        <f t="shared" si="14"/>
        <v>7763.4379373442898</v>
      </c>
      <c r="J26" s="150">
        <f t="shared" si="2"/>
        <v>13986.023994819141</v>
      </c>
      <c r="K26" s="6"/>
      <c r="L26" s="151">
        <v>21</v>
      </c>
      <c r="M26" s="152">
        <f t="shared" si="10"/>
        <v>18171</v>
      </c>
      <c r="N26" s="152" t="e">
        <f t="shared" si="11"/>
        <v>#DIV/0!</v>
      </c>
      <c r="O26" s="155" t="e">
        <f t="shared" si="12"/>
        <v>#DIV/0!</v>
      </c>
      <c r="P26" s="152">
        <f t="shared" si="13"/>
        <v>21749.461932163431</v>
      </c>
      <c r="Q26" s="152">
        <f t="shared" si="13"/>
        <v>7763.4379373442898</v>
      </c>
      <c r="R26" s="152" t="e">
        <f t="shared" si="3"/>
        <v>#DIV/0!</v>
      </c>
      <c r="S26" s="152" t="e">
        <f t="shared" si="4"/>
        <v>#DIV/0!</v>
      </c>
      <c r="T26" s="152" t="e">
        <f t="shared" si="5"/>
        <v>#DIV/0!</v>
      </c>
    </row>
    <row r="27" spans="2:20" s="60" customFormat="1" ht="60" customHeight="1">
      <c r="B27" s="149">
        <v>22</v>
      </c>
      <c r="C27" s="150">
        <f t="shared" si="6"/>
        <v>18171</v>
      </c>
      <c r="D27" s="150">
        <f t="shared" si="7"/>
        <v>10466.331287841407</v>
      </c>
      <c r="E27" s="154">
        <f t="shared" si="8"/>
        <v>0.42400906456213705</v>
      </c>
      <c r="F27" s="150">
        <f t="shared" si="0"/>
        <v>21584.818505336956</v>
      </c>
      <c r="G27" s="150">
        <f t="shared" si="9"/>
        <v>7704.6687121585937</v>
      </c>
      <c r="H27" s="149">
        <v>0</v>
      </c>
      <c r="I27" s="150">
        <f t="shared" si="14"/>
        <v>7704.6687121585937</v>
      </c>
      <c r="J27" s="150">
        <f t="shared" si="2"/>
        <v>13880.149793178363</v>
      </c>
      <c r="K27" s="6"/>
      <c r="L27" s="151">
        <v>22</v>
      </c>
      <c r="M27" s="152">
        <f t="shared" si="10"/>
        <v>18171</v>
      </c>
      <c r="N27" s="152" t="e">
        <f t="shared" si="11"/>
        <v>#DIV/0!</v>
      </c>
      <c r="O27" s="155" t="e">
        <f t="shared" si="12"/>
        <v>#DIV/0!</v>
      </c>
      <c r="P27" s="152">
        <f t="shared" si="13"/>
        <v>21584.818505336956</v>
      </c>
      <c r="Q27" s="152">
        <f t="shared" si="13"/>
        <v>7704.6687121585937</v>
      </c>
      <c r="R27" s="152" t="e">
        <f t="shared" si="3"/>
        <v>#DIV/0!</v>
      </c>
      <c r="S27" s="152" t="e">
        <f t="shared" si="4"/>
        <v>#DIV/0!</v>
      </c>
      <c r="T27" s="152" t="e">
        <f t="shared" si="5"/>
        <v>#DIV/0!</v>
      </c>
    </row>
    <row r="28" spans="2:20" s="60" customFormat="1" ht="60" customHeight="1">
      <c r="B28" s="149">
        <v>23</v>
      </c>
      <c r="C28" s="150">
        <f t="shared" si="6"/>
        <v>18171</v>
      </c>
      <c r="D28" s="150">
        <f t="shared" si="7"/>
        <v>10524.655629992447</v>
      </c>
      <c r="E28" s="154">
        <f t="shared" si="8"/>
        <v>0.4207993159434017</v>
      </c>
      <c r="F28" s="150">
        <f t="shared" si="0"/>
        <v>21421.421429251557</v>
      </c>
      <c r="G28" s="150">
        <f t="shared" si="9"/>
        <v>7646.3443700075532</v>
      </c>
      <c r="H28" s="149">
        <v>0</v>
      </c>
      <c r="I28" s="150">
        <f t="shared" si="14"/>
        <v>7646.3443700075532</v>
      </c>
      <c r="J28" s="150">
        <f t="shared" si="2"/>
        <v>13775.077059244004</v>
      </c>
      <c r="K28" s="6"/>
      <c r="L28" s="151">
        <v>23</v>
      </c>
      <c r="M28" s="152">
        <f t="shared" si="10"/>
        <v>18171</v>
      </c>
      <c r="N28" s="152" t="e">
        <f t="shared" si="11"/>
        <v>#DIV/0!</v>
      </c>
      <c r="O28" s="155" t="e">
        <f t="shared" si="12"/>
        <v>#DIV/0!</v>
      </c>
      <c r="P28" s="152">
        <f t="shared" si="13"/>
        <v>21421.421429251557</v>
      </c>
      <c r="Q28" s="152">
        <f t="shared" si="13"/>
        <v>7646.3443700075532</v>
      </c>
      <c r="R28" s="152" t="e">
        <f t="shared" si="3"/>
        <v>#DIV/0!</v>
      </c>
      <c r="S28" s="152" t="e">
        <f t="shared" si="4"/>
        <v>#DIV/0!</v>
      </c>
      <c r="T28" s="152" t="e">
        <f t="shared" si="5"/>
        <v>#DIV/0!</v>
      </c>
    </row>
    <row r="29" spans="2:20" s="60" customFormat="1" ht="60" customHeight="1">
      <c r="B29" s="149">
        <v>24</v>
      </c>
      <c r="C29" s="150">
        <f t="shared" si="6"/>
        <v>18171</v>
      </c>
      <c r="D29" s="150">
        <f t="shared" si="7"/>
        <v>10582.538456873404</v>
      </c>
      <c r="E29" s="154">
        <f t="shared" si="8"/>
        <v>0.41761386512171017</v>
      </c>
      <c r="F29" s="150">
        <f t="shared" si="0"/>
        <v>21259.261269032122</v>
      </c>
      <c r="G29" s="150">
        <f t="shared" si="9"/>
        <v>7588.4615431265966</v>
      </c>
      <c r="H29" s="149">
        <v>0</v>
      </c>
      <c r="I29" s="150">
        <f t="shared" si="14"/>
        <v>7588.4615431265966</v>
      </c>
      <c r="J29" s="150">
        <f t="shared" si="2"/>
        <v>13670.799725905526</v>
      </c>
      <c r="K29" s="6"/>
      <c r="L29" s="151">
        <v>24</v>
      </c>
      <c r="M29" s="152">
        <f t="shared" si="10"/>
        <v>18171</v>
      </c>
      <c r="N29" s="152" t="e">
        <f t="shared" si="11"/>
        <v>#DIV/0!</v>
      </c>
      <c r="O29" s="155" t="e">
        <f t="shared" si="12"/>
        <v>#DIV/0!</v>
      </c>
      <c r="P29" s="152">
        <f t="shared" si="13"/>
        <v>21259.261269032122</v>
      </c>
      <c r="Q29" s="152">
        <f t="shared" si="13"/>
        <v>7588.4615431265966</v>
      </c>
      <c r="R29" s="152" t="e">
        <f t="shared" si="3"/>
        <v>#DIV/0!</v>
      </c>
      <c r="S29" s="152" t="e">
        <f t="shared" si="4"/>
        <v>#DIV/0!</v>
      </c>
      <c r="T29" s="152" t="e">
        <f t="shared" si="5"/>
        <v>#DIV/0!</v>
      </c>
    </row>
    <row r="30" spans="2:20" s="60" customFormat="1" ht="60" customHeight="1">
      <c r="B30" s="151">
        <v>25</v>
      </c>
      <c r="C30" s="152">
        <f t="shared" si="6"/>
        <v>18171</v>
      </c>
      <c r="D30" s="152">
        <f t="shared" si="7"/>
        <v>10639.983110754871</v>
      </c>
      <c r="E30" s="155">
        <f t="shared" si="8"/>
        <v>0.41445252816273892</v>
      </c>
      <c r="F30" s="152">
        <f t="shared" si="0"/>
        <v>21098.328661225551</v>
      </c>
      <c r="G30" s="152">
        <f t="shared" si="9"/>
        <v>7531.0168892451284</v>
      </c>
      <c r="H30" s="151">
        <v>0</v>
      </c>
      <c r="I30" s="152">
        <f t="shared" si="14"/>
        <v>7531.0168892451284</v>
      </c>
      <c r="J30" s="152">
        <f t="shared" si="2"/>
        <v>13567.311771980421</v>
      </c>
      <c r="K30" s="6"/>
      <c r="L30" s="151">
        <v>25</v>
      </c>
      <c r="M30" s="152">
        <f t="shared" si="10"/>
        <v>18171</v>
      </c>
      <c r="N30" s="152" t="e">
        <f t="shared" si="11"/>
        <v>#DIV/0!</v>
      </c>
      <c r="O30" s="155" t="e">
        <f t="shared" si="12"/>
        <v>#DIV/0!</v>
      </c>
      <c r="P30" s="152">
        <f t="shared" si="13"/>
        <v>21098.328661225551</v>
      </c>
      <c r="Q30" s="152">
        <f t="shared" si="13"/>
        <v>7531.0168892451284</v>
      </c>
      <c r="R30" s="152" t="e">
        <f t="shared" si="3"/>
        <v>#DIV/0!</v>
      </c>
      <c r="S30" s="152" t="e">
        <f t="shared" si="4"/>
        <v>#DIV/0!</v>
      </c>
      <c r="T30" s="152" t="e">
        <f t="shared" si="5"/>
        <v>#DIV/0!</v>
      </c>
    </row>
  </sheetData>
  <sheetProtection selectLockedCells="1" selectUnlockedCells="1"/>
  <mergeCells count="6">
    <mergeCell ref="B1:J1"/>
    <mergeCell ref="L1:T1"/>
    <mergeCell ref="Q3:S3"/>
    <mergeCell ref="G3:I3"/>
    <mergeCell ref="D3:E3"/>
    <mergeCell ref="N3:O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811C-DEFA-49B3-B2C0-33A49B501159}">
  <sheetPr codeName="Hoja10">
    <tabColor rgb="FF00B0F0"/>
  </sheetPr>
  <dimension ref="A1:AD31"/>
  <sheetViews>
    <sheetView showGridLines="0" tabSelected="1" topLeftCell="B8" zoomScale="40" zoomScaleNormal="40" workbookViewId="0">
      <selection activeCell="B3" sqref="B3:J30"/>
    </sheetView>
  </sheetViews>
  <sheetFormatPr baseColWidth="10" defaultColWidth="11.5546875" defaultRowHeight="14.4"/>
  <cols>
    <col min="1" max="1" width="5.88671875" style="6" customWidth="1"/>
    <col min="2" max="2" width="23.5546875" style="3" customWidth="1"/>
    <col min="3" max="3" width="33.33203125" style="3" customWidth="1"/>
    <col min="4" max="4" width="31.33203125" style="3" customWidth="1"/>
    <col min="5" max="5" width="34.109375" style="3" customWidth="1"/>
    <col min="6" max="6" width="38.21875" style="6" customWidth="1"/>
    <col min="7" max="7" width="41.77734375" style="6" customWidth="1"/>
    <col min="8" max="8" width="7.33203125" style="6" customWidth="1"/>
    <col min="9" max="9" width="34" style="3" customWidth="1"/>
    <col min="10" max="10" width="35.21875" style="3" customWidth="1"/>
    <col min="11" max="11" width="24.109375" style="3" customWidth="1"/>
    <col min="12" max="12" width="38.33203125" style="3" customWidth="1"/>
    <col min="13" max="13" width="35.88671875" style="3" customWidth="1"/>
    <col min="14" max="14" width="30.6640625" style="3" customWidth="1"/>
    <col min="15" max="15" width="28.88671875" style="3" customWidth="1"/>
    <col min="16" max="16" width="48.33203125" style="6" customWidth="1"/>
    <col min="17" max="17" width="43.21875" style="6" customWidth="1"/>
    <col min="18" max="18" width="10.21875" style="3" customWidth="1"/>
    <col min="19" max="19" width="31.44140625" style="3" customWidth="1"/>
    <col min="20" max="20" width="41.5546875" style="3" customWidth="1"/>
    <col min="21" max="21" width="11.5546875" style="6"/>
    <col min="22" max="22" width="17.33203125" style="6" customWidth="1"/>
    <col min="23" max="23" width="29.77734375" style="6" customWidth="1"/>
    <col min="24" max="24" width="24" style="6" customWidth="1"/>
    <col min="25" max="16384" width="11.5546875" style="6"/>
  </cols>
  <sheetData>
    <row r="1" spans="1:30" ht="85.2" customHeight="1">
      <c r="B1" s="458" t="str">
        <f>"Autoconsumo (Sin Baterías) de "&amp;p_gen&amp;" kW"</f>
        <v>Autoconsumo (Sin Baterías) de 16,335 kW</v>
      </c>
      <c r="C1" s="458"/>
      <c r="D1" s="458"/>
      <c r="E1" s="458"/>
      <c r="F1" s="458"/>
      <c r="G1" s="458"/>
      <c r="H1" s="458"/>
      <c r="I1" s="458"/>
      <c r="J1" s="458"/>
      <c r="K1" s="458"/>
      <c r="L1" s="458" t="s">
        <v>208</v>
      </c>
      <c r="M1" s="458"/>
      <c r="N1" s="458"/>
      <c r="O1" s="458"/>
      <c r="P1" s="458"/>
      <c r="Q1" s="458"/>
      <c r="R1" s="458"/>
      <c r="S1" s="458"/>
      <c r="T1" s="458"/>
      <c r="V1" s="458" t="s">
        <v>208</v>
      </c>
      <c r="W1" s="458"/>
      <c r="X1" s="458"/>
      <c r="Y1" s="458"/>
      <c r="Z1" s="458"/>
      <c r="AA1" s="458"/>
      <c r="AB1" s="458"/>
      <c r="AC1" s="458"/>
      <c r="AD1" s="458"/>
    </row>
    <row r="2" spans="1:30" ht="28.2" customHeight="1">
      <c r="B2" s="106"/>
      <c r="C2" s="106"/>
      <c r="D2" s="106"/>
      <c r="E2" s="106"/>
      <c r="F2" s="106"/>
      <c r="G2" s="106"/>
      <c r="H2" s="106"/>
      <c r="I2" s="106"/>
      <c r="J2" s="106"/>
      <c r="K2" s="106"/>
      <c r="P2" s="3"/>
      <c r="Q2" s="3"/>
      <c r="V2" s="3"/>
      <c r="W2" s="3"/>
      <c r="X2" s="3"/>
      <c r="Y2" s="3"/>
      <c r="Z2" s="3"/>
      <c r="AA2" s="3"/>
      <c r="AB2" s="3"/>
      <c r="AC2" s="3"/>
      <c r="AD2" s="3"/>
    </row>
    <row r="3" spans="1:30" ht="71.400000000000006" customHeight="1">
      <c r="B3" s="143" t="s">
        <v>211</v>
      </c>
      <c r="C3" s="459" t="s">
        <v>217</v>
      </c>
      <c r="D3" s="459"/>
      <c r="E3" s="459"/>
      <c r="F3" s="146" t="s">
        <v>210</v>
      </c>
      <c r="G3" s="144" t="s">
        <v>222</v>
      </c>
      <c r="I3" s="165" t="s">
        <v>218</v>
      </c>
      <c r="J3" s="165" t="s">
        <v>219</v>
      </c>
      <c r="L3" s="143" t="s">
        <v>211</v>
      </c>
      <c r="M3" s="459" t="s">
        <v>217</v>
      </c>
      <c r="N3" s="459"/>
      <c r="O3" s="459"/>
      <c r="P3" s="146" t="s">
        <v>210</v>
      </c>
      <c r="Q3" s="144" t="s">
        <v>222</v>
      </c>
      <c r="R3" s="6"/>
      <c r="S3" s="165" t="s">
        <v>218</v>
      </c>
      <c r="T3" s="165" t="s">
        <v>219</v>
      </c>
      <c r="U3" s="3"/>
      <c r="V3" s="143" t="s">
        <v>211</v>
      </c>
      <c r="W3" s="459" t="s">
        <v>217</v>
      </c>
      <c r="X3" s="459"/>
      <c r="Y3" s="459"/>
      <c r="Z3" s="146" t="s">
        <v>210</v>
      </c>
      <c r="AA3" s="144" t="s">
        <v>222</v>
      </c>
      <c r="AC3" s="165" t="s">
        <v>218</v>
      </c>
      <c r="AD3" s="165" t="s">
        <v>219</v>
      </c>
    </row>
    <row r="4" spans="1:30" s="3" customFormat="1" ht="86.4" customHeight="1">
      <c r="A4" s="6"/>
      <c r="B4" s="160"/>
      <c r="C4" s="142" t="s">
        <v>216</v>
      </c>
      <c r="D4" s="142" t="s">
        <v>212</v>
      </c>
      <c r="E4" s="142" t="s">
        <v>213</v>
      </c>
      <c r="F4" s="142" t="s">
        <v>214</v>
      </c>
      <c r="G4" s="142" t="s">
        <v>215</v>
      </c>
      <c r="H4" s="6"/>
      <c r="I4" s="161" t="s">
        <v>220</v>
      </c>
      <c r="J4" s="161" t="s">
        <v>221</v>
      </c>
      <c r="L4" s="160"/>
      <c r="M4" s="142" t="s">
        <v>216</v>
      </c>
      <c r="N4" s="142" t="s">
        <v>212</v>
      </c>
      <c r="O4" s="142" t="s">
        <v>213</v>
      </c>
      <c r="P4" s="142" t="s">
        <v>214</v>
      </c>
      <c r="Q4" s="142" t="s">
        <v>215</v>
      </c>
      <c r="R4" s="6"/>
      <c r="S4" s="161" t="s">
        <v>220</v>
      </c>
      <c r="T4" s="161" t="s">
        <v>221</v>
      </c>
      <c r="V4" s="160"/>
      <c r="W4" s="142" t="s">
        <v>216</v>
      </c>
      <c r="X4" s="142" t="s">
        <v>212</v>
      </c>
      <c r="Y4" s="142" t="s">
        <v>213</v>
      </c>
      <c r="Z4" s="142" t="s">
        <v>214</v>
      </c>
      <c r="AA4" s="142" t="s">
        <v>215</v>
      </c>
      <c r="AB4" s="6"/>
      <c r="AC4" s="161" t="s">
        <v>220</v>
      </c>
      <c r="AD4" s="161" t="s">
        <v>221</v>
      </c>
    </row>
    <row r="5" spans="1:30" s="3" customFormat="1" ht="60" customHeight="1">
      <c r="A5" s="6"/>
      <c r="B5" s="156">
        <v>0</v>
      </c>
      <c r="C5" s="156"/>
      <c r="D5" s="157"/>
      <c r="E5" s="157"/>
      <c r="F5" s="157"/>
      <c r="G5" s="157"/>
      <c r="H5" s="6"/>
      <c r="I5" s="157"/>
      <c r="J5" s="164">
        <f>-incentivo!C33</f>
        <v>-19994.920879999998</v>
      </c>
      <c r="L5" s="156">
        <v>0</v>
      </c>
      <c r="M5" s="156"/>
      <c r="N5" s="157"/>
      <c r="O5" s="157"/>
      <c r="P5" s="157"/>
      <c r="Q5" s="157"/>
      <c r="R5" s="6"/>
      <c r="S5" s="157"/>
      <c r="T5" s="164">
        <f>-incentivo!D28</f>
        <v>-19994.920879999998</v>
      </c>
      <c r="V5" s="156">
        <v>0</v>
      </c>
      <c r="W5" s="156"/>
      <c r="X5" s="157"/>
      <c r="Y5" s="157"/>
      <c r="Z5" s="157"/>
      <c r="AA5" s="157"/>
      <c r="AB5" s="6"/>
      <c r="AC5" s="157"/>
      <c r="AD5" s="164">
        <f>-incentivo!N28</f>
        <v>0</v>
      </c>
    </row>
    <row r="6" spans="1:30" s="3" customFormat="1" ht="60" customHeight="1">
      <c r="A6" s="6"/>
      <c r="B6" s="156">
        <v>1</v>
      </c>
      <c r="C6" s="158">
        <f>cálculos!P27*preciokwh</f>
        <v>2982.4305898096391</v>
      </c>
      <c r="D6" s="159">
        <f>'exp4'!H6*preciokwh*(1+ti)</f>
        <v>0</v>
      </c>
      <c r="E6" s="159">
        <f>C6+D6</f>
        <v>2982.4305898096391</v>
      </c>
      <c r="F6" s="159">
        <f>'exp4'!J6*precioexc</f>
        <v>1709.5660623332963</v>
      </c>
      <c r="G6" s="159">
        <f>E6+F6</f>
        <v>4691.9966521429351</v>
      </c>
      <c r="H6" s="6"/>
      <c r="I6" s="159">
        <f>I5+G6</f>
        <v>4691.9966521429351</v>
      </c>
      <c r="J6" s="164">
        <f t="shared" ref="J6:J30" si="0">J5+G6</f>
        <v>-15302.924227857064</v>
      </c>
      <c r="L6" s="156">
        <v>1</v>
      </c>
      <c r="M6" s="158">
        <f>C6</f>
        <v>2982.4305898096391</v>
      </c>
      <c r="N6" s="158" t="e">
        <f>'exp4'!R6*preciokwh</f>
        <v>#DIV/0!</v>
      </c>
      <c r="O6" s="158" t="e">
        <f>M6+N6</f>
        <v>#DIV/0!</v>
      </c>
      <c r="P6" s="158" t="e">
        <f>'exp4'!T6*precioexc</f>
        <v>#DIV/0!</v>
      </c>
      <c r="Q6" s="158" t="e">
        <f>O6+P6</f>
        <v>#DIV/0!</v>
      </c>
      <c r="R6" s="6"/>
      <c r="S6" s="159" t="e">
        <f>Q6+S5</f>
        <v>#DIV/0!</v>
      </c>
      <c r="T6" s="164" t="e">
        <f>T5+Q6</f>
        <v>#DIV/0!</v>
      </c>
      <c r="V6" s="156">
        <v>1</v>
      </c>
      <c r="W6" s="158">
        <f>M6</f>
        <v>2982.4305898096391</v>
      </c>
      <c r="X6" s="158">
        <f>'exp4'!AB6*preciokwh</f>
        <v>0</v>
      </c>
      <c r="Y6" s="158">
        <f>W6+X6</f>
        <v>2982.4305898096391</v>
      </c>
      <c r="Z6" s="158">
        <f>'exp4'!AD6*precioexc</f>
        <v>0</v>
      </c>
      <c r="AA6" s="158">
        <f>Y6+Z6</f>
        <v>2982.4305898096391</v>
      </c>
      <c r="AB6" s="6"/>
      <c r="AC6" s="159">
        <f>AA6+AC5</f>
        <v>2982.4305898096391</v>
      </c>
      <c r="AD6" s="164">
        <f>AD5+AA6</f>
        <v>2982.4305898096391</v>
      </c>
    </row>
    <row r="7" spans="1:30" s="3" customFormat="1" ht="60" customHeight="1">
      <c r="A7" s="6"/>
      <c r="B7" s="156">
        <v>2</v>
      </c>
      <c r="C7" s="158">
        <f>'exp4'!G7*preciokwh*(1+ti)</f>
        <v>3063.4484659033474</v>
      </c>
      <c r="D7" s="159">
        <f>'exp4'!H7*preciokwh*(1+ti)</f>
        <v>0</v>
      </c>
      <c r="E7" s="159">
        <f t="shared" ref="E7:E30" si="1">C7+D7</f>
        <v>3063.4484659033474</v>
      </c>
      <c r="F7" s="159">
        <f>'exp4'!J7*precioexc</f>
        <v>1696.6246472414339</v>
      </c>
      <c r="G7" s="159">
        <f t="shared" ref="G7:G30" si="2">E7+F7</f>
        <v>4760.073113144781</v>
      </c>
      <c r="H7" s="6"/>
      <c r="I7" s="159">
        <f>I6+G7</f>
        <v>9452.069765287717</v>
      </c>
      <c r="J7" s="164">
        <f t="shared" si="0"/>
        <v>-10542.851114712283</v>
      </c>
      <c r="L7" s="156">
        <v>2</v>
      </c>
      <c r="M7" s="158">
        <f t="shared" ref="M7:M30" si="3">C7</f>
        <v>3063.4484659033474</v>
      </c>
      <c r="N7" s="158" t="e">
        <f>'exp4'!R7*preciokwh</f>
        <v>#DIV/0!</v>
      </c>
      <c r="O7" s="158" t="e">
        <f t="shared" ref="O7:O30" si="4">M7+N7</f>
        <v>#DIV/0!</v>
      </c>
      <c r="P7" s="158" t="e">
        <f>'exp4'!T7*precioexc</f>
        <v>#DIV/0!</v>
      </c>
      <c r="Q7" s="158" t="e">
        <f t="shared" ref="Q7:Q30" si="5">O7+P7</f>
        <v>#DIV/0!</v>
      </c>
      <c r="R7" s="6"/>
      <c r="S7" s="159" t="e">
        <f t="shared" ref="S7:S30" si="6">Q7+S6</f>
        <v>#DIV/0!</v>
      </c>
      <c r="T7" s="164" t="e">
        <f t="shared" ref="T7:T30" si="7">T6+Q7</f>
        <v>#DIV/0!</v>
      </c>
      <c r="V7" s="156">
        <v>2</v>
      </c>
      <c r="W7" s="158">
        <f t="shared" ref="W7:W30" si="8">M7</f>
        <v>3063.4484659033474</v>
      </c>
      <c r="X7" s="158">
        <f>'exp4'!AB7*preciokwh</f>
        <v>0</v>
      </c>
      <c r="Y7" s="158">
        <f t="shared" ref="Y7:Y30" si="9">W7+X7</f>
        <v>3063.4484659033474</v>
      </c>
      <c r="Z7" s="158">
        <f>'exp4'!AD7*precioexc</f>
        <v>0</v>
      </c>
      <c r="AA7" s="158">
        <f t="shared" ref="AA7:AA30" si="10">Y7+Z7</f>
        <v>3063.4484659033474</v>
      </c>
      <c r="AB7" s="6"/>
      <c r="AC7" s="159">
        <f t="shared" ref="AC7:AC30" si="11">AA7+AC6</f>
        <v>6045.8790557129869</v>
      </c>
      <c r="AD7" s="164">
        <f t="shared" ref="AD7:AD30" si="12">AD6+AA7</f>
        <v>6045.8790557129869</v>
      </c>
    </row>
    <row r="8" spans="1:30" s="3" customFormat="1" ht="60" customHeight="1">
      <c r="A8" s="6"/>
      <c r="B8" s="156">
        <v>3</v>
      </c>
      <c r="C8" s="158">
        <f>'exp4'!G8*preciokwh*(1+ti)</f>
        <v>3040.2581610164589</v>
      </c>
      <c r="D8" s="159">
        <f>'exp4'!H8*preciokwh*(1+ti)</f>
        <v>0</v>
      </c>
      <c r="E8" s="159">
        <f t="shared" si="1"/>
        <v>3040.2581610164589</v>
      </c>
      <c r="F8" s="159">
        <f>'exp4'!J8*precioexc</f>
        <v>1683.7811986618162</v>
      </c>
      <c r="G8" s="159">
        <f t="shared" si="2"/>
        <v>4724.0393596782751</v>
      </c>
      <c r="H8" s="6"/>
      <c r="I8" s="159">
        <f>I7+G8</f>
        <v>14176.109124965991</v>
      </c>
      <c r="J8" s="164">
        <f t="shared" si="0"/>
        <v>-5818.8117550340075</v>
      </c>
      <c r="L8" s="156">
        <v>3</v>
      </c>
      <c r="M8" s="158">
        <f t="shared" si="3"/>
        <v>3040.2581610164589</v>
      </c>
      <c r="N8" s="158" t="e">
        <f>'exp4'!R8*preciokwh</f>
        <v>#DIV/0!</v>
      </c>
      <c r="O8" s="158" t="e">
        <f t="shared" si="4"/>
        <v>#DIV/0!</v>
      </c>
      <c r="P8" s="158" t="e">
        <f>'exp4'!T8*precioexc</f>
        <v>#DIV/0!</v>
      </c>
      <c r="Q8" s="158" t="e">
        <f t="shared" si="5"/>
        <v>#DIV/0!</v>
      </c>
      <c r="R8" s="6"/>
      <c r="S8" s="159" t="e">
        <f t="shared" si="6"/>
        <v>#DIV/0!</v>
      </c>
      <c r="T8" s="164" t="e">
        <f t="shared" si="7"/>
        <v>#DIV/0!</v>
      </c>
      <c r="V8" s="156">
        <v>3</v>
      </c>
      <c r="W8" s="158">
        <f t="shared" si="8"/>
        <v>3040.2581610164589</v>
      </c>
      <c r="X8" s="158">
        <f>'exp4'!AB8*preciokwh</f>
        <v>0</v>
      </c>
      <c r="Y8" s="158">
        <f t="shared" si="9"/>
        <v>3040.2581610164589</v>
      </c>
      <c r="Z8" s="158">
        <f>'exp4'!AD8*precioexc</f>
        <v>0</v>
      </c>
      <c r="AA8" s="158">
        <f t="shared" si="10"/>
        <v>3040.2581610164589</v>
      </c>
      <c r="AB8" s="6"/>
      <c r="AC8" s="159">
        <f t="shared" si="11"/>
        <v>9086.1372167294467</v>
      </c>
      <c r="AD8" s="164">
        <f t="shared" si="12"/>
        <v>9086.1372167294467</v>
      </c>
    </row>
    <row r="9" spans="1:30" s="3" customFormat="1" ht="60" customHeight="1">
      <c r="A9" s="6"/>
      <c r="B9" s="156">
        <v>4</v>
      </c>
      <c r="C9" s="158">
        <f>'exp4'!G9*preciokwh*(1+ti)</f>
        <v>3017.2434067375643</v>
      </c>
      <c r="D9" s="159">
        <f>'exp4'!H9*preciokwh*(1+ti)</f>
        <v>0</v>
      </c>
      <c r="E9" s="159">
        <f t="shared" si="1"/>
        <v>3017.2434067375643</v>
      </c>
      <c r="F9" s="159">
        <f>'exp4'!J9*precioexc</f>
        <v>1671.0349749879465</v>
      </c>
      <c r="G9" s="159">
        <f t="shared" si="2"/>
        <v>4688.2783817255113</v>
      </c>
      <c r="H9" s="6"/>
      <c r="I9" s="159">
        <f t="shared" ref="I9:I30" si="13">I8+G9</f>
        <v>18864.387506691502</v>
      </c>
      <c r="J9" s="164">
        <f t="shared" si="0"/>
        <v>-1130.5333733084963</v>
      </c>
      <c r="L9" s="156">
        <v>4</v>
      </c>
      <c r="M9" s="158">
        <f t="shared" si="3"/>
        <v>3017.2434067375643</v>
      </c>
      <c r="N9" s="158" t="e">
        <f>'exp4'!R9*preciokwh</f>
        <v>#DIV/0!</v>
      </c>
      <c r="O9" s="158" t="e">
        <f t="shared" si="4"/>
        <v>#DIV/0!</v>
      </c>
      <c r="P9" s="158" t="e">
        <f>'exp4'!T9*precioexc</f>
        <v>#DIV/0!</v>
      </c>
      <c r="Q9" s="158" t="e">
        <f t="shared" si="5"/>
        <v>#DIV/0!</v>
      </c>
      <c r="R9" s="6"/>
      <c r="S9" s="159" t="e">
        <f t="shared" si="6"/>
        <v>#DIV/0!</v>
      </c>
      <c r="T9" s="164" t="e">
        <f t="shared" si="7"/>
        <v>#DIV/0!</v>
      </c>
      <c r="V9" s="156">
        <v>4</v>
      </c>
      <c r="W9" s="158">
        <f t="shared" si="8"/>
        <v>3017.2434067375643</v>
      </c>
      <c r="X9" s="158">
        <f>'exp4'!AB9*preciokwh</f>
        <v>0</v>
      </c>
      <c r="Y9" s="158">
        <f t="shared" si="9"/>
        <v>3017.2434067375643</v>
      </c>
      <c r="Z9" s="158">
        <f>'exp4'!AD9*precioexc</f>
        <v>0</v>
      </c>
      <c r="AA9" s="158">
        <f t="shared" si="10"/>
        <v>3017.2434067375643</v>
      </c>
      <c r="AB9" s="6"/>
      <c r="AC9" s="159">
        <f t="shared" si="11"/>
        <v>12103.380623467012</v>
      </c>
      <c r="AD9" s="164">
        <f t="shared" si="12"/>
        <v>12103.380623467012</v>
      </c>
    </row>
    <row r="10" spans="1:30" s="3" customFormat="1" ht="60" customHeight="1">
      <c r="A10" s="6"/>
      <c r="B10" s="156">
        <v>5</v>
      </c>
      <c r="C10" s="158">
        <f>'exp4'!G10*preciokwh*(1+ti)</f>
        <v>2994.4028741485613</v>
      </c>
      <c r="D10" s="159">
        <f>'exp4'!H10*preciokwh*(1+ti)</f>
        <v>0</v>
      </c>
      <c r="E10" s="159">
        <f t="shared" si="1"/>
        <v>2994.4028741485613</v>
      </c>
      <c r="F10" s="159">
        <f>'exp4'!J10*precioexc</f>
        <v>1658.3852402272876</v>
      </c>
      <c r="G10" s="159">
        <f t="shared" si="2"/>
        <v>4652.7881143758486</v>
      </c>
      <c r="H10" s="159"/>
      <c r="I10" s="159">
        <f t="shared" si="13"/>
        <v>23517.175621067352</v>
      </c>
      <c r="J10" s="162">
        <f t="shared" si="0"/>
        <v>3522.2547410673524</v>
      </c>
      <c r="L10" s="156">
        <v>5</v>
      </c>
      <c r="M10" s="158">
        <f t="shared" si="3"/>
        <v>2994.4028741485613</v>
      </c>
      <c r="N10" s="158" t="e">
        <f>'exp4'!R10*preciokwh</f>
        <v>#DIV/0!</v>
      </c>
      <c r="O10" s="158" t="e">
        <f t="shared" si="4"/>
        <v>#DIV/0!</v>
      </c>
      <c r="P10" s="158" t="e">
        <f>'exp4'!T10*precioexc</f>
        <v>#DIV/0!</v>
      </c>
      <c r="Q10" s="158" t="e">
        <f t="shared" si="5"/>
        <v>#DIV/0!</v>
      </c>
      <c r="R10" s="6"/>
      <c r="S10" s="159" t="e">
        <f t="shared" si="6"/>
        <v>#DIV/0!</v>
      </c>
      <c r="T10" s="164" t="e">
        <f t="shared" si="7"/>
        <v>#DIV/0!</v>
      </c>
      <c r="V10" s="156">
        <v>5</v>
      </c>
      <c r="W10" s="158">
        <f t="shared" si="8"/>
        <v>2994.4028741485613</v>
      </c>
      <c r="X10" s="158">
        <f>'exp4'!AB10*preciokwh</f>
        <v>0</v>
      </c>
      <c r="Y10" s="158">
        <f t="shared" si="9"/>
        <v>2994.4028741485613</v>
      </c>
      <c r="Z10" s="158">
        <f>'exp4'!AD10*precioexc</f>
        <v>0</v>
      </c>
      <c r="AA10" s="158">
        <f t="shared" si="10"/>
        <v>2994.4028741485613</v>
      </c>
      <c r="AB10" s="6"/>
      <c r="AC10" s="159">
        <f t="shared" si="11"/>
        <v>15097.783497615574</v>
      </c>
      <c r="AD10" s="164">
        <f t="shared" si="12"/>
        <v>15097.783497615574</v>
      </c>
    </row>
    <row r="11" spans="1:30" s="3" customFormat="1" ht="60" customHeight="1">
      <c r="A11" s="6"/>
      <c r="B11" s="156">
        <v>6</v>
      </c>
      <c r="C11" s="158">
        <f>'exp4'!G11*preciokwh*(1+ti)</f>
        <v>2971.7352443912564</v>
      </c>
      <c r="D11" s="159">
        <f>'exp4'!H11*preciokwh*(1+ti)</f>
        <v>0</v>
      </c>
      <c r="E11" s="159">
        <f t="shared" si="1"/>
        <v>2971.7352443912564</v>
      </c>
      <c r="F11" s="159">
        <f>'exp4'!J11*precioexc</f>
        <v>1645.8312639587671</v>
      </c>
      <c r="G11" s="159">
        <f t="shared" si="2"/>
        <v>4617.5665083500235</v>
      </c>
      <c r="H11" s="159"/>
      <c r="I11" s="159">
        <f t="shared" si="13"/>
        <v>28134.742129417376</v>
      </c>
      <c r="J11" s="162">
        <f t="shared" si="0"/>
        <v>8139.8212494173758</v>
      </c>
      <c r="L11" s="156">
        <v>6</v>
      </c>
      <c r="M11" s="158">
        <f t="shared" si="3"/>
        <v>2971.7352443912564</v>
      </c>
      <c r="N11" s="158" t="e">
        <f>'exp4'!R11*preciokwh</f>
        <v>#DIV/0!</v>
      </c>
      <c r="O11" s="158" t="e">
        <f t="shared" si="4"/>
        <v>#DIV/0!</v>
      </c>
      <c r="P11" s="158" t="e">
        <f>'exp4'!T11*precioexc</f>
        <v>#DIV/0!</v>
      </c>
      <c r="Q11" s="158" t="e">
        <f t="shared" si="5"/>
        <v>#DIV/0!</v>
      </c>
      <c r="R11" s="6"/>
      <c r="S11" s="159" t="e">
        <f t="shared" si="6"/>
        <v>#DIV/0!</v>
      </c>
      <c r="T11" s="164" t="e">
        <f t="shared" si="7"/>
        <v>#DIV/0!</v>
      </c>
      <c r="V11" s="156">
        <v>6</v>
      </c>
      <c r="W11" s="158">
        <f t="shared" si="8"/>
        <v>2971.7352443912564</v>
      </c>
      <c r="X11" s="158">
        <f>'exp4'!AB11*preciokwh</f>
        <v>0</v>
      </c>
      <c r="Y11" s="158">
        <f t="shared" si="9"/>
        <v>2971.7352443912564</v>
      </c>
      <c r="Z11" s="158">
        <f>'exp4'!AD11*precioexc</f>
        <v>0</v>
      </c>
      <c r="AA11" s="158">
        <f t="shared" si="10"/>
        <v>2971.7352443912564</v>
      </c>
      <c r="AB11" s="6"/>
      <c r="AC11" s="159">
        <f t="shared" si="11"/>
        <v>18069.518742006829</v>
      </c>
      <c r="AD11" s="164">
        <f t="shared" si="12"/>
        <v>18069.518742006829</v>
      </c>
    </row>
    <row r="12" spans="1:30" s="3" customFormat="1" ht="60" customHeight="1">
      <c r="A12" s="6"/>
      <c r="B12" s="156">
        <v>7</v>
      </c>
      <c r="C12" s="158">
        <f>'exp4'!G12*preciokwh*(1+ti)</f>
        <v>2949.2392085912152</v>
      </c>
      <c r="D12" s="159">
        <f>'exp4'!H12*preciokwh*(1+ti)</f>
        <v>0</v>
      </c>
      <c r="E12" s="159">
        <f t="shared" si="1"/>
        <v>2949.2392085912152</v>
      </c>
      <c r="F12" s="159">
        <f>'exp4'!J12*precioexc</f>
        <v>1633.3723212905991</v>
      </c>
      <c r="G12" s="159">
        <f t="shared" si="2"/>
        <v>4582.611529881814</v>
      </c>
      <c r="H12" s="159"/>
      <c r="I12" s="159">
        <f t="shared" si="13"/>
        <v>32717.353659299191</v>
      </c>
      <c r="J12" s="163">
        <f t="shared" si="0"/>
        <v>12722.43277929919</v>
      </c>
      <c r="L12" s="156">
        <v>7</v>
      </c>
      <c r="M12" s="158">
        <f t="shared" si="3"/>
        <v>2949.2392085912152</v>
      </c>
      <c r="N12" s="158" t="e">
        <f>'exp4'!R12*preciokwh</f>
        <v>#DIV/0!</v>
      </c>
      <c r="O12" s="158" t="e">
        <f t="shared" si="4"/>
        <v>#DIV/0!</v>
      </c>
      <c r="P12" s="158" t="e">
        <f>'exp4'!T12*precioexc</f>
        <v>#DIV/0!</v>
      </c>
      <c r="Q12" s="158" t="e">
        <f t="shared" si="5"/>
        <v>#DIV/0!</v>
      </c>
      <c r="R12" s="6"/>
      <c r="S12" s="159" t="e">
        <f t="shared" si="6"/>
        <v>#DIV/0!</v>
      </c>
      <c r="T12" s="164" t="e">
        <f t="shared" si="7"/>
        <v>#DIV/0!</v>
      </c>
      <c r="V12" s="156">
        <v>7</v>
      </c>
      <c r="W12" s="158">
        <f t="shared" si="8"/>
        <v>2949.2392085912152</v>
      </c>
      <c r="X12" s="158">
        <f>'exp4'!AB12*preciokwh</f>
        <v>0</v>
      </c>
      <c r="Y12" s="158">
        <f t="shared" si="9"/>
        <v>2949.2392085912152</v>
      </c>
      <c r="Z12" s="158">
        <f>'exp4'!AD12*precioexc</f>
        <v>0</v>
      </c>
      <c r="AA12" s="158">
        <f t="shared" si="10"/>
        <v>2949.2392085912152</v>
      </c>
      <c r="AB12" s="6"/>
      <c r="AC12" s="159">
        <f t="shared" si="11"/>
        <v>21018.757950598043</v>
      </c>
      <c r="AD12" s="164">
        <f t="shared" si="12"/>
        <v>21018.757950598043</v>
      </c>
    </row>
    <row r="13" spans="1:30" s="3" customFormat="1" ht="60" customHeight="1">
      <c r="A13" s="6"/>
      <c r="B13" s="156">
        <v>8</v>
      </c>
      <c r="C13" s="158">
        <f>'exp4'!G13*preciokwh*(1+ti)</f>
        <v>2926.9134677821803</v>
      </c>
      <c r="D13" s="159">
        <f>'exp4'!H13*preciokwh*(1+ti)</f>
        <v>0</v>
      </c>
      <c r="E13" s="159">
        <f t="shared" si="1"/>
        <v>2926.9134677821803</v>
      </c>
      <c r="F13" s="159">
        <f>'exp4'!J13*precioexc</f>
        <v>1621.0076928184294</v>
      </c>
      <c r="G13" s="159">
        <f t="shared" si="2"/>
        <v>4547.9211606006102</v>
      </c>
      <c r="H13" s="159"/>
      <c r="I13" s="159">
        <f t="shared" si="13"/>
        <v>37265.274819899802</v>
      </c>
      <c r="J13" s="163">
        <f t="shared" si="0"/>
        <v>17270.3539398998</v>
      </c>
      <c r="L13" s="156">
        <v>8</v>
      </c>
      <c r="M13" s="158">
        <f t="shared" si="3"/>
        <v>2926.9134677821803</v>
      </c>
      <c r="N13" s="158" t="e">
        <f>'exp4'!R13*preciokwh</f>
        <v>#DIV/0!</v>
      </c>
      <c r="O13" s="158" t="e">
        <f t="shared" si="4"/>
        <v>#DIV/0!</v>
      </c>
      <c r="P13" s="158" t="e">
        <f>'exp4'!T13*precioexc</f>
        <v>#DIV/0!</v>
      </c>
      <c r="Q13" s="158" t="e">
        <f t="shared" si="5"/>
        <v>#DIV/0!</v>
      </c>
      <c r="R13" s="6"/>
      <c r="S13" s="159" t="e">
        <f t="shared" si="6"/>
        <v>#DIV/0!</v>
      </c>
      <c r="T13" s="164" t="e">
        <f t="shared" si="7"/>
        <v>#DIV/0!</v>
      </c>
      <c r="V13" s="156">
        <v>8</v>
      </c>
      <c r="W13" s="158">
        <f t="shared" si="8"/>
        <v>2926.9134677821803</v>
      </c>
      <c r="X13" s="158">
        <f>'exp4'!AB13*preciokwh</f>
        <v>0</v>
      </c>
      <c r="Y13" s="158">
        <f t="shared" si="9"/>
        <v>2926.9134677821803</v>
      </c>
      <c r="Z13" s="158">
        <f>'exp4'!AD13*precioexc</f>
        <v>0</v>
      </c>
      <c r="AA13" s="158">
        <f t="shared" si="10"/>
        <v>2926.9134677821803</v>
      </c>
      <c r="AB13" s="6"/>
      <c r="AC13" s="159">
        <f t="shared" si="11"/>
        <v>23945.671418380225</v>
      </c>
      <c r="AD13" s="164">
        <f t="shared" si="12"/>
        <v>23945.671418380225</v>
      </c>
    </row>
    <row r="14" spans="1:30" s="3" customFormat="1" ht="60" customHeight="1">
      <c r="A14" s="6"/>
      <c r="B14" s="156">
        <v>9</v>
      </c>
      <c r="C14" s="158">
        <f>'exp4'!G14*preciokwh*(1+ti)</f>
        <v>2904.7567328310683</v>
      </c>
      <c r="D14" s="159">
        <f>'exp4'!H14*preciokwh*(1+ti)</f>
        <v>0</v>
      </c>
      <c r="E14" s="159">
        <f t="shared" si="1"/>
        <v>2904.7567328310683</v>
      </c>
      <c r="F14" s="159">
        <f>'exp4'!J14*precioexc</f>
        <v>1608.736664583794</v>
      </c>
      <c r="G14" s="159">
        <f t="shared" si="2"/>
        <v>4513.4933974148626</v>
      </c>
      <c r="H14" s="159"/>
      <c r="I14" s="159">
        <f t="shared" si="13"/>
        <v>41778.76821731466</v>
      </c>
      <c r="J14" s="163">
        <f t="shared" si="0"/>
        <v>21783.847337314663</v>
      </c>
      <c r="L14" s="156">
        <v>9</v>
      </c>
      <c r="M14" s="158">
        <f t="shared" si="3"/>
        <v>2904.7567328310683</v>
      </c>
      <c r="N14" s="158" t="e">
        <f>'exp4'!R14*preciokwh</f>
        <v>#DIV/0!</v>
      </c>
      <c r="O14" s="158" t="e">
        <f t="shared" si="4"/>
        <v>#DIV/0!</v>
      </c>
      <c r="P14" s="158" t="e">
        <f>'exp4'!T14*precioexc</f>
        <v>#DIV/0!</v>
      </c>
      <c r="Q14" s="158" t="e">
        <f t="shared" si="5"/>
        <v>#DIV/0!</v>
      </c>
      <c r="R14" s="6"/>
      <c r="S14" s="159" t="e">
        <f t="shared" si="6"/>
        <v>#DIV/0!</v>
      </c>
      <c r="T14" s="164" t="e">
        <f t="shared" si="7"/>
        <v>#DIV/0!</v>
      </c>
      <c r="V14" s="156">
        <v>9</v>
      </c>
      <c r="W14" s="158">
        <f t="shared" si="8"/>
        <v>2904.7567328310683</v>
      </c>
      <c r="X14" s="158">
        <f>'exp4'!AB14*preciokwh</f>
        <v>0</v>
      </c>
      <c r="Y14" s="158">
        <f t="shared" si="9"/>
        <v>2904.7567328310683</v>
      </c>
      <c r="Z14" s="158">
        <f>'exp4'!AD14*precioexc</f>
        <v>0</v>
      </c>
      <c r="AA14" s="158">
        <f t="shared" si="10"/>
        <v>2904.7567328310683</v>
      </c>
      <c r="AB14" s="6"/>
      <c r="AC14" s="159">
        <f t="shared" si="11"/>
        <v>26850.428151211294</v>
      </c>
      <c r="AD14" s="164">
        <f t="shared" si="12"/>
        <v>26850.428151211294</v>
      </c>
    </row>
    <row r="15" spans="1:30" s="3" customFormat="1" ht="60" customHeight="1">
      <c r="A15" s="6"/>
      <c r="B15" s="156">
        <v>10</v>
      </c>
      <c r="C15" s="158">
        <f>'exp4'!G15*preciokwh*(1+ti)</f>
        <v>2882.7677243635376</v>
      </c>
      <c r="D15" s="159">
        <f>'exp4'!H15*preciokwh*(1+ti)</f>
        <v>0</v>
      </c>
      <c r="E15" s="159">
        <f t="shared" si="1"/>
        <v>2882.7677243635376</v>
      </c>
      <c r="F15" s="159">
        <f>'exp4'!J15*precioexc</f>
        <v>1596.5585280328946</v>
      </c>
      <c r="G15" s="159">
        <f t="shared" si="2"/>
        <v>4479.3262523964322</v>
      </c>
      <c r="H15" s="159"/>
      <c r="I15" s="159">
        <f t="shared" si="13"/>
        <v>46258.09446971109</v>
      </c>
      <c r="J15" s="163">
        <f t="shared" si="0"/>
        <v>26263.173589711096</v>
      </c>
      <c r="L15" s="156">
        <v>10</v>
      </c>
      <c r="M15" s="158">
        <f t="shared" si="3"/>
        <v>2882.7677243635376</v>
      </c>
      <c r="N15" s="158" t="e">
        <f>'exp4'!R15*preciokwh</f>
        <v>#DIV/0!</v>
      </c>
      <c r="O15" s="158" t="e">
        <f t="shared" si="4"/>
        <v>#DIV/0!</v>
      </c>
      <c r="P15" s="158" t="e">
        <f>'exp4'!T15*precioexc</f>
        <v>#DIV/0!</v>
      </c>
      <c r="Q15" s="158" t="e">
        <f t="shared" si="5"/>
        <v>#DIV/0!</v>
      </c>
      <c r="R15" s="6"/>
      <c r="S15" s="159" t="e">
        <f t="shared" si="6"/>
        <v>#DIV/0!</v>
      </c>
      <c r="T15" s="164" t="e">
        <f t="shared" si="7"/>
        <v>#DIV/0!</v>
      </c>
      <c r="V15" s="156">
        <v>10</v>
      </c>
      <c r="W15" s="158">
        <f t="shared" si="8"/>
        <v>2882.7677243635376</v>
      </c>
      <c r="X15" s="158">
        <f>'exp4'!AB15*preciokwh</f>
        <v>0</v>
      </c>
      <c r="Y15" s="158">
        <f t="shared" si="9"/>
        <v>2882.7677243635376</v>
      </c>
      <c r="Z15" s="158">
        <f>'exp4'!AD15*precioexc</f>
        <v>0</v>
      </c>
      <c r="AA15" s="158">
        <f t="shared" si="10"/>
        <v>2882.7677243635376</v>
      </c>
      <c r="AB15" s="6"/>
      <c r="AC15" s="159">
        <f t="shared" si="11"/>
        <v>29733.195875574831</v>
      </c>
      <c r="AD15" s="164">
        <f t="shared" si="12"/>
        <v>29733.195875574831</v>
      </c>
    </row>
    <row r="16" spans="1:30" s="3" customFormat="1" ht="60" customHeight="1">
      <c r="A16" s="6"/>
      <c r="B16" s="156">
        <v>11</v>
      </c>
      <c r="C16" s="158">
        <f>'exp4'!G16*preciokwh*(1+ti)</f>
        <v>2860.9451726901057</v>
      </c>
      <c r="D16" s="159">
        <f>'exp4'!H16*preciokwh*(1+ti)</f>
        <v>0</v>
      </c>
      <c r="E16" s="159">
        <f t="shared" si="1"/>
        <v>2860.9451726901057</v>
      </c>
      <c r="F16" s="159">
        <f>'exp4'!J16*precioexc</f>
        <v>1584.4725799756857</v>
      </c>
      <c r="G16" s="159">
        <f t="shared" si="2"/>
        <v>4445.4177526657913</v>
      </c>
      <c r="H16" s="159"/>
      <c r="I16" s="159">
        <f t="shared" si="13"/>
        <v>50703.512222376885</v>
      </c>
      <c r="J16" s="163">
        <f t="shared" si="0"/>
        <v>30708.591342376887</v>
      </c>
      <c r="L16" s="156">
        <v>11</v>
      </c>
      <c r="M16" s="158">
        <f t="shared" si="3"/>
        <v>2860.9451726901057</v>
      </c>
      <c r="N16" s="158" t="e">
        <f>'exp4'!R16*preciokwh</f>
        <v>#DIV/0!</v>
      </c>
      <c r="O16" s="158" t="e">
        <f t="shared" si="4"/>
        <v>#DIV/0!</v>
      </c>
      <c r="P16" s="158" t="e">
        <f>'exp4'!T16*precioexc</f>
        <v>#DIV/0!</v>
      </c>
      <c r="Q16" s="158" t="e">
        <f t="shared" si="5"/>
        <v>#DIV/0!</v>
      </c>
      <c r="R16" s="6"/>
      <c r="S16" s="159" t="e">
        <f t="shared" si="6"/>
        <v>#DIV/0!</v>
      </c>
      <c r="T16" s="164" t="e">
        <f t="shared" si="7"/>
        <v>#DIV/0!</v>
      </c>
      <c r="V16" s="156">
        <v>11</v>
      </c>
      <c r="W16" s="158">
        <f t="shared" si="8"/>
        <v>2860.9451726901057</v>
      </c>
      <c r="X16" s="158">
        <f>'exp4'!AB16*preciokwh</f>
        <v>0</v>
      </c>
      <c r="Y16" s="158">
        <f t="shared" si="9"/>
        <v>2860.9451726901057</v>
      </c>
      <c r="Z16" s="158">
        <f>'exp4'!AD16*precioexc</f>
        <v>0</v>
      </c>
      <c r="AA16" s="158">
        <f t="shared" si="10"/>
        <v>2860.9451726901057</v>
      </c>
      <c r="AB16" s="6"/>
      <c r="AC16" s="159">
        <f t="shared" si="11"/>
        <v>32594.141048264937</v>
      </c>
      <c r="AD16" s="164">
        <f t="shared" si="12"/>
        <v>32594.141048264937</v>
      </c>
    </row>
    <row r="17" spans="1:30" s="3" customFormat="1" ht="60" customHeight="1">
      <c r="A17" s="6"/>
      <c r="B17" s="156">
        <v>12</v>
      </c>
      <c r="C17" s="158">
        <f>'exp4'!G17*preciokwh*(1+ti)</f>
        <v>2839.2878177328412</v>
      </c>
      <c r="D17" s="159">
        <f>'exp4'!H17*preciokwh*(1+ti)</f>
        <v>0</v>
      </c>
      <c r="E17" s="159">
        <f t="shared" si="1"/>
        <v>2839.2878177328412</v>
      </c>
      <c r="F17" s="159">
        <f>'exp4'!J17*precioexc</f>
        <v>1572.47812254527</v>
      </c>
      <c r="G17" s="159">
        <f>E17+F17</f>
        <v>4411.765940278111</v>
      </c>
      <c r="H17" s="159"/>
      <c r="I17" s="159">
        <f t="shared" si="13"/>
        <v>55115.278162654999</v>
      </c>
      <c r="J17" s="163">
        <f t="shared" si="0"/>
        <v>35120.357282655001</v>
      </c>
      <c r="L17" s="156">
        <v>12</v>
      </c>
      <c r="M17" s="158">
        <f t="shared" si="3"/>
        <v>2839.2878177328412</v>
      </c>
      <c r="N17" s="158" t="e">
        <f>'exp4'!R17*preciokwh</f>
        <v>#DIV/0!</v>
      </c>
      <c r="O17" s="158" t="e">
        <f t="shared" si="4"/>
        <v>#DIV/0!</v>
      </c>
      <c r="P17" s="158" t="e">
        <f>'exp4'!T17*precioexc</f>
        <v>#DIV/0!</v>
      </c>
      <c r="Q17" s="158" t="e">
        <f t="shared" si="5"/>
        <v>#DIV/0!</v>
      </c>
      <c r="R17" s="6"/>
      <c r="S17" s="159" t="e">
        <f t="shared" si="6"/>
        <v>#DIV/0!</v>
      </c>
      <c r="T17" s="164" t="e">
        <f t="shared" si="7"/>
        <v>#DIV/0!</v>
      </c>
      <c r="V17" s="156">
        <v>12</v>
      </c>
      <c r="W17" s="158">
        <f t="shared" si="8"/>
        <v>2839.2878177328412</v>
      </c>
      <c r="X17" s="158">
        <f>'exp4'!AB17*preciokwh</f>
        <v>0</v>
      </c>
      <c r="Y17" s="158">
        <f t="shared" si="9"/>
        <v>2839.2878177328412</v>
      </c>
      <c r="Z17" s="158">
        <f>'exp4'!AD17*precioexc</f>
        <v>0</v>
      </c>
      <c r="AA17" s="158">
        <f t="shared" si="10"/>
        <v>2839.2878177328412</v>
      </c>
      <c r="AB17" s="6"/>
      <c r="AC17" s="159">
        <f t="shared" si="11"/>
        <v>35433.428865997776</v>
      </c>
      <c r="AD17" s="164">
        <f t="shared" si="12"/>
        <v>35433.428865997776</v>
      </c>
    </row>
    <row r="18" spans="1:30" s="3" customFormat="1" ht="60" customHeight="1">
      <c r="A18" s="6"/>
      <c r="B18" s="156">
        <v>13</v>
      </c>
      <c r="C18" s="158">
        <f>'exp4'!G18*preciokwh*(1+ti)</f>
        <v>2817.7944089526036</v>
      </c>
      <c r="D18" s="159">
        <f>'exp4'!H18*preciokwh*(1+ti)</f>
        <v>0</v>
      </c>
      <c r="E18" s="159">
        <f t="shared" si="1"/>
        <v>2817.7944089526036</v>
      </c>
      <c r="F18" s="159">
        <f>'exp4'!J18*precioexc</f>
        <v>1560.5744631576022</v>
      </c>
      <c r="G18" s="159">
        <f t="shared" si="2"/>
        <v>4378.3688721102062</v>
      </c>
      <c r="H18" s="159"/>
      <c r="I18" s="159">
        <f t="shared" si="13"/>
        <v>59493.647034765207</v>
      </c>
      <c r="J18" s="163">
        <f t="shared" si="0"/>
        <v>39498.726154765209</v>
      </c>
      <c r="L18" s="156">
        <v>13</v>
      </c>
      <c r="M18" s="158">
        <f t="shared" si="3"/>
        <v>2817.7944089526036</v>
      </c>
      <c r="N18" s="158" t="e">
        <f>'exp4'!R18*preciokwh</f>
        <v>#DIV/0!</v>
      </c>
      <c r="O18" s="158" t="e">
        <f t="shared" si="4"/>
        <v>#DIV/0!</v>
      </c>
      <c r="P18" s="158" t="e">
        <f>'exp4'!T18*precioexc</f>
        <v>#DIV/0!</v>
      </c>
      <c r="Q18" s="158" t="e">
        <f t="shared" si="5"/>
        <v>#DIV/0!</v>
      </c>
      <c r="R18" s="6"/>
      <c r="S18" s="159" t="e">
        <f t="shared" si="6"/>
        <v>#DIV/0!</v>
      </c>
      <c r="T18" s="164" t="e">
        <f t="shared" si="7"/>
        <v>#DIV/0!</v>
      </c>
      <c r="V18" s="156">
        <v>13</v>
      </c>
      <c r="W18" s="158">
        <f t="shared" si="8"/>
        <v>2817.7944089526036</v>
      </c>
      <c r="X18" s="158">
        <f>'exp4'!AB18*preciokwh</f>
        <v>0</v>
      </c>
      <c r="Y18" s="158">
        <f t="shared" si="9"/>
        <v>2817.7944089526036</v>
      </c>
      <c r="Z18" s="158">
        <f>'exp4'!AD18*precioexc</f>
        <v>0</v>
      </c>
      <c r="AA18" s="158">
        <f t="shared" si="10"/>
        <v>2817.7944089526036</v>
      </c>
      <c r="AB18" s="6"/>
      <c r="AC18" s="159">
        <f t="shared" si="11"/>
        <v>38251.223274950382</v>
      </c>
      <c r="AD18" s="164">
        <f t="shared" si="12"/>
        <v>38251.223274950382</v>
      </c>
    </row>
    <row r="19" spans="1:30" s="3" customFormat="1" ht="60" customHeight="1">
      <c r="A19" s="6"/>
      <c r="B19" s="156">
        <v>14</v>
      </c>
      <c r="C19" s="158">
        <f>'exp4'!G19*preciokwh*(1+ti)</f>
        <v>2796.4637052768326</v>
      </c>
      <c r="D19" s="159">
        <f>'exp4'!H19*preciokwh*(1+ti)</f>
        <v>0</v>
      </c>
      <c r="E19" s="159">
        <f t="shared" si="1"/>
        <v>2796.4637052768326</v>
      </c>
      <c r="F19" s="159">
        <f>'exp4'!J19*precioexc</f>
        <v>1548.7609144714995</v>
      </c>
      <c r="G19" s="159">
        <f t="shared" si="2"/>
        <v>4345.2246197483319</v>
      </c>
      <c r="H19" s="159"/>
      <c r="I19" s="159">
        <f t="shared" si="13"/>
        <v>63838.871654513539</v>
      </c>
      <c r="J19" s="163">
        <f t="shared" si="0"/>
        <v>43843.950774513542</v>
      </c>
      <c r="L19" s="156">
        <v>14</v>
      </c>
      <c r="M19" s="158">
        <f t="shared" si="3"/>
        <v>2796.4637052768326</v>
      </c>
      <c r="N19" s="158" t="e">
        <f>'exp4'!R19*preciokwh</f>
        <v>#DIV/0!</v>
      </c>
      <c r="O19" s="158" t="e">
        <f t="shared" si="4"/>
        <v>#DIV/0!</v>
      </c>
      <c r="P19" s="158" t="e">
        <f>'exp4'!T19*precioexc</f>
        <v>#DIV/0!</v>
      </c>
      <c r="Q19" s="158" t="e">
        <f t="shared" si="5"/>
        <v>#DIV/0!</v>
      </c>
      <c r="R19" s="6"/>
      <c r="S19" s="159" t="e">
        <f t="shared" si="6"/>
        <v>#DIV/0!</v>
      </c>
      <c r="T19" s="164" t="e">
        <f t="shared" si="7"/>
        <v>#DIV/0!</v>
      </c>
      <c r="V19" s="156">
        <v>14</v>
      </c>
      <c r="W19" s="158">
        <f t="shared" si="8"/>
        <v>2796.4637052768326</v>
      </c>
      <c r="X19" s="158">
        <f>'exp4'!AB19*preciokwh</f>
        <v>0</v>
      </c>
      <c r="Y19" s="158">
        <f t="shared" si="9"/>
        <v>2796.4637052768326</v>
      </c>
      <c r="Z19" s="158">
        <f>'exp4'!AD19*precioexc</f>
        <v>0</v>
      </c>
      <c r="AA19" s="158">
        <f t="shared" si="10"/>
        <v>2796.4637052768326</v>
      </c>
      <c r="AB19" s="6"/>
      <c r="AC19" s="159">
        <f t="shared" si="11"/>
        <v>41047.686980227212</v>
      </c>
      <c r="AD19" s="164">
        <f t="shared" si="12"/>
        <v>41047.686980227212</v>
      </c>
    </row>
    <row r="20" spans="1:30" s="3" customFormat="1" ht="60" customHeight="1">
      <c r="A20" s="6"/>
      <c r="B20" s="156">
        <v>15</v>
      </c>
      <c r="C20" s="158">
        <f>'exp4'!G20*preciokwh*(1+ti)</f>
        <v>2775.2944750278871</v>
      </c>
      <c r="D20" s="159">
        <f>'exp4'!H20*preciokwh*(1+ti)</f>
        <v>0</v>
      </c>
      <c r="E20" s="159">
        <f t="shared" si="1"/>
        <v>2775.2944750278871</v>
      </c>
      <c r="F20" s="159">
        <f>'exp4'!J20*precioexc</f>
        <v>1537.0367943489503</v>
      </c>
      <c r="G20" s="159">
        <f t="shared" si="2"/>
        <v>4312.3312693768376</v>
      </c>
      <c r="H20" s="159"/>
      <c r="I20" s="159">
        <f t="shared" si="13"/>
        <v>68151.202923890378</v>
      </c>
      <c r="J20" s="163">
        <f t="shared" si="0"/>
        <v>48156.28204389038</v>
      </c>
      <c r="L20" s="156">
        <v>15</v>
      </c>
      <c r="M20" s="158">
        <f t="shared" si="3"/>
        <v>2775.2944750278871</v>
      </c>
      <c r="N20" s="158" t="e">
        <f>'exp4'!R20*preciokwh</f>
        <v>#DIV/0!</v>
      </c>
      <c r="O20" s="158" t="e">
        <f t="shared" si="4"/>
        <v>#DIV/0!</v>
      </c>
      <c r="P20" s="158" t="e">
        <f>'exp4'!T20*precioexc</f>
        <v>#DIV/0!</v>
      </c>
      <c r="Q20" s="158" t="e">
        <f t="shared" si="5"/>
        <v>#DIV/0!</v>
      </c>
      <c r="R20" s="6"/>
      <c r="S20" s="159" t="e">
        <f t="shared" si="6"/>
        <v>#DIV/0!</v>
      </c>
      <c r="T20" s="164" t="e">
        <f t="shared" si="7"/>
        <v>#DIV/0!</v>
      </c>
      <c r="V20" s="156">
        <v>15</v>
      </c>
      <c r="W20" s="158">
        <f t="shared" si="8"/>
        <v>2775.2944750278871</v>
      </c>
      <c r="X20" s="158">
        <f>'exp4'!AB20*preciokwh</f>
        <v>0</v>
      </c>
      <c r="Y20" s="158">
        <f t="shared" si="9"/>
        <v>2775.2944750278871</v>
      </c>
      <c r="Z20" s="158">
        <f>'exp4'!AD20*precioexc</f>
        <v>0</v>
      </c>
      <c r="AA20" s="158">
        <f t="shared" si="10"/>
        <v>2775.2944750278871</v>
      </c>
      <c r="AB20" s="6"/>
      <c r="AC20" s="159">
        <f t="shared" si="11"/>
        <v>43822.981455255096</v>
      </c>
      <c r="AD20" s="164">
        <f t="shared" si="12"/>
        <v>43822.981455255096</v>
      </c>
    </row>
    <row r="21" spans="1:30" s="3" customFormat="1" ht="60" customHeight="1">
      <c r="A21" s="6"/>
      <c r="B21" s="156">
        <v>16</v>
      </c>
      <c r="C21" s="158">
        <f>'exp4'!G21*preciokwh*(1+ti)</f>
        <v>2754.285495851926</v>
      </c>
      <c r="D21" s="159">
        <f>'exp4'!H21*preciokwh*(1+ti)</f>
        <v>0</v>
      </c>
      <c r="E21" s="159">
        <f t="shared" si="1"/>
        <v>2754.285495851926</v>
      </c>
      <c r="F21" s="159">
        <f>'exp4'!J21*precioexc</f>
        <v>1525.4014258157288</v>
      </c>
      <c r="G21" s="159">
        <f t="shared" si="2"/>
        <v>4279.686921667655</v>
      </c>
      <c r="H21" s="159"/>
      <c r="I21" s="159">
        <f t="shared" si="13"/>
        <v>72430.889845558035</v>
      </c>
      <c r="J21" s="163">
        <f t="shared" si="0"/>
        <v>52435.968965558037</v>
      </c>
      <c r="L21" s="156">
        <v>16</v>
      </c>
      <c r="M21" s="158">
        <f t="shared" si="3"/>
        <v>2754.285495851926</v>
      </c>
      <c r="N21" s="158" t="e">
        <f>'exp4'!R21*preciokwh</f>
        <v>#DIV/0!</v>
      </c>
      <c r="O21" s="158" t="e">
        <f t="shared" si="4"/>
        <v>#DIV/0!</v>
      </c>
      <c r="P21" s="158" t="e">
        <f>'exp4'!T21*precioexc</f>
        <v>#DIV/0!</v>
      </c>
      <c r="Q21" s="158" t="e">
        <f t="shared" si="5"/>
        <v>#DIV/0!</v>
      </c>
      <c r="R21" s="6"/>
      <c r="S21" s="159" t="e">
        <f t="shared" si="6"/>
        <v>#DIV/0!</v>
      </c>
      <c r="T21" s="164" t="e">
        <f t="shared" si="7"/>
        <v>#DIV/0!</v>
      </c>
      <c r="V21" s="156">
        <v>16</v>
      </c>
      <c r="W21" s="158">
        <f t="shared" si="8"/>
        <v>2754.285495851926</v>
      </c>
      <c r="X21" s="158">
        <f>'exp4'!AB21*preciokwh</f>
        <v>0</v>
      </c>
      <c r="Y21" s="158">
        <f t="shared" si="9"/>
        <v>2754.285495851926</v>
      </c>
      <c r="Z21" s="158">
        <f>'exp4'!AD21*precioexc</f>
        <v>0</v>
      </c>
      <c r="AA21" s="158">
        <f t="shared" si="10"/>
        <v>2754.285495851926</v>
      </c>
      <c r="AB21" s="6"/>
      <c r="AC21" s="159">
        <f t="shared" si="11"/>
        <v>46577.26695110702</v>
      </c>
      <c r="AD21" s="164">
        <f t="shared" si="12"/>
        <v>46577.26695110702</v>
      </c>
    </row>
    <row r="22" spans="1:30" s="3" customFormat="1" ht="60" customHeight="1">
      <c r="A22" s="6"/>
      <c r="B22" s="156">
        <v>17</v>
      </c>
      <c r="C22" s="158">
        <f>'exp4'!G22*preciokwh*(1+ti)</f>
        <v>2733.4355546483271</v>
      </c>
      <c r="D22" s="159">
        <f>'exp4'!H22*preciokwh*(1+ti)</f>
        <v>0</v>
      </c>
      <c r="E22" s="159">
        <f t="shared" si="1"/>
        <v>2733.4355546483271</v>
      </c>
      <c r="F22" s="159">
        <f>'exp4'!J22*precioexc</f>
        <v>1513.8541370223038</v>
      </c>
      <c r="G22" s="159">
        <f t="shared" si="2"/>
        <v>4247.2896916706304</v>
      </c>
      <c r="H22" s="159"/>
      <c r="I22" s="159">
        <f t="shared" si="13"/>
        <v>76678.179537228658</v>
      </c>
      <c r="J22" s="163">
        <f t="shared" si="0"/>
        <v>56683.258657228667</v>
      </c>
      <c r="L22" s="156">
        <v>17</v>
      </c>
      <c r="M22" s="158">
        <f t="shared" si="3"/>
        <v>2733.4355546483271</v>
      </c>
      <c r="N22" s="158" t="e">
        <f>'exp4'!R22*preciokwh</f>
        <v>#DIV/0!</v>
      </c>
      <c r="O22" s="158" t="e">
        <f t="shared" si="4"/>
        <v>#DIV/0!</v>
      </c>
      <c r="P22" s="158" t="e">
        <f>'exp4'!T22*precioexc</f>
        <v>#DIV/0!</v>
      </c>
      <c r="Q22" s="158" t="e">
        <f t="shared" si="5"/>
        <v>#DIV/0!</v>
      </c>
      <c r="R22" s="6"/>
      <c r="S22" s="159" t="e">
        <f t="shared" si="6"/>
        <v>#DIV/0!</v>
      </c>
      <c r="T22" s="164" t="e">
        <f t="shared" si="7"/>
        <v>#DIV/0!</v>
      </c>
      <c r="V22" s="156">
        <v>17</v>
      </c>
      <c r="W22" s="158">
        <f t="shared" si="8"/>
        <v>2733.4355546483271</v>
      </c>
      <c r="X22" s="158">
        <f>'exp4'!AB22*preciokwh</f>
        <v>0</v>
      </c>
      <c r="Y22" s="158">
        <f t="shared" si="9"/>
        <v>2733.4355546483271</v>
      </c>
      <c r="Z22" s="158">
        <f>'exp4'!AD22*precioexc</f>
        <v>0</v>
      </c>
      <c r="AA22" s="158">
        <f t="shared" si="10"/>
        <v>2733.4355546483271</v>
      </c>
      <c r="AB22" s="6"/>
      <c r="AC22" s="159">
        <f t="shared" si="11"/>
        <v>49310.702505755347</v>
      </c>
      <c r="AD22" s="164">
        <f t="shared" si="12"/>
        <v>49310.702505755347</v>
      </c>
    </row>
    <row r="23" spans="1:30" s="3" customFormat="1" ht="60" customHeight="1">
      <c r="A23" s="6"/>
      <c r="B23" s="156">
        <v>18</v>
      </c>
      <c r="C23" s="158">
        <f>'exp4'!G23*preciokwh*(1+ti)</f>
        <v>2712.7434474996394</v>
      </c>
      <c r="D23" s="159">
        <f>'exp4'!H23*preciokwh*(1+ti)</f>
        <v>0</v>
      </c>
      <c r="E23" s="159">
        <f t="shared" si="1"/>
        <v>2712.7434474996394</v>
      </c>
      <c r="F23" s="159">
        <f>'exp4'!J23*precioexc</f>
        <v>1502.394261205045</v>
      </c>
      <c r="G23" s="159">
        <f t="shared" si="2"/>
        <v>4215.137708704684</v>
      </c>
      <c r="H23" s="159"/>
      <c r="I23" s="159">
        <f t="shared" si="13"/>
        <v>80893.317245933344</v>
      </c>
      <c r="J23" s="163">
        <f t="shared" si="0"/>
        <v>60898.396365933353</v>
      </c>
      <c r="L23" s="156">
        <v>18</v>
      </c>
      <c r="M23" s="158">
        <f t="shared" si="3"/>
        <v>2712.7434474996394</v>
      </c>
      <c r="N23" s="158" t="e">
        <f>'exp4'!R23*preciokwh</f>
        <v>#DIV/0!</v>
      </c>
      <c r="O23" s="158" t="e">
        <f t="shared" si="4"/>
        <v>#DIV/0!</v>
      </c>
      <c r="P23" s="158" t="e">
        <f>'exp4'!T23*precioexc</f>
        <v>#DIV/0!</v>
      </c>
      <c r="Q23" s="158" t="e">
        <f t="shared" si="5"/>
        <v>#DIV/0!</v>
      </c>
      <c r="R23" s="6"/>
      <c r="S23" s="159" t="e">
        <f t="shared" si="6"/>
        <v>#DIV/0!</v>
      </c>
      <c r="T23" s="164" t="e">
        <f t="shared" si="7"/>
        <v>#DIV/0!</v>
      </c>
      <c r="V23" s="156">
        <v>18</v>
      </c>
      <c r="W23" s="158">
        <f t="shared" si="8"/>
        <v>2712.7434474996394</v>
      </c>
      <c r="X23" s="158">
        <f>'exp4'!AB23*preciokwh</f>
        <v>0</v>
      </c>
      <c r="Y23" s="158">
        <f t="shared" si="9"/>
        <v>2712.7434474996394</v>
      </c>
      <c r="Z23" s="158">
        <f>'exp4'!AD23*precioexc</f>
        <v>0</v>
      </c>
      <c r="AA23" s="158">
        <f t="shared" si="10"/>
        <v>2712.7434474996394</v>
      </c>
      <c r="AB23" s="6"/>
      <c r="AC23" s="159">
        <f t="shared" si="11"/>
        <v>52023.445953254988</v>
      </c>
      <c r="AD23" s="164">
        <f t="shared" si="12"/>
        <v>52023.445953254988</v>
      </c>
    </row>
    <row r="24" spans="1:30" s="3" customFormat="1" ht="60" customHeight="1">
      <c r="A24" s="6"/>
      <c r="B24" s="156">
        <v>19</v>
      </c>
      <c r="C24" s="158">
        <f>'exp4'!G24*preciokwh*(1+ti)</f>
        <v>2692.2079796020671</v>
      </c>
      <c r="D24" s="159">
        <f>'exp4'!H24*preciokwh*(1+ti)</f>
        <v>0</v>
      </c>
      <c r="E24" s="159">
        <f t="shared" si="1"/>
        <v>2692.2079796020671</v>
      </c>
      <c r="F24" s="159">
        <f>'exp4'!J24*precioexc</f>
        <v>1491.0211366477226</v>
      </c>
      <c r="G24" s="159">
        <f t="shared" si="2"/>
        <v>4183.2291162497895</v>
      </c>
      <c r="H24" s="159"/>
      <c r="I24" s="159">
        <f t="shared" si="13"/>
        <v>85076.54636218313</v>
      </c>
      <c r="J24" s="163">
        <f t="shared" si="0"/>
        <v>65081.625482183139</v>
      </c>
      <c r="L24" s="156">
        <v>19</v>
      </c>
      <c r="M24" s="158">
        <f t="shared" si="3"/>
        <v>2692.2079796020671</v>
      </c>
      <c r="N24" s="158" t="e">
        <f>'exp4'!R24*preciokwh</f>
        <v>#DIV/0!</v>
      </c>
      <c r="O24" s="158" t="e">
        <f t="shared" si="4"/>
        <v>#DIV/0!</v>
      </c>
      <c r="P24" s="158" t="e">
        <f>'exp4'!T24*precioexc</f>
        <v>#DIV/0!</v>
      </c>
      <c r="Q24" s="158" t="e">
        <f t="shared" si="5"/>
        <v>#DIV/0!</v>
      </c>
      <c r="R24" s="6"/>
      <c r="S24" s="159" t="e">
        <f t="shared" si="6"/>
        <v>#DIV/0!</v>
      </c>
      <c r="T24" s="164" t="e">
        <f t="shared" si="7"/>
        <v>#DIV/0!</v>
      </c>
      <c r="V24" s="156">
        <v>19</v>
      </c>
      <c r="W24" s="158">
        <f t="shared" si="8"/>
        <v>2692.2079796020671</v>
      </c>
      <c r="X24" s="158">
        <f>'exp4'!AB24*preciokwh</f>
        <v>0</v>
      </c>
      <c r="Y24" s="158">
        <f t="shared" si="9"/>
        <v>2692.2079796020671</v>
      </c>
      <c r="Z24" s="158">
        <f>'exp4'!AD24*precioexc</f>
        <v>0</v>
      </c>
      <c r="AA24" s="158">
        <f t="shared" si="10"/>
        <v>2692.2079796020671</v>
      </c>
      <c r="AB24" s="6"/>
      <c r="AC24" s="159">
        <f t="shared" si="11"/>
        <v>54715.653932857058</v>
      </c>
      <c r="AD24" s="164">
        <f t="shared" si="12"/>
        <v>54715.653932857058</v>
      </c>
    </row>
    <row r="25" spans="1:30" s="3" customFormat="1" ht="60" customHeight="1">
      <c r="A25" s="6"/>
      <c r="B25" s="156">
        <v>20</v>
      </c>
      <c r="C25" s="158">
        <f>'exp4'!G25*preciokwh*(1+ti)</f>
        <v>2671.8279651964795</v>
      </c>
      <c r="D25" s="159">
        <f>'exp4'!H25*preciokwh*(1+ti)</f>
        <v>0</v>
      </c>
      <c r="E25" s="159">
        <f t="shared" si="1"/>
        <v>2671.8279651964795</v>
      </c>
      <c r="F25" s="159">
        <f>'exp4'!J25*precioexc</f>
        <v>1479.7341066432996</v>
      </c>
      <c r="G25" s="159">
        <f t="shared" si="2"/>
        <v>4151.5620718397786</v>
      </c>
      <c r="H25" s="159"/>
      <c r="I25" s="159">
        <f t="shared" si="13"/>
        <v>89228.108434022914</v>
      </c>
      <c r="J25" s="163">
        <f t="shared" si="0"/>
        <v>69233.187554022923</v>
      </c>
      <c r="L25" s="156">
        <v>20</v>
      </c>
      <c r="M25" s="158">
        <f t="shared" si="3"/>
        <v>2671.8279651964795</v>
      </c>
      <c r="N25" s="158" t="e">
        <f>'exp4'!R25*preciokwh</f>
        <v>#DIV/0!</v>
      </c>
      <c r="O25" s="158" t="e">
        <f t="shared" si="4"/>
        <v>#DIV/0!</v>
      </c>
      <c r="P25" s="158" t="e">
        <f>'exp4'!T25*precioexc</f>
        <v>#DIV/0!</v>
      </c>
      <c r="Q25" s="158" t="e">
        <f t="shared" si="5"/>
        <v>#DIV/0!</v>
      </c>
      <c r="R25" s="6"/>
      <c r="S25" s="159" t="e">
        <f t="shared" si="6"/>
        <v>#DIV/0!</v>
      </c>
      <c r="T25" s="164" t="e">
        <f t="shared" si="7"/>
        <v>#DIV/0!</v>
      </c>
      <c r="V25" s="156">
        <v>20</v>
      </c>
      <c r="W25" s="158">
        <f t="shared" si="8"/>
        <v>2671.8279651964795</v>
      </c>
      <c r="X25" s="158">
        <f>'exp4'!AB25*preciokwh</f>
        <v>0</v>
      </c>
      <c r="Y25" s="158">
        <f t="shared" si="9"/>
        <v>2671.8279651964795</v>
      </c>
      <c r="Z25" s="158">
        <f>'exp4'!AD25*precioexc</f>
        <v>0</v>
      </c>
      <c r="AA25" s="158">
        <f t="shared" si="10"/>
        <v>2671.8279651964795</v>
      </c>
      <c r="AB25" s="6"/>
      <c r="AC25" s="159">
        <f t="shared" si="11"/>
        <v>57387.481898053535</v>
      </c>
      <c r="AD25" s="164">
        <f t="shared" si="12"/>
        <v>57387.481898053535</v>
      </c>
    </row>
    <row r="26" spans="1:30" s="3" customFormat="1" ht="60" customHeight="1">
      <c r="A26" s="6"/>
      <c r="B26" s="156">
        <v>21</v>
      </c>
      <c r="C26" s="158">
        <f>'exp4'!G26*preciokwh*(1+ti)</f>
        <v>2651.6022274999423</v>
      </c>
      <c r="D26" s="159">
        <f>'exp4'!H26*preciokwh*(1+ti)</f>
        <v>0</v>
      </c>
      <c r="E26" s="159">
        <f t="shared" si="1"/>
        <v>2651.6022274999423</v>
      </c>
      <c r="F26" s="159">
        <f>'exp4'!J26*precioexc</f>
        <v>1468.5325194560098</v>
      </c>
      <c r="G26" s="159">
        <f t="shared" si="2"/>
        <v>4120.1347469559523</v>
      </c>
      <c r="H26" s="159"/>
      <c r="I26" s="159">
        <f t="shared" si="13"/>
        <v>93348.243180978869</v>
      </c>
      <c r="J26" s="163">
        <f t="shared" si="0"/>
        <v>73353.322300978878</v>
      </c>
      <c r="L26" s="156">
        <v>21</v>
      </c>
      <c r="M26" s="158">
        <f t="shared" si="3"/>
        <v>2651.6022274999423</v>
      </c>
      <c r="N26" s="158" t="e">
        <f>'exp4'!R26*preciokwh</f>
        <v>#DIV/0!</v>
      </c>
      <c r="O26" s="158" t="e">
        <f t="shared" si="4"/>
        <v>#DIV/0!</v>
      </c>
      <c r="P26" s="158" t="e">
        <f>'exp4'!T26*precioexc</f>
        <v>#DIV/0!</v>
      </c>
      <c r="Q26" s="158" t="e">
        <f t="shared" si="5"/>
        <v>#DIV/0!</v>
      </c>
      <c r="R26" s="6"/>
      <c r="S26" s="159" t="e">
        <f t="shared" si="6"/>
        <v>#DIV/0!</v>
      </c>
      <c r="T26" s="164" t="e">
        <f t="shared" si="7"/>
        <v>#DIV/0!</v>
      </c>
      <c r="V26" s="156">
        <v>21</v>
      </c>
      <c r="W26" s="158">
        <f t="shared" si="8"/>
        <v>2651.6022274999423</v>
      </c>
      <c r="X26" s="158">
        <f>'exp4'!AB26*preciokwh</f>
        <v>0</v>
      </c>
      <c r="Y26" s="158">
        <f t="shared" si="9"/>
        <v>2651.6022274999423</v>
      </c>
      <c r="Z26" s="158">
        <f>'exp4'!AD26*precioexc</f>
        <v>0</v>
      </c>
      <c r="AA26" s="158">
        <f t="shared" si="10"/>
        <v>2651.6022274999423</v>
      </c>
      <c r="AB26" s="6"/>
      <c r="AC26" s="159">
        <f t="shared" si="11"/>
        <v>60039.084125553476</v>
      </c>
      <c r="AD26" s="164">
        <f t="shared" si="12"/>
        <v>60039.084125553476</v>
      </c>
    </row>
    <row r="27" spans="1:30" s="3" customFormat="1" ht="60" customHeight="1">
      <c r="A27" s="6"/>
      <c r="B27" s="156">
        <v>22</v>
      </c>
      <c r="C27" s="158">
        <f>'exp4'!G27*preciokwh*(1+ti)</f>
        <v>2631.5295986377678</v>
      </c>
      <c r="D27" s="159">
        <f>'exp4'!H27*preciokwh*(1+ti)</f>
        <v>0</v>
      </c>
      <c r="E27" s="159">
        <f t="shared" si="1"/>
        <v>2631.5295986377678</v>
      </c>
      <c r="F27" s="159">
        <f>'exp4'!J27*precioexc</f>
        <v>1457.4157282837282</v>
      </c>
      <c r="G27" s="159">
        <f t="shared" si="2"/>
        <v>4088.945326921496</v>
      </c>
      <c r="H27" s="159"/>
      <c r="I27" s="159">
        <f t="shared" si="13"/>
        <v>97437.18850790037</v>
      </c>
      <c r="J27" s="163">
        <f t="shared" si="0"/>
        <v>77442.267627900379</v>
      </c>
      <c r="L27" s="156">
        <v>22</v>
      </c>
      <c r="M27" s="158">
        <f t="shared" si="3"/>
        <v>2631.5295986377678</v>
      </c>
      <c r="N27" s="158" t="e">
        <f>'exp4'!R27*preciokwh</f>
        <v>#DIV/0!</v>
      </c>
      <c r="O27" s="158" t="e">
        <f t="shared" si="4"/>
        <v>#DIV/0!</v>
      </c>
      <c r="P27" s="158" t="e">
        <f>'exp4'!T27*precioexc</f>
        <v>#DIV/0!</v>
      </c>
      <c r="Q27" s="158" t="e">
        <f t="shared" si="5"/>
        <v>#DIV/0!</v>
      </c>
      <c r="R27" s="6"/>
      <c r="S27" s="159" t="e">
        <f t="shared" si="6"/>
        <v>#DIV/0!</v>
      </c>
      <c r="T27" s="164" t="e">
        <f t="shared" si="7"/>
        <v>#DIV/0!</v>
      </c>
      <c r="V27" s="156">
        <v>22</v>
      </c>
      <c r="W27" s="158">
        <f t="shared" si="8"/>
        <v>2631.5295986377678</v>
      </c>
      <c r="X27" s="158">
        <f>'exp4'!AB27*preciokwh</f>
        <v>0</v>
      </c>
      <c r="Y27" s="158">
        <f t="shared" si="9"/>
        <v>2631.5295986377678</v>
      </c>
      <c r="Z27" s="158">
        <f>'exp4'!AD27*precioexc</f>
        <v>0</v>
      </c>
      <c r="AA27" s="158">
        <f t="shared" si="10"/>
        <v>2631.5295986377678</v>
      </c>
      <c r="AB27" s="6"/>
      <c r="AC27" s="159">
        <f t="shared" si="11"/>
        <v>62670.613724191244</v>
      </c>
      <c r="AD27" s="164">
        <f t="shared" si="12"/>
        <v>62670.613724191244</v>
      </c>
    </row>
    <row r="28" spans="1:30" s="3" customFormat="1" ht="60" customHeight="1">
      <c r="A28" s="6"/>
      <c r="B28" s="156">
        <v>23</v>
      </c>
      <c r="C28" s="158">
        <f>'exp4'!G28*preciokwh*(1+ti)</f>
        <v>2611.6089195760801</v>
      </c>
      <c r="D28" s="159">
        <f>'exp4'!H28*preciokwh*(1+ti)</f>
        <v>0</v>
      </c>
      <c r="E28" s="159">
        <f t="shared" si="1"/>
        <v>2611.6089195760801</v>
      </c>
      <c r="F28" s="159">
        <f>'exp4'!J28*precioexc</f>
        <v>1446.3830912206204</v>
      </c>
      <c r="G28" s="159">
        <f t="shared" si="2"/>
        <v>4057.9920107967005</v>
      </c>
      <c r="H28" s="159"/>
      <c r="I28" s="159">
        <f t="shared" si="13"/>
        <v>101495.18051869707</v>
      </c>
      <c r="J28" s="163">
        <f t="shared" si="0"/>
        <v>81500.259638697084</v>
      </c>
      <c r="L28" s="156">
        <v>23</v>
      </c>
      <c r="M28" s="158">
        <f t="shared" si="3"/>
        <v>2611.6089195760801</v>
      </c>
      <c r="N28" s="158" t="e">
        <f>'exp4'!R28*preciokwh</f>
        <v>#DIV/0!</v>
      </c>
      <c r="O28" s="158" t="e">
        <f t="shared" si="4"/>
        <v>#DIV/0!</v>
      </c>
      <c r="P28" s="158" t="e">
        <f>'exp4'!T28*precioexc</f>
        <v>#DIV/0!</v>
      </c>
      <c r="Q28" s="158" t="e">
        <f t="shared" si="5"/>
        <v>#DIV/0!</v>
      </c>
      <c r="R28" s="6"/>
      <c r="S28" s="159" t="e">
        <f t="shared" si="6"/>
        <v>#DIV/0!</v>
      </c>
      <c r="T28" s="164" t="e">
        <f t="shared" si="7"/>
        <v>#DIV/0!</v>
      </c>
      <c r="V28" s="156">
        <v>23</v>
      </c>
      <c r="W28" s="158">
        <f t="shared" si="8"/>
        <v>2611.6089195760801</v>
      </c>
      <c r="X28" s="158">
        <f>'exp4'!AB28*preciokwh</f>
        <v>0</v>
      </c>
      <c r="Y28" s="158">
        <f t="shared" si="9"/>
        <v>2611.6089195760801</v>
      </c>
      <c r="Z28" s="158">
        <f>'exp4'!AD28*precioexc</f>
        <v>0</v>
      </c>
      <c r="AA28" s="158">
        <f t="shared" si="10"/>
        <v>2611.6089195760801</v>
      </c>
      <c r="AB28" s="6"/>
      <c r="AC28" s="159">
        <f t="shared" si="11"/>
        <v>65282.222643767323</v>
      </c>
      <c r="AD28" s="164">
        <f t="shared" si="12"/>
        <v>65282.222643767323</v>
      </c>
    </row>
    <row r="29" spans="1:30" s="3" customFormat="1" ht="60" customHeight="1">
      <c r="A29" s="6"/>
      <c r="B29" s="156">
        <v>24</v>
      </c>
      <c r="C29" s="158">
        <f>'exp4'!G29*preciokwh*(1+ti)</f>
        <v>2591.8390400548892</v>
      </c>
      <c r="D29" s="159">
        <f>'exp4'!H29*preciokwh*(1+ti)</f>
        <v>0</v>
      </c>
      <c r="E29" s="159">
        <f t="shared" si="1"/>
        <v>2591.8390400548892</v>
      </c>
      <c r="F29" s="159">
        <f>'exp4'!J29*precioexc</f>
        <v>1435.4339712200801</v>
      </c>
      <c r="G29" s="159">
        <f t="shared" si="2"/>
        <v>4027.2730112749696</v>
      </c>
      <c r="H29" s="159"/>
      <c r="I29" s="159">
        <f t="shared" si="13"/>
        <v>105522.45352997204</v>
      </c>
      <c r="J29" s="163">
        <f t="shared" si="0"/>
        <v>85527.532649972054</v>
      </c>
      <c r="L29" s="156">
        <v>24</v>
      </c>
      <c r="M29" s="158">
        <f t="shared" si="3"/>
        <v>2591.8390400548892</v>
      </c>
      <c r="N29" s="158" t="e">
        <f>'exp4'!R29*preciokwh</f>
        <v>#DIV/0!</v>
      </c>
      <c r="O29" s="158" t="e">
        <f t="shared" si="4"/>
        <v>#DIV/0!</v>
      </c>
      <c r="P29" s="158" t="e">
        <f>'exp4'!T29*precioexc</f>
        <v>#DIV/0!</v>
      </c>
      <c r="Q29" s="158" t="e">
        <f t="shared" si="5"/>
        <v>#DIV/0!</v>
      </c>
      <c r="R29" s="6"/>
      <c r="S29" s="159" t="e">
        <f t="shared" si="6"/>
        <v>#DIV/0!</v>
      </c>
      <c r="T29" s="164" t="e">
        <f t="shared" si="7"/>
        <v>#DIV/0!</v>
      </c>
      <c r="V29" s="156">
        <v>24</v>
      </c>
      <c r="W29" s="158">
        <f t="shared" si="8"/>
        <v>2591.8390400548892</v>
      </c>
      <c r="X29" s="158">
        <f>'exp4'!AB29*preciokwh</f>
        <v>0</v>
      </c>
      <c r="Y29" s="158">
        <f t="shared" si="9"/>
        <v>2591.8390400548892</v>
      </c>
      <c r="Z29" s="158">
        <f>'exp4'!AD29*precioexc</f>
        <v>0</v>
      </c>
      <c r="AA29" s="158">
        <f t="shared" si="10"/>
        <v>2591.8390400548892</v>
      </c>
      <c r="AB29" s="6"/>
      <c r="AC29" s="159">
        <f t="shared" si="11"/>
        <v>67874.061683822219</v>
      </c>
      <c r="AD29" s="164">
        <f t="shared" si="12"/>
        <v>67874.061683822219</v>
      </c>
    </row>
    <row r="30" spans="1:30" s="3" customFormat="1" ht="60" customHeight="1">
      <c r="A30" s="6"/>
      <c r="B30" s="156">
        <v>25</v>
      </c>
      <c r="C30" s="158">
        <f>'exp4'!G30*preciokwh*(1+ti)</f>
        <v>2572.2188185216733</v>
      </c>
      <c r="D30" s="159">
        <f>'exp4'!H30*preciokwh*(1+ti)</f>
        <v>0</v>
      </c>
      <c r="E30" s="159">
        <f t="shared" si="1"/>
        <v>2572.2188185216733</v>
      </c>
      <c r="F30" s="159">
        <f>'exp4'!J30*precioexc</f>
        <v>1424.5677360579441</v>
      </c>
      <c r="G30" s="159">
        <f t="shared" si="2"/>
        <v>3996.7865545796176</v>
      </c>
      <c r="H30" s="159"/>
      <c r="I30" s="159">
        <f t="shared" si="13"/>
        <v>109519.24008455167</v>
      </c>
      <c r="J30" s="163">
        <f t="shared" si="0"/>
        <v>89524.319204551677</v>
      </c>
      <c r="L30" s="156">
        <v>25</v>
      </c>
      <c r="M30" s="158">
        <f t="shared" si="3"/>
        <v>2572.2188185216733</v>
      </c>
      <c r="N30" s="158" t="e">
        <f>'exp4'!R30*preciokwh</f>
        <v>#DIV/0!</v>
      </c>
      <c r="O30" s="158" t="e">
        <f t="shared" si="4"/>
        <v>#DIV/0!</v>
      </c>
      <c r="P30" s="158" t="e">
        <f>'exp4'!T30*precioexc</f>
        <v>#DIV/0!</v>
      </c>
      <c r="Q30" s="158" t="e">
        <f t="shared" si="5"/>
        <v>#DIV/0!</v>
      </c>
      <c r="R30" s="6"/>
      <c r="S30" s="159" t="e">
        <f t="shared" si="6"/>
        <v>#DIV/0!</v>
      </c>
      <c r="T30" s="164" t="e">
        <f t="shared" si="7"/>
        <v>#DIV/0!</v>
      </c>
      <c r="V30" s="156">
        <v>25</v>
      </c>
      <c r="W30" s="158">
        <f t="shared" si="8"/>
        <v>2572.2188185216733</v>
      </c>
      <c r="X30" s="158">
        <f>'exp4'!AB30*preciokwh</f>
        <v>0</v>
      </c>
      <c r="Y30" s="158">
        <f t="shared" si="9"/>
        <v>2572.2188185216733</v>
      </c>
      <c r="Z30" s="158">
        <f>'exp4'!AD30*precioexc</f>
        <v>0</v>
      </c>
      <c r="AA30" s="158">
        <f t="shared" si="10"/>
        <v>2572.2188185216733</v>
      </c>
      <c r="AB30" s="6"/>
      <c r="AC30" s="159">
        <f t="shared" si="11"/>
        <v>70446.2805023439</v>
      </c>
      <c r="AD30" s="164">
        <f t="shared" si="12"/>
        <v>70446.2805023439</v>
      </c>
    </row>
    <row r="31" spans="1:30">
      <c r="V31" s="3"/>
      <c r="W31" s="3"/>
      <c r="X31" s="3"/>
      <c r="Y31" s="3"/>
      <c r="AB31" s="3"/>
      <c r="AC31" s="3"/>
      <c r="AD31" s="3"/>
    </row>
  </sheetData>
  <sheetProtection selectLockedCells="1" selectUnlockedCells="1"/>
  <mergeCells count="6">
    <mergeCell ref="C3:E3"/>
    <mergeCell ref="M3:O3"/>
    <mergeCell ref="B1:K1"/>
    <mergeCell ref="L1:T1"/>
    <mergeCell ref="V1:AD1"/>
    <mergeCell ref="W3:Y3"/>
  </mergeCells>
  <conditionalFormatting sqref="J5:J30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T5:T30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D5:AD3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7221-F959-4F40-93B2-C6AFEF44500E}">
  <sheetPr codeName="Hoja11">
    <tabColor rgb="FF00B0F0"/>
  </sheetPr>
  <dimension ref="B2:D37"/>
  <sheetViews>
    <sheetView showGridLines="0" showZeros="0" zoomScale="130" zoomScaleNormal="130" workbookViewId="0">
      <selection activeCell="B8" sqref="B8"/>
    </sheetView>
  </sheetViews>
  <sheetFormatPr baseColWidth="10" defaultColWidth="11.5546875" defaultRowHeight="14.4"/>
  <cols>
    <col min="1" max="1" width="11.5546875" style="197"/>
    <col min="2" max="2" width="18.88671875" style="197" customWidth="1"/>
    <col min="3" max="3" width="36.33203125" style="197" customWidth="1"/>
    <col min="4" max="4" width="11.5546875" style="197"/>
    <col min="5" max="5" width="31" style="197" customWidth="1"/>
    <col min="6" max="16384" width="11.5546875" style="197"/>
  </cols>
  <sheetData>
    <row r="2" spans="2:3">
      <c r="B2" s="284" t="s">
        <v>127</v>
      </c>
      <c r="C2" s="285" t="str">
        <f>fab_mod</f>
        <v>AIKO</v>
      </c>
    </row>
    <row r="3" spans="2:3" ht="25.8" customHeight="1">
      <c r="B3" s="207" t="s">
        <v>282</v>
      </c>
      <c r="C3" s="294" t="str">
        <f>mod_mod</f>
        <v>AIKO N-TYPE ABC A-MAH72MW 605W</v>
      </c>
    </row>
    <row r="4" spans="2:3">
      <c r="B4" s="284" t="s">
        <v>431</v>
      </c>
      <c r="C4" s="285" t="str">
        <f>VLOOKUP(mod_mod,t.mod!A2:H28,3,)</f>
        <v>Módulo solar N-Type</v>
      </c>
    </row>
    <row r="5" spans="2:3" ht="18" customHeight="1">
      <c r="B5" s="284" t="s">
        <v>402</v>
      </c>
      <c r="C5" s="285" t="str">
        <f>mod_opt</f>
        <v>Sin Optimizador</v>
      </c>
    </row>
    <row r="6" spans="2:3">
      <c r="B6" s="284" t="s">
        <v>433</v>
      </c>
      <c r="C6" s="286" t="str">
        <f>p_mod&amp;" W"</f>
        <v>605 W</v>
      </c>
    </row>
    <row r="7" spans="2:3">
      <c r="B7" s="284" t="s">
        <v>372</v>
      </c>
      <c r="C7" s="291" t="str">
        <f>p_gen*1000&amp;" W"</f>
        <v>16335 W</v>
      </c>
    </row>
    <row r="8" spans="2:3">
      <c r="B8" s="207" t="s">
        <v>275</v>
      </c>
      <c r="C8" s="287"/>
    </row>
    <row r="9" spans="2:3">
      <c r="B9" s="290" t="s">
        <v>198</v>
      </c>
      <c r="C9" s="289" t="str">
        <f>VLOOKUP(mod_mod,t.mod!A2:H28,6,)</f>
        <v>30 años</v>
      </c>
    </row>
    <row r="10" spans="2:3">
      <c r="B10" s="290" t="s">
        <v>428</v>
      </c>
      <c r="C10" s="289" t="str">
        <f>VLOOKUP(mod_mod,t.mod!A2:H28,5,)</f>
        <v>15 años</v>
      </c>
    </row>
    <row r="11" spans="2:3" ht="24" customHeight="1">
      <c r="B11" s="284"/>
      <c r="C11" s="284"/>
    </row>
    <row r="12" spans="2:3">
      <c r="B12" s="286" t="s">
        <v>127</v>
      </c>
      <c r="C12" s="288" t="str">
        <f>fab_inv</f>
        <v>HUAWEI</v>
      </c>
    </row>
    <row r="13" spans="2:3" ht="27.6" customHeight="1">
      <c r="B13" s="208" t="s">
        <v>282</v>
      </c>
      <c r="C13" s="217" t="str">
        <f>mod_inv1</f>
        <v>HUAWEI SUN2000 20KTL M3</v>
      </c>
    </row>
    <row r="14" spans="2:3" ht="41.4">
      <c r="B14" s="208" t="s">
        <v>431</v>
      </c>
      <c r="C14" s="217" t="str">
        <f>VLOOKUP(mod_inv1,t.inv!A3:H36,2,FALSE)</f>
        <v>Inversor Trifásico de conexión a red con conexión a internet WLAN o Ethernet integrada.</v>
      </c>
    </row>
    <row r="15" spans="2:3">
      <c r="B15" s="286" t="s">
        <v>373</v>
      </c>
      <c r="C15" s="287" t="str">
        <f>pot_inv&amp;" kW, en "&amp;(num_inv1+num_inv2)&amp;" equipo/s"</f>
        <v>20 kW, en 1 equipo/s</v>
      </c>
    </row>
    <row r="16" spans="2:3">
      <c r="B16" s="286" t="s">
        <v>318</v>
      </c>
      <c r="C16" s="288" t="str">
        <f>VLOOKUP(mod_meter,t.met!A3:D13,3,0)</f>
        <v>Medidor Monofásico DDSU Huawei</v>
      </c>
    </row>
    <row r="17" spans="2:4">
      <c r="B17" s="286" t="s">
        <v>275</v>
      </c>
      <c r="C17" s="286" t="str">
        <f>VLOOKUP(mod_inv1,t.inv!A3:H36,5,FALSE)</f>
        <v>10 años</v>
      </c>
    </row>
    <row r="19" spans="2:4">
      <c r="B19" s="208" t="s">
        <v>127</v>
      </c>
      <c r="C19" s="217" t="str">
        <f>VLOOKUP(mod_bat,t.bat!A3:G12,2,)</f>
        <v>DYNESS</v>
      </c>
    </row>
    <row r="20" spans="2:4">
      <c r="B20" s="208" t="s">
        <v>282</v>
      </c>
      <c r="C20" s="217" t="str">
        <f>mod_bat</f>
        <v>DYNESS 3,6 kW 48V</v>
      </c>
    </row>
    <row r="21" spans="2:4" ht="15" customHeight="1">
      <c r="B21" s="208"/>
      <c r="C21" s="217" t="str">
        <f>VLOOKUP(mod_bat,t.bat!A3:G12,3,)</f>
        <v>Módulo de Batería Dyness de 48V</v>
      </c>
    </row>
    <row r="22" spans="2:4">
      <c r="B22" s="208" t="s">
        <v>324</v>
      </c>
      <c r="C22" s="216">
        <f>num_bat</f>
        <v>0</v>
      </c>
    </row>
    <row r="23" spans="2:4">
      <c r="B23" s="208" t="s">
        <v>323</v>
      </c>
      <c r="C23" s="216" t="str">
        <f>cap_bat&amp;" kWh"</f>
        <v>0 kWh</v>
      </c>
    </row>
    <row r="24" spans="2:4">
      <c r="B24" s="208" t="s">
        <v>275</v>
      </c>
      <c r="C24" s="208" t="str">
        <f>VLOOKUP(mod_bat,t.bat!A3:G12,6,)</f>
        <v>10 años</v>
      </c>
    </row>
    <row r="28" spans="2:4" ht="18" customHeight="1">
      <c r="B28" s="207" t="s">
        <v>72</v>
      </c>
      <c r="C28" s="217" t="str">
        <f>t.est!H3</f>
        <v>Coplanaria aluminio</v>
      </c>
      <c r="D28" s="217"/>
    </row>
    <row r="29" spans="2:4" ht="67.2" customHeight="1">
      <c r="B29" s="207" t="s">
        <v>83</v>
      </c>
      <c r="C29" s="294" t="str">
        <f>VLOOKUP(estructura,t.est!A3:D11,4,0)</f>
        <v>Soporte coplanar contínuo atornillado para cubierta de teja, incluyendo juntas de estanqueidad, con perfilería de aluminio EN AW 6005A T6 y tornillería de acero inoxidable A2-70. Soporta cargas de viento de hasta 150 km/h. Certificado ISO:9001</v>
      </c>
      <c r="D29" s="292"/>
    </row>
    <row r="30" spans="2:4">
      <c r="C30" s="461"/>
      <c r="D30" s="461"/>
    </row>
    <row r="31" spans="2:4" ht="27" customHeight="1">
      <c r="C31" s="217"/>
      <c r="D31" s="217"/>
    </row>
    <row r="32" spans="2:4">
      <c r="B32" s="208" t="s">
        <v>127</v>
      </c>
      <c r="C32" s="217" t="str">
        <f>VLOOKUP(mod_bat,t.bat!A3:G12,2,)</f>
        <v>DYNESS</v>
      </c>
    </row>
    <row r="33" spans="2:3">
      <c r="B33" s="208" t="s">
        <v>282</v>
      </c>
      <c r="C33" s="217" t="str">
        <f>mod_bat</f>
        <v>DYNESS 3,6 kW 48V</v>
      </c>
    </row>
    <row r="34" spans="2:3" ht="30.6" customHeight="1">
      <c r="B34" s="208"/>
      <c r="C34" s="217" t="str">
        <f>VLOOKUP(mod_bat,t.bat!A3:G12,3,)</f>
        <v>Módulo de Batería Dyness de 48V</v>
      </c>
    </row>
    <row r="35" spans="2:3" ht="16.2" customHeight="1">
      <c r="B35" s="208" t="s">
        <v>324</v>
      </c>
      <c r="C35" s="216">
        <f>num_bat</f>
        <v>0</v>
      </c>
    </row>
    <row r="36" spans="2:3">
      <c r="B36" s="208" t="s">
        <v>323</v>
      </c>
      <c r="C36" s="216" t="str">
        <f>cap_bat&amp;" kWh"</f>
        <v>0 kWh</v>
      </c>
    </row>
    <row r="37" spans="2:3">
      <c r="B37" s="208" t="s">
        <v>275</v>
      </c>
      <c r="C37" s="208" t="str">
        <f>VLOOKUP(mod_bat,t.bat!A3:G12,6,)</f>
        <v>10 años</v>
      </c>
    </row>
  </sheetData>
  <sheetProtection selectLockedCells="1" selectUnlockedCells="1"/>
  <mergeCells count="1">
    <mergeCell ref="C30:D30"/>
  </mergeCells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1702-811C-4F1C-AF70-1F645DBE9E19}">
  <sheetPr codeName="Hoja14"/>
  <dimension ref="B2:N26"/>
  <sheetViews>
    <sheetView zoomScaleNormal="100" workbookViewId="0">
      <selection activeCell="B8" sqref="B8"/>
    </sheetView>
  </sheetViews>
  <sheetFormatPr baseColWidth="10" defaultColWidth="11.5546875" defaultRowHeight="14.4"/>
  <cols>
    <col min="1" max="1" width="11.5546875" style="188"/>
    <col min="2" max="2" width="14.33203125" style="188" customWidth="1"/>
    <col min="3" max="3" width="12" style="188" customWidth="1"/>
    <col min="4" max="4" width="15.5546875" style="188" customWidth="1"/>
    <col min="5" max="12" width="11.5546875" style="188"/>
    <col min="13" max="13" width="9.33203125" style="188" customWidth="1"/>
    <col min="14" max="14" width="20.6640625" style="188" customWidth="1"/>
    <col min="15" max="16384" width="11.5546875" style="188"/>
  </cols>
  <sheetData>
    <row r="2" spans="2:14" ht="24" customHeight="1">
      <c r="B2" s="463" t="str">
        <f>N5</f>
        <v>Unifamiliar de 4 Fachadas</v>
      </c>
      <c r="C2" s="463"/>
      <c r="D2" s="463"/>
      <c r="E2" s="464" t="str">
        <f>N6</f>
        <v>Pareados de 3 Fachadas</v>
      </c>
      <c r="F2" s="464"/>
      <c r="G2" s="464"/>
      <c r="H2" s="464" t="str">
        <f>N7</f>
        <v>Adosados de 2 Fachadas</v>
      </c>
      <c r="I2" s="464"/>
      <c r="J2" s="464"/>
    </row>
    <row r="3" spans="2:14" ht="23.4" customHeight="1">
      <c r="B3" s="22"/>
      <c r="C3" s="467" t="s">
        <v>266</v>
      </c>
      <c r="D3" s="467"/>
      <c r="E3" s="189"/>
      <c r="F3" s="467" t="s">
        <v>266</v>
      </c>
      <c r="G3" s="467"/>
      <c r="H3" s="189"/>
      <c r="I3" s="467" t="s">
        <v>266</v>
      </c>
      <c r="J3" s="467"/>
    </row>
    <row r="4" spans="2:14" ht="43.2">
      <c r="B4" s="189" t="s">
        <v>262</v>
      </c>
      <c r="C4" s="189">
        <v>1</v>
      </c>
      <c r="D4" s="189">
        <v>2</v>
      </c>
      <c r="E4" s="189" t="s">
        <v>262</v>
      </c>
      <c r="F4" s="189">
        <v>1</v>
      </c>
      <c r="G4" s="189">
        <v>2</v>
      </c>
      <c r="H4" s="189" t="s">
        <v>262</v>
      </c>
      <c r="I4" s="189">
        <v>1</v>
      </c>
      <c r="J4" s="189">
        <v>2</v>
      </c>
    </row>
    <row r="5" spans="2:14" ht="28.8">
      <c r="B5" s="190">
        <v>50</v>
      </c>
      <c r="C5" s="187">
        <v>6</v>
      </c>
      <c r="D5" s="187">
        <v>6</v>
      </c>
      <c r="E5" s="189">
        <v>50</v>
      </c>
      <c r="F5" s="187">
        <v>5</v>
      </c>
      <c r="G5" s="187">
        <v>5</v>
      </c>
      <c r="H5" s="189">
        <v>50</v>
      </c>
      <c r="I5" s="187">
        <v>5</v>
      </c>
      <c r="J5" s="187">
        <v>4</v>
      </c>
      <c r="N5" s="188" t="s">
        <v>263</v>
      </c>
    </row>
    <row r="6" spans="2:14">
      <c r="B6" s="190">
        <v>75</v>
      </c>
      <c r="C6" s="187">
        <v>7</v>
      </c>
      <c r="D6" s="187">
        <v>7</v>
      </c>
      <c r="E6" s="190">
        <v>75</v>
      </c>
      <c r="F6" s="187">
        <v>7</v>
      </c>
      <c r="G6" s="187">
        <v>6</v>
      </c>
      <c r="H6" s="190">
        <v>75</v>
      </c>
      <c r="I6" s="187">
        <v>6</v>
      </c>
      <c r="J6" s="187">
        <v>5</v>
      </c>
      <c r="N6" s="188" t="s">
        <v>267</v>
      </c>
    </row>
    <row r="7" spans="2:14">
      <c r="B7" s="190">
        <v>100</v>
      </c>
      <c r="C7" s="187">
        <v>9</v>
      </c>
      <c r="D7" s="187">
        <v>9</v>
      </c>
      <c r="E7" s="190">
        <v>100</v>
      </c>
      <c r="F7" s="187">
        <v>8</v>
      </c>
      <c r="G7" s="187">
        <v>8</v>
      </c>
      <c r="H7" s="190">
        <v>100</v>
      </c>
      <c r="I7" s="187">
        <v>7</v>
      </c>
      <c r="J7" s="187">
        <v>6</v>
      </c>
      <c r="N7" s="188" t="s">
        <v>268</v>
      </c>
    </row>
    <row r="8" spans="2:14">
      <c r="B8" s="190">
        <v>125</v>
      </c>
      <c r="C8" s="187">
        <v>10</v>
      </c>
      <c r="D8" s="187">
        <v>10</v>
      </c>
      <c r="E8" s="190">
        <v>125</v>
      </c>
      <c r="F8" s="187">
        <v>10</v>
      </c>
      <c r="G8" s="187">
        <v>9</v>
      </c>
      <c r="H8" s="190">
        <v>125</v>
      </c>
      <c r="I8" s="187">
        <v>9</v>
      </c>
      <c r="J8" s="187">
        <v>7</v>
      </c>
    </row>
    <row r="9" spans="2:14">
      <c r="B9" s="190">
        <v>150</v>
      </c>
      <c r="C9" s="187">
        <v>12</v>
      </c>
      <c r="D9" s="187">
        <v>11</v>
      </c>
      <c r="E9" s="190">
        <v>150</v>
      </c>
      <c r="F9" s="187">
        <v>11</v>
      </c>
      <c r="G9" s="187">
        <v>10</v>
      </c>
      <c r="H9" s="190">
        <v>150</v>
      </c>
      <c r="I9" s="187">
        <v>10</v>
      </c>
      <c r="J9" s="187">
        <v>9</v>
      </c>
    </row>
    <row r="10" spans="2:14">
      <c r="B10" s="190">
        <v>175</v>
      </c>
      <c r="C10" s="187">
        <v>13</v>
      </c>
      <c r="D10" s="187">
        <v>12</v>
      </c>
      <c r="E10" s="190">
        <v>175</v>
      </c>
      <c r="F10" s="187">
        <v>13</v>
      </c>
      <c r="G10" s="187">
        <v>11</v>
      </c>
      <c r="H10" s="190">
        <v>175</v>
      </c>
      <c r="I10" s="187">
        <v>12</v>
      </c>
      <c r="J10" s="187">
        <v>10</v>
      </c>
    </row>
    <row r="11" spans="2:14">
      <c r="B11" s="190">
        <v>200</v>
      </c>
      <c r="C11" s="187">
        <v>15</v>
      </c>
      <c r="D11" s="187">
        <v>14</v>
      </c>
      <c r="E11" s="190">
        <v>200</v>
      </c>
      <c r="F11" s="187">
        <v>14</v>
      </c>
      <c r="G11" s="187">
        <v>12</v>
      </c>
      <c r="H11" s="190">
        <v>200</v>
      </c>
      <c r="I11" s="187">
        <v>13</v>
      </c>
      <c r="J11" s="187">
        <v>11</v>
      </c>
    </row>
    <row r="12" spans="2:14">
      <c r="B12" s="190">
        <v>225</v>
      </c>
      <c r="C12" s="187">
        <v>16</v>
      </c>
      <c r="D12" s="187">
        <v>15</v>
      </c>
      <c r="E12" s="190">
        <v>225</v>
      </c>
      <c r="F12" s="187">
        <v>15</v>
      </c>
      <c r="G12" s="187">
        <v>13</v>
      </c>
      <c r="H12" s="190">
        <v>225</v>
      </c>
      <c r="I12" s="187">
        <v>14</v>
      </c>
      <c r="J12" s="187">
        <v>12</v>
      </c>
    </row>
    <row r="13" spans="2:14">
      <c r="B13" s="190">
        <v>250</v>
      </c>
      <c r="C13" s="187">
        <v>18</v>
      </c>
      <c r="D13" s="187">
        <v>16</v>
      </c>
      <c r="E13" s="190">
        <v>250</v>
      </c>
      <c r="F13" s="187">
        <v>17</v>
      </c>
      <c r="G13" s="187">
        <v>14</v>
      </c>
      <c r="H13" s="190">
        <v>250</v>
      </c>
      <c r="I13" s="187">
        <v>16</v>
      </c>
      <c r="J13" s="187">
        <v>13</v>
      </c>
    </row>
    <row r="15" spans="2:14" ht="24" customHeight="1">
      <c r="B15" s="465" t="str">
        <f>N5</f>
        <v>Unifamiliar de 4 Fachadas</v>
      </c>
      <c r="C15" s="465"/>
      <c r="D15" s="465"/>
      <c r="E15" s="466" t="str">
        <f>N6</f>
        <v>Pareados de 3 Fachadas</v>
      </c>
      <c r="F15" s="466"/>
      <c r="G15" s="466"/>
      <c r="H15" s="466" t="str">
        <f>N7</f>
        <v>Adosados de 2 Fachadas</v>
      </c>
      <c r="I15" s="466"/>
      <c r="J15" s="466"/>
    </row>
    <row r="16" spans="2:14" ht="24" customHeight="1">
      <c r="B16" s="213"/>
      <c r="C16" s="462" t="s">
        <v>266</v>
      </c>
      <c r="D16" s="462"/>
      <c r="E16" s="214"/>
      <c r="F16" s="462" t="s">
        <v>266</v>
      </c>
      <c r="G16" s="462"/>
      <c r="H16" s="214"/>
      <c r="I16" s="462" t="s">
        <v>266</v>
      </c>
      <c r="J16" s="462"/>
    </row>
    <row r="17" spans="2:10" ht="43.2">
      <c r="B17" s="189" t="s">
        <v>262</v>
      </c>
      <c r="C17" s="189">
        <v>1</v>
      </c>
      <c r="D17" s="189">
        <v>2</v>
      </c>
      <c r="E17" s="189" t="s">
        <v>262</v>
      </c>
      <c r="F17" s="189">
        <v>1</v>
      </c>
      <c r="G17" s="189">
        <v>2</v>
      </c>
      <c r="H17" s="189" t="s">
        <v>262</v>
      </c>
      <c r="I17" s="189">
        <v>1</v>
      </c>
      <c r="J17" s="189">
        <v>2</v>
      </c>
    </row>
    <row r="18" spans="2:10">
      <c r="B18" s="190">
        <v>50</v>
      </c>
      <c r="C18" s="211">
        <v>2.7</v>
      </c>
      <c r="D18" s="211">
        <v>2.7</v>
      </c>
      <c r="E18" s="189">
        <v>50</v>
      </c>
      <c r="F18" s="211">
        <v>2.25</v>
      </c>
      <c r="G18" s="211">
        <v>2.25</v>
      </c>
      <c r="H18" s="189">
        <v>50</v>
      </c>
      <c r="I18" s="211">
        <v>2.25</v>
      </c>
      <c r="J18" s="211">
        <v>1.8</v>
      </c>
    </row>
    <row r="19" spans="2:10">
      <c r="B19" s="190">
        <v>75</v>
      </c>
      <c r="C19" s="211">
        <v>3.15</v>
      </c>
      <c r="D19" s="211">
        <v>3.15</v>
      </c>
      <c r="E19" s="190">
        <v>75</v>
      </c>
      <c r="F19" s="211">
        <v>3.15</v>
      </c>
      <c r="G19" s="211">
        <v>2.7</v>
      </c>
      <c r="H19" s="190">
        <v>75</v>
      </c>
      <c r="I19" s="211">
        <v>2.7</v>
      </c>
      <c r="J19" s="211">
        <v>2.25</v>
      </c>
    </row>
    <row r="20" spans="2:10">
      <c r="B20" s="190">
        <v>100</v>
      </c>
      <c r="C20" s="211">
        <v>4.05</v>
      </c>
      <c r="D20" s="211">
        <v>4.05</v>
      </c>
      <c r="E20" s="190">
        <v>100</v>
      </c>
      <c r="F20" s="211">
        <v>3.6</v>
      </c>
      <c r="G20" s="211">
        <v>3.6</v>
      </c>
      <c r="H20" s="190">
        <v>100</v>
      </c>
      <c r="I20" s="211">
        <v>3.15</v>
      </c>
      <c r="J20" s="211">
        <v>2.7</v>
      </c>
    </row>
    <row r="21" spans="2:10">
      <c r="B21" s="190">
        <v>125</v>
      </c>
      <c r="C21" s="211">
        <v>4.5</v>
      </c>
      <c r="D21" s="211">
        <v>4.5</v>
      </c>
      <c r="E21" s="190">
        <v>125</v>
      </c>
      <c r="F21" s="211">
        <v>4.5</v>
      </c>
      <c r="G21" s="211">
        <v>4.05</v>
      </c>
      <c r="H21" s="190">
        <v>125</v>
      </c>
      <c r="I21" s="211">
        <v>4.05</v>
      </c>
      <c r="J21" s="211">
        <v>3.15</v>
      </c>
    </row>
    <row r="22" spans="2:10">
      <c r="B22" s="190">
        <v>150</v>
      </c>
      <c r="C22" s="211">
        <v>5.4</v>
      </c>
      <c r="D22" s="211">
        <v>4.95</v>
      </c>
      <c r="E22" s="190">
        <v>150</v>
      </c>
      <c r="F22" s="211">
        <v>4.95</v>
      </c>
      <c r="G22" s="211">
        <v>4.5</v>
      </c>
      <c r="H22" s="190">
        <v>150</v>
      </c>
      <c r="I22" s="211">
        <v>4.5</v>
      </c>
      <c r="J22" s="211">
        <v>4.05</v>
      </c>
    </row>
    <row r="23" spans="2:10">
      <c r="B23" s="190">
        <v>175</v>
      </c>
      <c r="C23" s="211">
        <v>5.85</v>
      </c>
      <c r="D23" s="211">
        <v>5.4</v>
      </c>
      <c r="E23" s="190">
        <v>175</v>
      </c>
      <c r="F23" s="211">
        <v>5.85</v>
      </c>
      <c r="G23" s="211">
        <v>4.95</v>
      </c>
      <c r="H23" s="190">
        <v>175</v>
      </c>
      <c r="I23" s="211">
        <v>5.4</v>
      </c>
      <c r="J23" s="211">
        <v>4.5</v>
      </c>
    </row>
    <row r="24" spans="2:10">
      <c r="B24" s="190">
        <v>200</v>
      </c>
      <c r="C24" s="211">
        <v>6.75</v>
      </c>
      <c r="D24" s="211">
        <v>6.3</v>
      </c>
      <c r="E24" s="190">
        <v>200</v>
      </c>
      <c r="F24" s="211">
        <v>6.3</v>
      </c>
      <c r="G24" s="211">
        <v>5.4</v>
      </c>
      <c r="H24" s="190">
        <v>200</v>
      </c>
      <c r="I24" s="211">
        <v>5.85</v>
      </c>
      <c r="J24" s="211">
        <v>4.95</v>
      </c>
    </row>
    <row r="25" spans="2:10">
      <c r="B25" s="190">
        <v>225</v>
      </c>
      <c r="C25" s="211">
        <v>7.2</v>
      </c>
      <c r="D25" s="211">
        <v>6.75</v>
      </c>
      <c r="E25" s="190">
        <v>225</v>
      </c>
      <c r="F25" s="211">
        <v>6.75</v>
      </c>
      <c r="G25" s="211">
        <v>5.85</v>
      </c>
      <c r="H25" s="190">
        <v>225</v>
      </c>
      <c r="I25" s="211">
        <v>6.3</v>
      </c>
      <c r="J25" s="211">
        <v>5.4</v>
      </c>
    </row>
    <row r="26" spans="2:10">
      <c r="B26" s="190">
        <v>250</v>
      </c>
      <c r="C26" s="211">
        <v>8.1</v>
      </c>
      <c r="D26" s="211">
        <v>7.2</v>
      </c>
      <c r="E26" s="190">
        <v>250</v>
      </c>
      <c r="F26" s="211">
        <v>7.65</v>
      </c>
      <c r="G26" s="211">
        <v>6.3</v>
      </c>
      <c r="H26" s="190">
        <v>250</v>
      </c>
      <c r="I26" s="211">
        <v>7.2</v>
      </c>
      <c r="J26" s="211">
        <v>5.85</v>
      </c>
    </row>
  </sheetData>
  <sheetProtection algorithmName="SHA-512" hashValue="1F3BjuPAcraWhQQbLrlNw1mWVmTWjH6tKUJCx76BBCLt26lfXPn5U7Tt4fQ69oahoIE4+qE6cGIN5fPHdnQlqA==" saltValue="H+yQmtGN9s6SMelCIZL9DQ==" spinCount="100000" sheet="1" objects="1" scenarios="1" selectLockedCells="1" selectUnlockedCells="1"/>
  <mergeCells count="12">
    <mergeCell ref="C16:D16"/>
    <mergeCell ref="F16:G16"/>
    <mergeCell ref="I16:J16"/>
    <mergeCell ref="B2:D2"/>
    <mergeCell ref="E2:G2"/>
    <mergeCell ref="H2:J2"/>
    <mergeCell ref="B15:D15"/>
    <mergeCell ref="E15:G15"/>
    <mergeCell ref="H15:J15"/>
    <mergeCell ref="C3:D3"/>
    <mergeCell ref="F3:G3"/>
    <mergeCell ref="I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DECC-828A-4CE6-AC16-A4422F8C7F79}">
  <sheetPr codeName="Hoja16">
    <tabColor theme="1" tint="0.249977111117893"/>
  </sheetPr>
  <dimension ref="B2:O9"/>
  <sheetViews>
    <sheetView showGridLines="0" zoomScaleNormal="100" workbookViewId="0">
      <selection activeCell="D23" sqref="D23"/>
    </sheetView>
  </sheetViews>
  <sheetFormatPr baseColWidth="10" defaultColWidth="11.5546875" defaultRowHeight="15.6"/>
  <cols>
    <col min="1" max="1" width="6" style="9" customWidth="1"/>
    <col min="2" max="2" width="43.6640625" style="9" customWidth="1"/>
    <col min="3" max="3" width="14.109375" style="9" customWidth="1"/>
    <col min="4" max="8" width="11.5546875" style="9"/>
    <col min="9" max="9" width="12.44140625" style="9" customWidth="1"/>
    <col min="10" max="10" width="11.5546875" style="9"/>
    <col min="11" max="11" width="15.21875" style="9" customWidth="1"/>
    <col min="12" max="12" width="11.5546875" style="9"/>
    <col min="13" max="13" width="13.5546875" style="9" customWidth="1"/>
    <col min="14" max="14" width="11.5546875" style="9"/>
    <col min="15" max="15" width="17.44140625" style="9" customWidth="1"/>
    <col min="16" max="16" width="12.88671875" style="9" customWidth="1"/>
    <col min="17" max="16384" width="11.5546875" style="9"/>
  </cols>
  <sheetData>
    <row r="2" spans="2:15" ht="38.4" customHeight="1">
      <c r="B2" s="49"/>
      <c r="C2" s="115" t="s">
        <v>160</v>
      </c>
      <c r="D2" s="115" t="s">
        <v>161</v>
      </c>
      <c r="E2" s="115" t="s">
        <v>162</v>
      </c>
      <c r="F2" s="115" t="s">
        <v>163</v>
      </c>
      <c r="G2" s="115" t="s">
        <v>164</v>
      </c>
      <c r="H2" s="115" t="s">
        <v>165</v>
      </c>
      <c r="I2" s="115" t="s">
        <v>173</v>
      </c>
      <c r="J2" s="115" t="s">
        <v>174</v>
      </c>
      <c r="K2" s="115" t="s">
        <v>175</v>
      </c>
      <c r="L2" s="115" t="s">
        <v>176</v>
      </c>
      <c r="M2" s="115" t="s">
        <v>177</v>
      </c>
      <c r="N2" s="115" t="s">
        <v>178</v>
      </c>
      <c r="O2" s="115" t="s">
        <v>166</v>
      </c>
    </row>
    <row r="3" spans="2:15" ht="21.6" customHeight="1">
      <c r="B3" s="26" t="s">
        <v>42</v>
      </c>
      <c r="C3" s="129">
        <f>IF(tipo_calculo="Consumo Mensual Real",datos!B41,
VLOOKUP(curva,t.con!B5:N8,2,)*consumo1)</f>
        <v>2180.52</v>
      </c>
      <c r="D3" s="129">
        <f>IF(tipo_calculo="Consumo Mensual Real",datos!B43,
VLOOKUP(curva,t.con!B5:N8,3,)*consumo1)</f>
        <v>1998.81</v>
      </c>
      <c r="E3" s="129">
        <f>IF(tipo_calculo="Consumo Mensual Real",datos!B45,
VLOOKUP(curva,t.con!B5:N8,4,)*consumo1)</f>
        <v>1090.26</v>
      </c>
      <c r="F3" s="129">
        <f>IF(tipo_calculo="Consumo Mensual Real",datos!B47,
VLOOKUP(curva,t.con!B5:N8,5,)*consumo1)</f>
        <v>1090.26</v>
      </c>
      <c r="G3" s="129">
        <f>IF(tipo_calculo="Consumo Mensual Real",datos!D41,
VLOOKUP(curva,t.con!B5:N8,6,)*consumo1)</f>
        <v>1271.97</v>
      </c>
      <c r="H3" s="129">
        <f>IF(tipo_calculo="Consumo Mensual Real",datos!D43,
VLOOKUP(curva,t.con!B5:N8,7,)*consumo1)</f>
        <v>1271.97</v>
      </c>
      <c r="I3" s="129">
        <f>IF(tipo_calculo="Consumo Mensual Real",datos!D45,
VLOOKUP(curva,t.con!B5:N8,8,)*consumo1)</f>
        <v>1635.3899999999999</v>
      </c>
      <c r="J3" s="129">
        <f>IF(tipo_calculo="Consumo Mensual Real",datos!D47,
VLOOKUP(curva,t.con!B5:N8,9,)*consumo1)</f>
        <v>1817.1000000000001</v>
      </c>
      <c r="K3" s="129">
        <f>IF(tipo_calculo="Consumo Mensual Real",datos!F41,
VLOOKUP(curva,t.con!B5:N8,10,)*consumo1)</f>
        <v>1090.26</v>
      </c>
      <c r="L3" s="129">
        <f>IF(tipo_calculo="Consumo Mensual Real",datos!F43,
VLOOKUP(curva,t.con!B5:N8,11,)*consumo1)</f>
        <v>1090.26</v>
      </c>
      <c r="M3" s="129">
        <f>IF(tipo_calculo="Consumo Mensual Real",datos!F45,
VLOOKUP(curva,t.con!B5:N8,12,)*consumo1)</f>
        <v>1453.68</v>
      </c>
      <c r="N3" s="129">
        <f>IF(tipo_calculo="Consumo Mensual Real",datos!F47,
VLOOKUP(curva,t.con!B5:N8,13,)*consumo1)</f>
        <v>2180.52</v>
      </c>
      <c r="O3" s="117">
        <f>SUM(C3:N3)</f>
        <v>18171</v>
      </c>
    </row>
    <row r="4" spans="2:15" ht="21.6" customHeight="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2:15">
      <c r="B5" s="110" t="s">
        <v>257</v>
      </c>
      <c r="C5" s="113">
        <v>0.12</v>
      </c>
      <c r="D5" s="113">
        <v>0.11</v>
      </c>
      <c r="E5" s="113">
        <v>0.06</v>
      </c>
      <c r="F5" s="113">
        <v>0.06</v>
      </c>
      <c r="G5" s="113">
        <v>7.0000000000000007E-2</v>
      </c>
      <c r="H5" s="113">
        <v>7.0000000000000007E-2</v>
      </c>
      <c r="I5" s="113">
        <v>0.09</v>
      </c>
      <c r="J5" s="113">
        <v>0.1</v>
      </c>
      <c r="K5" s="113">
        <v>0.06</v>
      </c>
      <c r="L5" s="113">
        <v>0.06</v>
      </c>
      <c r="M5" s="113">
        <v>0.08</v>
      </c>
      <c r="N5" s="113">
        <v>0.12</v>
      </c>
      <c r="O5" s="114">
        <f>SUM(C5:N5)</f>
        <v>1</v>
      </c>
    </row>
    <row r="6" spans="2:15">
      <c r="B6" s="111" t="s">
        <v>258</v>
      </c>
      <c r="C6" s="113">
        <v>0.08</v>
      </c>
      <c r="D6" s="113">
        <v>7.0000000000000007E-2</v>
      </c>
      <c r="E6" s="113">
        <v>7.0000000000000007E-2</v>
      </c>
      <c r="F6" s="113">
        <v>7.0000000000000007E-2</v>
      </c>
      <c r="G6" s="113">
        <v>0.08</v>
      </c>
      <c r="H6" s="113">
        <v>0.09</v>
      </c>
      <c r="I6" s="113">
        <v>0.1</v>
      </c>
      <c r="J6" s="113">
        <v>0.1</v>
      </c>
      <c r="K6" s="113">
        <v>0.1</v>
      </c>
      <c r="L6" s="113">
        <v>0.09</v>
      </c>
      <c r="M6" s="113">
        <v>7.0000000000000007E-2</v>
      </c>
      <c r="N6" s="113">
        <v>0.08</v>
      </c>
      <c r="O6" s="114">
        <f>SUM(C6:N6)</f>
        <v>0.99999999999999989</v>
      </c>
    </row>
    <row r="7" spans="2:15">
      <c r="B7" s="112" t="s">
        <v>259</v>
      </c>
      <c r="C7" s="113">
        <v>0.08</v>
      </c>
      <c r="D7" s="113">
        <v>0.08</v>
      </c>
      <c r="E7" s="113">
        <v>0.08</v>
      </c>
      <c r="F7" s="113">
        <v>0.08</v>
      </c>
      <c r="G7" s="113">
        <v>0.1</v>
      </c>
      <c r="H7" s="113">
        <v>0.1</v>
      </c>
      <c r="I7" s="113">
        <v>0.1</v>
      </c>
      <c r="J7" s="113">
        <v>0.08</v>
      </c>
      <c r="K7" s="113">
        <v>0.08</v>
      </c>
      <c r="L7" s="113">
        <v>0.08</v>
      </c>
      <c r="M7" s="113">
        <v>0.06</v>
      </c>
      <c r="N7" s="113">
        <v>0.08</v>
      </c>
      <c r="O7" s="114">
        <f t="shared" ref="O7:O8" si="0">SUM(C7:N7)</f>
        <v>0.99999999999999989</v>
      </c>
    </row>
    <row r="8" spans="2:15">
      <c r="B8" s="116" t="s">
        <v>167</v>
      </c>
      <c r="C8" s="113">
        <v>0.1</v>
      </c>
      <c r="D8" s="113">
        <v>0.1</v>
      </c>
      <c r="E8" s="113">
        <v>0.08</v>
      </c>
      <c r="F8" s="113">
        <v>0.08</v>
      </c>
      <c r="G8" s="113">
        <v>0.08</v>
      </c>
      <c r="H8" s="113">
        <v>0.1</v>
      </c>
      <c r="I8" s="113">
        <v>0.08</v>
      </c>
      <c r="J8" s="113">
        <v>0.02</v>
      </c>
      <c r="K8" s="113">
        <v>0.08</v>
      </c>
      <c r="L8" s="113">
        <v>0.08</v>
      </c>
      <c r="M8" s="113">
        <v>0.1</v>
      </c>
      <c r="N8" s="113">
        <v>0.1</v>
      </c>
      <c r="O8" s="114">
        <f t="shared" si="0"/>
        <v>0.99999999999999989</v>
      </c>
    </row>
    <row r="9" spans="2:15"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</row>
  </sheetData>
  <sheetProtection algorithmName="SHA-512" hashValue="2EEj0d2NKIirMIVXL3LIaPikNDKwpxEwF+YARHjy6Wwqzq7nKdVsh/aOoS+JGUUqNbbvp/FLPxhE64t5Tdk8PQ==" saltValue="hYazQMsk06I1PpmiNJZgE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718-4D57-4AB6-8E06-7D2F86DFF774}">
  <sheetPr codeName="Hoja15">
    <tabColor theme="1" tint="0.249977111117893"/>
  </sheetPr>
  <dimension ref="A1:I24"/>
  <sheetViews>
    <sheetView showGridLines="0" topLeftCell="A4" zoomScale="115" zoomScaleNormal="115" workbookViewId="0">
      <selection activeCell="A11" sqref="A11"/>
    </sheetView>
  </sheetViews>
  <sheetFormatPr baseColWidth="10" defaultColWidth="11.5546875" defaultRowHeight="15.6"/>
  <cols>
    <col min="1" max="1" width="55.33203125" style="41" customWidth="1"/>
    <col min="2" max="2" width="21" style="41" customWidth="1"/>
    <col min="3" max="3" width="46.77734375" style="41" customWidth="1"/>
    <col min="4" max="4" width="22.77734375" style="41" customWidth="1"/>
    <col min="5" max="5" width="16.33203125" style="41" customWidth="1"/>
    <col min="6" max="6" width="15.44140625" style="41" customWidth="1"/>
    <col min="7" max="7" width="17.88671875" style="41" customWidth="1"/>
    <col min="8" max="8" width="23.6640625" style="41" customWidth="1"/>
    <col min="9" max="9" width="29.109375" style="41" customWidth="1"/>
    <col min="10" max="16384" width="11.5546875" style="41"/>
  </cols>
  <sheetData>
    <row r="1" spans="1:9" ht="18">
      <c r="A1" s="468" t="s">
        <v>186</v>
      </c>
      <c r="B1" s="469"/>
      <c r="C1" s="469"/>
      <c r="D1" s="469"/>
      <c r="E1" s="469"/>
      <c r="F1" s="469"/>
      <c r="G1" s="469"/>
      <c r="H1" s="469"/>
      <c r="I1" s="469"/>
    </row>
    <row r="2" spans="1:9" ht="36.6" customHeight="1">
      <c r="A2" s="50" t="s">
        <v>80</v>
      </c>
      <c r="B2" s="51" t="s">
        <v>127</v>
      </c>
      <c r="C2" s="51" t="s">
        <v>83</v>
      </c>
      <c r="D2" s="51" t="s">
        <v>123</v>
      </c>
      <c r="E2" s="51" t="s">
        <v>278</v>
      </c>
      <c r="F2" s="51" t="s">
        <v>279</v>
      </c>
      <c r="G2" s="51" t="s">
        <v>608</v>
      </c>
      <c r="H2" s="52" t="s">
        <v>609</v>
      </c>
      <c r="I2" s="52" t="s">
        <v>610</v>
      </c>
    </row>
    <row r="3" spans="1:9" ht="33" customHeight="1">
      <c r="A3" s="61" t="s">
        <v>348</v>
      </c>
      <c r="B3" s="62" t="s">
        <v>277</v>
      </c>
      <c r="C3" s="62" t="s">
        <v>96</v>
      </c>
      <c r="D3" s="62" t="s">
        <v>349</v>
      </c>
      <c r="E3" s="62" t="s">
        <v>281</v>
      </c>
      <c r="F3" s="62" t="s">
        <v>280</v>
      </c>
      <c r="G3" s="63">
        <v>550</v>
      </c>
      <c r="H3" s="68">
        <f>0.21*G3</f>
        <v>115.5</v>
      </c>
      <c r="I3" s="68">
        <f>H3/G3</f>
        <v>0.21</v>
      </c>
    </row>
    <row r="4" spans="1:9" ht="25.2" customHeight="1">
      <c r="A4" s="61" t="s">
        <v>626</v>
      </c>
      <c r="B4" s="62" t="s">
        <v>624</v>
      </c>
      <c r="C4" s="62" t="s">
        <v>625</v>
      </c>
      <c r="D4" s="62" t="s">
        <v>534</v>
      </c>
      <c r="E4" s="62" t="s">
        <v>380</v>
      </c>
      <c r="F4" s="62" t="s">
        <v>381</v>
      </c>
      <c r="G4" s="63">
        <v>600</v>
      </c>
      <c r="H4" s="68">
        <f>G4*0.13</f>
        <v>78</v>
      </c>
      <c r="I4" s="68">
        <f>H4/G4</f>
        <v>0.13</v>
      </c>
    </row>
    <row r="5" spans="1:9" ht="25.2" customHeight="1">
      <c r="A5" s="61" t="s">
        <v>627</v>
      </c>
      <c r="B5" s="62" t="s">
        <v>624</v>
      </c>
      <c r="C5" s="62" t="s">
        <v>625</v>
      </c>
      <c r="D5" s="62" t="s">
        <v>534</v>
      </c>
      <c r="E5" s="62" t="s">
        <v>380</v>
      </c>
      <c r="F5" s="62" t="s">
        <v>381</v>
      </c>
      <c r="G5" s="63">
        <v>605</v>
      </c>
      <c r="H5" s="68">
        <f>G5*0.13</f>
        <v>78.650000000000006</v>
      </c>
      <c r="I5" s="68">
        <f>H5/G5</f>
        <v>0.13</v>
      </c>
    </row>
    <row r="6" spans="1:9" ht="25.2" customHeight="1">
      <c r="A6" s="61" t="s">
        <v>628</v>
      </c>
      <c r="B6" s="62" t="s">
        <v>624</v>
      </c>
      <c r="C6" s="62" t="s">
        <v>625</v>
      </c>
      <c r="D6" s="62" t="s">
        <v>534</v>
      </c>
      <c r="E6" s="62" t="s">
        <v>380</v>
      </c>
      <c r="F6" s="62" t="s">
        <v>381</v>
      </c>
      <c r="G6" s="63">
        <v>610</v>
      </c>
      <c r="H6" s="68">
        <f>G6*0.13</f>
        <v>79.3</v>
      </c>
      <c r="I6" s="68">
        <f>H6/G6</f>
        <v>0.13</v>
      </c>
    </row>
    <row r="7" spans="1:9">
      <c r="A7" s="61" t="s">
        <v>276</v>
      </c>
      <c r="B7" s="62" t="s">
        <v>277</v>
      </c>
      <c r="C7" s="62" t="s">
        <v>96</v>
      </c>
      <c r="D7" s="62" t="s">
        <v>130</v>
      </c>
      <c r="E7" s="62" t="s">
        <v>281</v>
      </c>
      <c r="F7" s="62" t="s">
        <v>280</v>
      </c>
      <c r="G7" s="63">
        <v>540</v>
      </c>
      <c r="H7" s="68">
        <f>0.21*G7</f>
        <v>113.39999999999999</v>
      </c>
      <c r="I7" s="68">
        <f t="shared" ref="I7:I23" si="0">H7/G7</f>
        <v>0.21</v>
      </c>
    </row>
    <row r="8" spans="1:9">
      <c r="A8" s="61" t="s">
        <v>181</v>
      </c>
      <c r="B8" s="62" t="s">
        <v>132</v>
      </c>
      <c r="C8" s="62" t="s">
        <v>96</v>
      </c>
      <c r="D8" s="62" t="s">
        <v>130</v>
      </c>
      <c r="E8" s="62" t="s">
        <v>280</v>
      </c>
      <c r="F8" s="62" t="s">
        <v>280</v>
      </c>
      <c r="G8" s="63">
        <v>500</v>
      </c>
      <c r="H8" s="68">
        <f>0.14*G8</f>
        <v>70</v>
      </c>
      <c r="I8" s="68">
        <f t="shared" si="0"/>
        <v>0.14000000000000001</v>
      </c>
    </row>
    <row r="9" spans="1:9">
      <c r="A9" s="61" t="s">
        <v>138</v>
      </c>
      <c r="B9" s="62" t="s">
        <v>132</v>
      </c>
      <c r="C9" s="62" t="s">
        <v>96</v>
      </c>
      <c r="D9" s="62" t="s">
        <v>130</v>
      </c>
      <c r="E9" s="62" t="s">
        <v>280</v>
      </c>
      <c r="F9" s="62" t="s">
        <v>280</v>
      </c>
      <c r="G9" s="63">
        <v>460</v>
      </c>
      <c r="H9" s="68">
        <f>0.15*G9</f>
        <v>69</v>
      </c>
      <c r="I9" s="68">
        <f t="shared" si="0"/>
        <v>0.15</v>
      </c>
    </row>
    <row r="10" spans="1:9">
      <c r="A10" s="61" t="s">
        <v>590</v>
      </c>
      <c r="B10" s="62" t="s">
        <v>132</v>
      </c>
      <c r="C10" s="62" t="s">
        <v>96</v>
      </c>
      <c r="D10" s="62" t="s">
        <v>130</v>
      </c>
      <c r="E10" s="62" t="s">
        <v>280</v>
      </c>
      <c r="F10" s="62" t="s">
        <v>280</v>
      </c>
      <c r="G10" s="63">
        <v>545</v>
      </c>
      <c r="H10" s="68">
        <f>0.17*G10</f>
        <v>92.65</v>
      </c>
      <c r="I10" s="68">
        <f t="shared" ref="I10" si="1">H10/G10</f>
        <v>0.17</v>
      </c>
    </row>
    <row r="11" spans="1:9">
      <c r="A11" s="61" t="s">
        <v>630</v>
      </c>
      <c r="B11" s="62" t="s">
        <v>132</v>
      </c>
      <c r="C11" s="62" t="s">
        <v>96</v>
      </c>
      <c r="D11" s="62" t="s">
        <v>130</v>
      </c>
      <c r="E11" s="62" t="s">
        <v>280</v>
      </c>
      <c r="F11" s="62" t="s">
        <v>280</v>
      </c>
      <c r="G11" s="63">
        <v>575</v>
      </c>
      <c r="H11" s="68">
        <f>0.17*G11</f>
        <v>97.75</v>
      </c>
      <c r="I11" s="68">
        <f t="shared" si="0"/>
        <v>0.17</v>
      </c>
    </row>
    <row r="12" spans="1:9">
      <c r="A12" s="61" t="s">
        <v>543</v>
      </c>
      <c r="B12" s="62" t="s">
        <v>429</v>
      </c>
      <c r="C12" s="62" t="s">
        <v>96</v>
      </c>
      <c r="D12" s="62"/>
      <c r="E12" s="62" t="s">
        <v>280</v>
      </c>
      <c r="F12" s="62" t="s">
        <v>280</v>
      </c>
      <c r="G12" s="63">
        <v>470</v>
      </c>
      <c r="H12" s="68">
        <f>0.19*G12</f>
        <v>89.3</v>
      </c>
      <c r="I12" s="68">
        <f t="shared" si="0"/>
        <v>0.19</v>
      </c>
    </row>
    <row r="13" spans="1:9">
      <c r="A13" s="61" t="s">
        <v>591</v>
      </c>
      <c r="B13" s="62" t="s">
        <v>429</v>
      </c>
      <c r="C13" s="62" t="s">
        <v>96</v>
      </c>
      <c r="D13" s="62"/>
      <c r="E13" s="62" t="s">
        <v>281</v>
      </c>
      <c r="F13" s="62" t="s">
        <v>280</v>
      </c>
      <c r="G13" s="63">
        <v>550</v>
      </c>
      <c r="H13" s="68">
        <f>0.13*G13</f>
        <v>71.5</v>
      </c>
      <c r="I13" s="68">
        <f t="shared" si="0"/>
        <v>0.13</v>
      </c>
    </row>
    <row r="14" spans="1:9">
      <c r="A14" s="61" t="s">
        <v>430</v>
      </c>
      <c r="B14" s="62" t="s">
        <v>429</v>
      </c>
      <c r="C14" s="62" t="s">
        <v>96</v>
      </c>
      <c r="D14" s="62"/>
      <c r="E14" s="62" t="s">
        <v>280</v>
      </c>
      <c r="F14" s="62" t="s">
        <v>280</v>
      </c>
      <c r="G14" s="63">
        <v>410</v>
      </c>
      <c r="H14" s="68">
        <v>92</v>
      </c>
      <c r="I14" s="68">
        <f t="shared" si="0"/>
        <v>0.22439024390243903</v>
      </c>
    </row>
    <row r="15" spans="1:9">
      <c r="A15" s="61" t="s">
        <v>413</v>
      </c>
      <c r="B15" s="62" t="s">
        <v>131</v>
      </c>
      <c r="C15" s="62" t="s">
        <v>96</v>
      </c>
      <c r="D15" s="62" t="s">
        <v>130</v>
      </c>
      <c r="E15" s="62" t="s">
        <v>280</v>
      </c>
      <c r="F15" s="62" t="s">
        <v>280</v>
      </c>
      <c r="G15" s="63">
        <v>450</v>
      </c>
      <c r="H15" s="68">
        <f>0.21*G15</f>
        <v>94.5</v>
      </c>
      <c r="I15" s="68">
        <f t="shared" si="0"/>
        <v>0.21</v>
      </c>
    </row>
    <row r="16" spans="1:9" ht="25.2" customHeight="1">
      <c r="A16" s="61" t="s">
        <v>533</v>
      </c>
      <c r="B16" s="62" t="s">
        <v>131</v>
      </c>
      <c r="C16" s="62" t="s">
        <v>96</v>
      </c>
      <c r="D16" s="62" t="s">
        <v>534</v>
      </c>
      <c r="E16" s="62" t="s">
        <v>280</v>
      </c>
      <c r="F16" s="62" t="s">
        <v>280</v>
      </c>
      <c r="G16" s="63">
        <v>445</v>
      </c>
      <c r="H16" s="68">
        <f>445*0.193</f>
        <v>85.885000000000005</v>
      </c>
      <c r="I16" s="68">
        <f t="shared" si="0"/>
        <v>0.193</v>
      </c>
    </row>
    <row r="17" spans="1:9">
      <c r="A17" s="61" t="s">
        <v>622</v>
      </c>
      <c r="B17" s="62" t="s">
        <v>131</v>
      </c>
      <c r="C17" s="62" t="s">
        <v>623</v>
      </c>
      <c r="D17" s="62" t="s">
        <v>130</v>
      </c>
      <c r="E17" s="62" t="s">
        <v>281</v>
      </c>
      <c r="F17" s="62" t="s">
        <v>280</v>
      </c>
      <c r="G17" s="63">
        <v>550</v>
      </c>
      <c r="H17" s="68">
        <v>74.47</v>
      </c>
      <c r="I17" s="68">
        <f t="shared" si="0"/>
        <v>0.13539999999999999</v>
      </c>
    </row>
    <row r="18" spans="1:9" ht="25.2" customHeight="1">
      <c r="A18" s="61" t="s">
        <v>120</v>
      </c>
      <c r="B18" s="62" t="s">
        <v>131</v>
      </c>
      <c r="C18" s="62" t="s">
        <v>96</v>
      </c>
      <c r="D18" s="62" t="s">
        <v>130</v>
      </c>
      <c r="E18" s="62" t="s">
        <v>280</v>
      </c>
      <c r="F18" s="62" t="s">
        <v>280</v>
      </c>
      <c r="G18" s="63">
        <v>550</v>
      </c>
      <c r="H18" s="68">
        <f>0.17*G18</f>
        <v>93.5</v>
      </c>
      <c r="I18" s="68">
        <f t="shared" ref="I18" si="2">H18/G18</f>
        <v>0.17</v>
      </c>
    </row>
    <row r="19" spans="1:9" ht="25.2" customHeight="1">
      <c r="A19" s="61" t="s">
        <v>120</v>
      </c>
      <c r="B19" s="62" t="s">
        <v>131</v>
      </c>
      <c r="C19" s="62" t="s">
        <v>96</v>
      </c>
      <c r="D19" s="62" t="s">
        <v>130</v>
      </c>
      <c r="E19" s="62" t="s">
        <v>280</v>
      </c>
      <c r="F19" s="62" t="s">
        <v>280</v>
      </c>
      <c r="G19" s="63">
        <v>550</v>
      </c>
      <c r="H19" s="68">
        <f>0.17*G19</f>
        <v>93.5</v>
      </c>
      <c r="I19" s="68">
        <f t="shared" si="0"/>
        <v>0.17</v>
      </c>
    </row>
    <row r="20" spans="1:9" ht="25.2" customHeight="1">
      <c r="A20" s="61" t="s">
        <v>328</v>
      </c>
      <c r="B20" s="62" t="s">
        <v>131</v>
      </c>
      <c r="C20" s="62" t="s">
        <v>96</v>
      </c>
      <c r="D20" s="62" t="s">
        <v>130</v>
      </c>
      <c r="E20" s="62" t="s">
        <v>280</v>
      </c>
      <c r="F20" s="62" t="s">
        <v>280</v>
      </c>
      <c r="G20" s="63">
        <v>570</v>
      </c>
      <c r="H20" s="68">
        <f>0.17*G20</f>
        <v>96.9</v>
      </c>
      <c r="I20" s="68">
        <v>0.14000000000000001</v>
      </c>
    </row>
    <row r="21" spans="1:9" ht="25.2" customHeight="1">
      <c r="A21" s="61" t="s">
        <v>549</v>
      </c>
      <c r="B21" s="62" t="s">
        <v>131</v>
      </c>
      <c r="C21" s="62" t="s">
        <v>96</v>
      </c>
      <c r="D21" s="62" t="s">
        <v>130</v>
      </c>
      <c r="E21" s="63" t="s">
        <v>380</v>
      </c>
      <c r="F21" s="62" t="s">
        <v>280</v>
      </c>
      <c r="G21" s="63">
        <v>570</v>
      </c>
      <c r="H21" s="68">
        <f>0.21*G21</f>
        <v>119.69999999999999</v>
      </c>
      <c r="I21" s="68">
        <f t="shared" si="0"/>
        <v>0.21</v>
      </c>
    </row>
    <row r="22" spans="1:9" ht="25.2" customHeight="1">
      <c r="A22" s="61" t="s">
        <v>392</v>
      </c>
      <c r="B22" s="62" t="s">
        <v>393</v>
      </c>
      <c r="C22" s="62" t="s">
        <v>96</v>
      </c>
      <c r="D22" s="62"/>
      <c r="E22" s="62" t="s">
        <v>380</v>
      </c>
      <c r="F22" s="62" t="s">
        <v>381</v>
      </c>
      <c r="G22" s="63">
        <v>405</v>
      </c>
      <c r="H22" s="68">
        <f>0.2*405</f>
        <v>81</v>
      </c>
      <c r="I22" s="68">
        <f t="shared" si="0"/>
        <v>0.2</v>
      </c>
    </row>
    <row r="23" spans="1:9" ht="46.8">
      <c r="A23" s="61" t="s">
        <v>378</v>
      </c>
      <c r="B23" s="62" t="s">
        <v>379</v>
      </c>
      <c r="C23" s="62" t="s">
        <v>387</v>
      </c>
      <c r="D23" s="62" t="s">
        <v>379</v>
      </c>
      <c r="E23" s="62" t="s">
        <v>380</v>
      </c>
      <c r="F23" s="62" t="s">
        <v>381</v>
      </c>
      <c r="G23" s="63">
        <v>440</v>
      </c>
      <c r="H23" s="68">
        <f>0.26*G23</f>
        <v>114.4</v>
      </c>
      <c r="I23" s="68">
        <f t="shared" si="0"/>
        <v>0.26</v>
      </c>
    </row>
    <row r="24" spans="1:9" ht="25.2" customHeight="1">
      <c r="A24" s="61"/>
      <c r="B24" s="62"/>
      <c r="C24" s="62"/>
      <c r="D24" s="62"/>
      <c r="E24" s="62"/>
      <c r="F24" s="62"/>
      <c r="G24" s="63"/>
      <c r="H24" s="68"/>
      <c r="I24" s="68"/>
    </row>
  </sheetData>
  <autoFilter ref="A2:H23" xr:uid="{85C1B718-4D57-4AB6-8E06-7D2F86DFF774}">
    <sortState xmlns:xlrd2="http://schemas.microsoft.com/office/spreadsheetml/2017/richdata2" ref="A3:H23">
      <sortCondition ref="A2:A23"/>
    </sortState>
  </autoFilter>
  <mergeCells count="1">
    <mergeCell ref="A1:I1"/>
  </mergeCells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70A1-0B52-407E-B745-75391DB4351E}">
  <sheetPr codeName="Hoja20">
    <tabColor theme="1" tint="0.249977111117893"/>
  </sheetPr>
  <dimension ref="A1:H10"/>
  <sheetViews>
    <sheetView showGridLines="0" zoomScale="85" zoomScaleNormal="85" workbookViewId="0">
      <selection activeCell="G8" sqref="G8"/>
    </sheetView>
  </sheetViews>
  <sheetFormatPr baseColWidth="10" defaultColWidth="11.5546875" defaultRowHeight="15.6"/>
  <cols>
    <col min="1" max="1" width="37.33203125" style="41" customWidth="1"/>
    <col min="2" max="2" width="25" style="41" customWidth="1"/>
    <col min="3" max="3" width="47.6640625" style="41" customWidth="1"/>
    <col min="4" max="4" width="18.44140625" style="41" customWidth="1"/>
    <col min="5" max="5" width="18.6640625" style="41" customWidth="1"/>
    <col min="6" max="6" width="16.6640625" style="41" customWidth="1"/>
    <col min="7" max="8" width="25.6640625" style="41" customWidth="1"/>
    <col min="9" max="16384" width="11.5546875" style="41"/>
  </cols>
  <sheetData>
    <row r="1" spans="1:8" ht="18">
      <c r="A1" s="448" t="s">
        <v>155</v>
      </c>
      <c r="B1" s="449"/>
      <c r="C1" s="449"/>
      <c r="D1" s="449"/>
      <c r="E1" s="449"/>
      <c r="F1" s="449"/>
      <c r="G1" s="450"/>
    </row>
    <row r="2" spans="1:8">
      <c r="A2" s="50" t="s">
        <v>79</v>
      </c>
      <c r="B2" s="51" t="s">
        <v>127</v>
      </c>
      <c r="C2" s="51" t="s">
        <v>83</v>
      </c>
      <c r="D2" s="51" t="s">
        <v>123</v>
      </c>
      <c r="E2" s="51" t="s">
        <v>76</v>
      </c>
      <c r="F2" s="51" t="s">
        <v>275</v>
      </c>
      <c r="G2" s="52" t="s">
        <v>91</v>
      </c>
      <c r="H2" s="52" t="s">
        <v>91</v>
      </c>
    </row>
    <row r="3" spans="1:8" s="62" customFormat="1" ht="31.2">
      <c r="A3" s="61" t="s">
        <v>153</v>
      </c>
      <c r="B3" s="62" t="s">
        <v>128</v>
      </c>
      <c r="C3" s="62" t="s">
        <v>321</v>
      </c>
      <c r="D3" s="62" t="s">
        <v>375</v>
      </c>
      <c r="E3" s="63">
        <v>5</v>
      </c>
      <c r="F3" s="63" t="s">
        <v>325</v>
      </c>
      <c r="G3" s="64">
        <v>1660</v>
      </c>
      <c r="H3" s="64">
        <f>G3/E3</f>
        <v>332</v>
      </c>
    </row>
    <row r="4" spans="1:8" s="66" customFormat="1" ht="24" customHeight="1">
      <c r="A4" s="65" t="s">
        <v>418</v>
      </c>
      <c r="B4" s="66" t="s">
        <v>157</v>
      </c>
      <c r="C4" s="66" t="s">
        <v>322</v>
      </c>
      <c r="D4" s="66" t="s">
        <v>158</v>
      </c>
      <c r="E4" s="67">
        <v>5</v>
      </c>
      <c r="F4" s="67" t="s">
        <v>325</v>
      </c>
      <c r="G4" s="68">
        <v>1695</v>
      </c>
      <c r="H4" s="64">
        <f t="shared" ref="H4:H10" si="0">G4/E4</f>
        <v>339</v>
      </c>
    </row>
    <row r="5" spans="1:8" s="66" customFormat="1" ht="31.8" customHeight="1">
      <c r="A5" s="65" t="s">
        <v>454</v>
      </c>
      <c r="B5" s="66" t="s">
        <v>410</v>
      </c>
      <c r="C5" s="66" t="s">
        <v>451</v>
      </c>
      <c r="D5" s="66" t="s">
        <v>130</v>
      </c>
      <c r="E5" s="67">
        <v>10.5</v>
      </c>
      <c r="F5" s="67" t="s">
        <v>325</v>
      </c>
      <c r="G5" s="68">
        <v>5530.63</v>
      </c>
      <c r="H5" s="64">
        <f t="shared" si="0"/>
        <v>526.72666666666669</v>
      </c>
    </row>
    <row r="6" spans="1:8" s="66" customFormat="1" ht="24" customHeight="1">
      <c r="A6" s="65" t="s">
        <v>439</v>
      </c>
      <c r="B6" s="66" t="s">
        <v>438</v>
      </c>
      <c r="C6" s="66" t="s">
        <v>440</v>
      </c>
      <c r="D6" s="66" t="s">
        <v>438</v>
      </c>
      <c r="E6" s="67">
        <v>4.8</v>
      </c>
      <c r="F6" s="67" t="s">
        <v>441</v>
      </c>
      <c r="G6" s="68">
        <v>1120</v>
      </c>
      <c r="H6" s="64">
        <f t="shared" si="0"/>
        <v>233.33333333333334</v>
      </c>
    </row>
    <row r="7" spans="1:8" s="66" customFormat="1" ht="24" customHeight="1">
      <c r="A7" s="65" t="s">
        <v>597</v>
      </c>
      <c r="B7" s="65" t="s">
        <v>581</v>
      </c>
      <c r="C7" s="66" t="s">
        <v>582</v>
      </c>
      <c r="D7" s="66" t="s">
        <v>581</v>
      </c>
      <c r="E7" s="67">
        <v>2.4</v>
      </c>
      <c r="F7" s="67" t="s">
        <v>598</v>
      </c>
      <c r="G7" s="68">
        <v>495</v>
      </c>
      <c r="H7" s="64">
        <f t="shared" ref="H7" si="1">G7/E7</f>
        <v>206.25</v>
      </c>
    </row>
    <row r="8" spans="1:8" s="66" customFormat="1" ht="24" customHeight="1">
      <c r="A8" s="65" t="s">
        <v>599</v>
      </c>
      <c r="B8" s="65" t="s">
        <v>581</v>
      </c>
      <c r="C8" s="66" t="s">
        <v>582</v>
      </c>
      <c r="D8" s="66" t="s">
        <v>581</v>
      </c>
      <c r="E8" s="67">
        <v>5.0999999999999996</v>
      </c>
      <c r="F8" s="67" t="s">
        <v>598</v>
      </c>
      <c r="G8" s="68">
        <v>1099</v>
      </c>
      <c r="H8" s="64">
        <f t="shared" ref="H8" si="2">G8/E8</f>
        <v>215.49019607843138</v>
      </c>
    </row>
    <row r="9" spans="1:8" s="66" customFormat="1" ht="24" customHeight="1">
      <c r="A9" s="65" t="s">
        <v>583</v>
      </c>
      <c r="B9" s="65" t="s">
        <v>581</v>
      </c>
      <c r="C9" s="66" t="s">
        <v>582</v>
      </c>
      <c r="D9" s="66" t="s">
        <v>581</v>
      </c>
      <c r="E9" s="67">
        <v>3.6</v>
      </c>
      <c r="F9" s="67" t="s">
        <v>325</v>
      </c>
      <c r="G9" s="68">
        <v>745.83</v>
      </c>
      <c r="H9" s="64">
        <f t="shared" si="0"/>
        <v>207.17500000000001</v>
      </c>
    </row>
    <row r="10" spans="1:8" s="66" customFormat="1" ht="24" customHeight="1">
      <c r="A10" s="65" t="s">
        <v>453</v>
      </c>
      <c r="B10" s="66" t="s">
        <v>410</v>
      </c>
      <c r="C10" s="66" t="s">
        <v>450</v>
      </c>
      <c r="D10" s="66" t="s">
        <v>130</v>
      </c>
      <c r="E10" s="67">
        <v>3.5</v>
      </c>
      <c r="F10" s="67" t="s">
        <v>325</v>
      </c>
      <c r="G10" s="68">
        <v>2027.03</v>
      </c>
      <c r="H10" s="64">
        <f t="shared" si="0"/>
        <v>579.1514285714286</v>
      </c>
    </row>
  </sheetData>
  <sheetProtection selectLockedCells="1" selectUnlockedCells="1"/>
  <mergeCells count="1">
    <mergeCell ref="A1:G1"/>
  </mergeCells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9C24-4FF9-4577-99EB-02DA15540FBB}">
  <sheetPr codeName="Hoja17">
    <tabColor theme="1" tint="0.249977111117893"/>
  </sheetPr>
  <dimension ref="A1:H34"/>
  <sheetViews>
    <sheetView showGridLines="0" topLeftCell="A7" zoomScaleNormal="100" workbookViewId="0">
      <selection activeCell="A26" sqref="A26"/>
    </sheetView>
  </sheetViews>
  <sheetFormatPr baseColWidth="10" defaultColWidth="11.5546875" defaultRowHeight="15.6"/>
  <cols>
    <col min="1" max="1" width="36.44140625" style="41" customWidth="1"/>
    <col min="2" max="2" width="98.21875" style="41" customWidth="1"/>
    <col min="3" max="3" width="15.33203125" style="41" customWidth="1"/>
    <col min="4" max="4" width="28.44140625" style="41" customWidth="1"/>
    <col min="5" max="5" width="15.88671875" style="41" customWidth="1"/>
    <col min="6" max="6" width="17.5546875" style="41" customWidth="1"/>
    <col min="7" max="7" width="18.109375" style="41" customWidth="1"/>
    <col min="8" max="8" width="22.44140625" style="41" customWidth="1"/>
    <col min="9" max="9" width="19.77734375" style="41" customWidth="1"/>
    <col min="10" max="16384" width="11.5546875" style="41"/>
  </cols>
  <sheetData>
    <row r="1" spans="1:8" ht="18">
      <c r="A1" s="448" t="s">
        <v>169</v>
      </c>
      <c r="B1" s="449"/>
      <c r="C1" s="449"/>
      <c r="D1" s="449"/>
      <c r="E1" s="449"/>
      <c r="F1" s="449"/>
      <c r="G1" s="449"/>
      <c r="H1" s="450"/>
    </row>
    <row r="2" spans="1:8">
      <c r="A2" s="50" t="s">
        <v>282</v>
      </c>
      <c r="B2" s="51" t="s">
        <v>191</v>
      </c>
      <c r="C2" s="51" t="s">
        <v>127</v>
      </c>
      <c r="D2" s="51" t="s">
        <v>72</v>
      </c>
      <c r="E2" s="51" t="s">
        <v>275</v>
      </c>
      <c r="F2" s="51" t="s">
        <v>123</v>
      </c>
      <c r="G2" s="51" t="s">
        <v>432</v>
      </c>
      <c r="H2" s="52" t="s">
        <v>129</v>
      </c>
    </row>
    <row r="3" spans="1:8">
      <c r="A3" s="61" t="s">
        <v>103</v>
      </c>
      <c r="B3" s="62"/>
      <c r="C3" s="62" t="s">
        <v>151</v>
      </c>
      <c r="D3" s="62" t="s">
        <v>151</v>
      </c>
      <c r="E3" s="62" t="s">
        <v>151</v>
      </c>
      <c r="F3" s="62" t="s">
        <v>151</v>
      </c>
      <c r="G3" s="109">
        <v>0</v>
      </c>
      <c r="H3" s="64">
        <v>0</v>
      </c>
    </row>
    <row r="4" spans="1:8">
      <c r="A4" s="65" t="s">
        <v>488</v>
      </c>
      <c r="B4" s="66" t="s">
        <v>422</v>
      </c>
      <c r="C4" s="66" t="s">
        <v>128</v>
      </c>
      <c r="D4" s="66" t="s">
        <v>73</v>
      </c>
      <c r="E4" s="67" t="s">
        <v>325</v>
      </c>
      <c r="F4" s="66" t="s">
        <v>130</v>
      </c>
      <c r="G4" s="75">
        <v>2</v>
      </c>
      <c r="H4" s="68">
        <v>462</v>
      </c>
    </row>
    <row r="5" spans="1:8">
      <c r="A5" s="65" t="s">
        <v>489</v>
      </c>
      <c r="B5" s="66" t="s">
        <v>422</v>
      </c>
      <c r="C5" s="66" t="s">
        <v>128</v>
      </c>
      <c r="D5" s="66" t="s">
        <v>73</v>
      </c>
      <c r="E5" s="67" t="s">
        <v>325</v>
      </c>
      <c r="F5" s="66" t="s">
        <v>130</v>
      </c>
      <c r="G5" s="75">
        <v>3</v>
      </c>
      <c r="H5" s="68">
        <v>545.04999999999995</v>
      </c>
    </row>
    <row r="6" spans="1:8">
      <c r="A6" s="65" t="s">
        <v>490</v>
      </c>
      <c r="B6" s="66" t="s">
        <v>422</v>
      </c>
      <c r="C6" s="66" t="s">
        <v>128</v>
      </c>
      <c r="D6" s="66" t="s">
        <v>73</v>
      </c>
      <c r="E6" s="67" t="s">
        <v>325</v>
      </c>
      <c r="F6" s="66" t="s">
        <v>130</v>
      </c>
      <c r="G6" s="75">
        <v>4</v>
      </c>
      <c r="H6" s="68">
        <v>664.95</v>
      </c>
    </row>
    <row r="7" spans="1:8">
      <c r="A7" s="65" t="s">
        <v>491</v>
      </c>
      <c r="B7" s="66" t="s">
        <v>422</v>
      </c>
      <c r="C7" s="66" t="s">
        <v>128</v>
      </c>
      <c r="D7" s="66" t="s">
        <v>73</v>
      </c>
      <c r="E7" s="67" t="s">
        <v>325</v>
      </c>
      <c r="F7" s="66" t="s">
        <v>130</v>
      </c>
      <c r="G7" s="75">
        <v>5</v>
      </c>
      <c r="H7" s="68">
        <v>722.7</v>
      </c>
    </row>
    <row r="8" spans="1:8">
      <c r="A8" s="65" t="s">
        <v>492</v>
      </c>
      <c r="B8" s="66" t="s">
        <v>422</v>
      </c>
      <c r="C8" s="66" t="s">
        <v>128</v>
      </c>
      <c r="D8" s="66" t="s">
        <v>73</v>
      </c>
      <c r="E8" s="67" t="s">
        <v>325</v>
      </c>
      <c r="F8" s="66" t="s">
        <v>130</v>
      </c>
      <c r="G8" s="75">
        <v>6</v>
      </c>
      <c r="H8" s="68">
        <v>780</v>
      </c>
    </row>
    <row r="9" spans="1:8">
      <c r="A9" s="65" t="s">
        <v>611</v>
      </c>
      <c r="B9" s="66" t="s">
        <v>422</v>
      </c>
      <c r="C9" s="66" t="s">
        <v>128</v>
      </c>
      <c r="D9" s="66" t="s">
        <v>73</v>
      </c>
      <c r="E9" s="67" t="s">
        <v>325</v>
      </c>
      <c r="F9" s="66" t="s">
        <v>130</v>
      </c>
      <c r="G9" s="75">
        <v>8</v>
      </c>
      <c r="H9" s="68">
        <v>1080</v>
      </c>
    </row>
    <row r="10" spans="1:8">
      <c r="A10" s="65" t="s">
        <v>612</v>
      </c>
      <c r="B10" s="66" t="s">
        <v>422</v>
      </c>
      <c r="C10" s="66" t="s">
        <v>128</v>
      </c>
      <c r="D10" s="66" t="s">
        <v>73</v>
      </c>
      <c r="E10" s="67" t="s">
        <v>325</v>
      </c>
      <c r="F10" s="66" t="s">
        <v>130</v>
      </c>
      <c r="G10" s="75">
        <v>10</v>
      </c>
      <c r="H10" s="68">
        <v>1200</v>
      </c>
    </row>
    <row r="11" spans="1:8">
      <c r="A11" s="65" t="s">
        <v>493</v>
      </c>
      <c r="B11" s="66" t="s">
        <v>423</v>
      </c>
      <c r="C11" s="66" t="s">
        <v>128</v>
      </c>
      <c r="D11" s="66" t="s">
        <v>74</v>
      </c>
      <c r="E11" s="67" t="s">
        <v>325</v>
      </c>
      <c r="F11" s="66" t="s">
        <v>130</v>
      </c>
      <c r="G11" s="75">
        <v>3</v>
      </c>
      <c r="H11" s="68">
        <v>840</v>
      </c>
    </row>
    <row r="12" spans="1:8">
      <c r="A12" s="65" t="s">
        <v>494</v>
      </c>
      <c r="B12" s="66" t="s">
        <v>423</v>
      </c>
      <c r="C12" s="66" t="s">
        <v>128</v>
      </c>
      <c r="D12" s="66" t="s">
        <v>74</v>
      </c>
      <c r="E12" s="67" t="s">
        <v>325</v>
      </c>
      <c r="F12" s="66" t="s">
        <v>130</v>
      </c>
      <c r="G12" s="75">
        <v>4</v>
      </c>
      <c r="H12" s="68">
        <v>870</v>
      </c>
    </row>
    <row r="13" spans="1:8">
      <c r="A13" s="65" t="s">
        <v>495</v>
      </c>
      <c r="B13" s="66" t="s">
        <v>423</v>
      </c>
      <c r="C13" s="66" t="s">
        <v>128</v>
      </c>
      <c r="D13" s="66" t="s">
        <v>74</v>
      </c>
      <c r="E13" s="67" t="s">
        <v>325</v>
      </c>
      <c r="F13" s="66" t="s">
        <v>130</v>
      </c>
      <c r="G13" s="75">
        <v>5</v>
      </c>
      <c r="H13" s="68">
        <v>913</v>
      </c>
    </row>
    <row r="14" spans="1:8">
      <c r="A14" s="65" t="s">
        <v>496</v>
      </c>
      <c r="B14" s="66" t="s">
        <v>423</v>
      </c>
      <c r="C14" s="66" t="s">
        <v>128</v>
      </c>
      <c r="D14" s="66" t="s">
        <v>74</v>
      </c>
      <c r="E14" s="67" t="s">
        <v>325</v>
      </c>
      <c r="F14" s="66" t="s">
        <v>130</v>
      </c>
      <c r="G14" s="75">
        <v>6</v>
      </c>
      <c r="H14" s="68">
        <v>1023</v>
      </c>
    </row>
    <row r="15" spans="1:8">
      <c r="A15" s="65" t="s">
        <v>506</v>
      </c>
      <c r="B15" s="66" t="s">
        <v>423</v>
      </c>
      <c r="C15" s="66" t="s">
        <v>128</v>
      </c>
      <c r="D15" s="66" t="s">
        <v>74</v>
      </c>
      <c r="E15" s="67" t="s">
        <v>325</v>
      </c>
      <c r="F15" s="66" t="s">
        <v>130</v>
      </c>
      <c r="G15" s="75">
        <v>8</v>
      </c>
      <c r="H15" s="68">
        <v>1217</v>
      </c>
    </row>
    <row r="16" spans="1:8">
      <c r="A16" s="65" t="s">
        <v>507</v>
      </c>
      <c r="B16" s="66" t="s">
        <v>423</v>
      </c>
      <c r="C16" s="66" t="s">
        <v>128</v>
      </c>
      <c r="D16" s="66" t="s">
        <v>74</v>
      </c>
      <c r="E16" s="67" t="s">
        <v>325</v>
      </c>
      <c r="F16" s="66" t="s">
        <v>130</v>
      </c>
      <c r="G16" s="75">
        <v>10</v>
      </c>
      <c r="H16" s="68">
        <v>1356.3</v>
      </c>
    </row>
    <row r="17" spans="1:8">
      <c r="A17" s="65" t="s">
        <v>508</v>
      </c>
      <c r="B17" s="66" t="s">
        <v>424</v>
      </c>
      <c r="C17" s="66" t="s">
        <v>128</v>
      </c>
      <c r="D17" s="66" t="s">
        <v>0</v>
      </c>
      <c r="E17" s="67" t="s">
        <v>325</v>
      </c>
      <c r="F17" s="66" t="s">
        <v>130</v>
      </c>
      <c r="G17" s="75">
        <v>12</v>
      </c>
      <c r="H17" s="68">
        <v>1433</v>
      </c>
    </row>
    <row r="18" spans="1:8">
      <c r="A18" s="65" t="s">
        <v>509</v>
      </c>
      <c r="B18" s="66" t="s">
        <v>424</v>
      </c>
      <c r="C18" s="66" t="s">
        <v>128</v>
      </c>
      <c r="D18" s="66" t="s">
        <v>0</v>
      </c>
      <c r="E18" s="67" t="s">
        <v>325</v>
      </c>
      <c r="F18" s="66" t="s">
        <v>130</v>
      </c>
      <c r="G18" s="75">
        <v>15</v>
      </c>
      <c r="H18" s="68">
        <v>1669</v>
      </c>
    </row>
    <row r="19" spans="1:8">
      <c r="A19" s="65" t="s">
        <v>510</v>
      </c>
      <c r="B19" s="66" t="s">
        <v>424</v>
      </c>
      <c r="C19" s="66" t="s">
        <v>128</v>
      </c>
      <c r="D19" s="66" t="s">
        <v>0</v>
      </c>
      <c r="E19" s="67" t="s">
        <v>325</v>
      </c>
      <c r="F19" s="66" t="s">
        <v>130</v>
      </c>
      <c r="G19" s="75">
        <v>17</v>
      </c>
      <c r="H19" s="68">
        <v>1716</v>
      </c>
    </row>
    <row r="20" spans="1:8">
      <c r="A20" s="65" t="s">
        <v>511</v>
      </c>
      <c r="B20" s="66" t="s">
        <v>424</v>
      </c>
      <c r="C20" s="66" t="s">
        <v>128</v>
      </c>
      <c r="D20" s="66" t="s">
        <v>0</v>
      </c>
      <c r="E20" s="67" t="s">
        <v>325</v>
      </c>
      <c r="F20" s="66" t="s">
        <v>130</v>
      </c>
      <c r="G20" s="75">
        <v>20</v>
      </c>
      <c r="H20" s="68">
        <v>1784</v>
      </c>
    </row>
    <row r="21" spans="1:8">
      <c r="A21" s="65" t="s">
        <v>512</v>
      </c>
      <c r="B21" s="66" t="s">
        <v>424</v>
      </c>
      <c r="C21" s="66" t="s">
        <v>128</v>
      </c>
      <c r="D21" s="66" t="s">
        <v>0</v>
      </c>
      <c r="E21" s="67" t="s">
        <v>325</v>
      </c>
      <c r="F21" s="66" t="s">
        <v>130</v>
      </c>
      <c r="G21" s="75">
        <v>25</v>
      </c>
      <c r="H21" s="68">
        <v>1755.21</v>
      </c>
    </row>
    <row r="22" spans="1:8">
      <c r="A22" s="65" t="s">
        <v>513</v>
      </c>
      <c r="B22" s="66" t="s">
        <v>424</v>
      </c>
      <c r="C22" s="66" t="s">
        <v>128</v>
      </c>
      <c r="D22" s="66" t="s">
        <v>0</v>
      </c>
      <c r="E22" s="67" t="s">
        <v>325</v>
      </c>
      <c r="F22" s="66" t="s">
        <v>130</v>
      </c>
      <c r="G22" s="75">
        <v>30</v>
      </c>
      <c r="H22" s="68">
        <v>2012</v>
      </c>
    </row>
    <row r="23" spans="1:8">
      <c r="A23" s="65" t="s">
        <v>514</v>
      </c>
      <c r="B23" s="66" t="s">
        <v>424</v>
      </c>
      <c r="C23" s="66" t="s">
        <v>128</v>
      </c>
      <c r="D23" s="66" t="s">
        <v>0</v>
      </c>
      <c r="E23" s="67" t="s">
        <v>325</v>
      </c>
      <c r="F23" s="66" t="s">
        <v>130</v>
      </c>
      <c r="G23" s="75">
        <v>35</v>
      </c>
      <c r="H23" s="68">
        <v>2436</v>
      </c>
    </row>
    <row r="24" spans="1:8">
      <c r="A24" s="65" t="s">
        <v>515</v>
      </c>
      <c r="B24" s="66" t="s">
        <v>424</v>
      </c>
      <c r="C24" s="66" t="s">
        <v>128</v>
      </c>
      <c r="D24" s="66" t="s">
        <v>0</v>
      </c>
      <c r="E24" s="67" t="s">
        <v>325</v>
      </c>
      <c r="F24" s="66" t="s">
        <v>130</v>
      </c>
      <c r="G24" s="75">
        <v>40</v>
      </c>
      <c r="H24" s="68">
        <v>2556</v>
      </c>
    </row>
    <row r="25" spans="1:8">
      <c r="A25" s="65" t="s">
        <v>516</v>
      </c>
      <c r="B25" s="66" t="s">
        <v>424</v>
      </c>
      <c r="C25" s="66" t="s">
        <v>128</v>
      </c>
      <c r="D25" s="66" t="s">
        <v>0</v>
      </c>
      <c r="E25" s="67" t="s">
        <v>325</v>
      </c>
      <c r="F25" s="66" t="s">
        <v>130</v>
      </c>
      <c r="G25" s="75">
        <v>50</v>
      </c>
      <c r="H25" s="68">
        <v>3033</v>
      </c>
    </row>
    <row r="26" spans="1:8">
      <c r="A26" s="65" t="s">
        <v>517</v>
      </c>
      <c r="B26" s="66" t="s">
        <v>424</v>
      </c>
      <c r="C26" s="66" t="s">
        <v>128</v>
      </c>
      <c r="D26" s="66" t="s">
        <v>0</v>
      </c>
      <c r="E26" s="67" t="s">
        <v>325</v>
      </c>
      <c r="F26" s="66" t="s">
        <v>130</v>
      </c>
      <c r="G26" s="75">
        <v>60</v>
      </c>
      <c r="H26" s="68">
        <v>3148</v>
      </c>
    </row>
    <row r="27" spans="1:8">
      <c r="A27" s="65" t="s">
        <v>518</v>
      </c>
      <c r="B27" s="66" t="s">
        <v>424</v>
      </c>
      <c r="C27" s="66" t="s">
        <v>128</v>
      </c>
      <c r="D27" s="66" t="s">
        <v>0</v>
      </c>
      <c r="E27" s="67" t="s">
        <v>325</v>
      </c>
      <c r="F27" s="66" t="s">
        <v>130</v>
      </c>
      <c r="G27" s="75">
        <v>100</v>
      </c>
      <c r="H27" s="68">
        <v>4672</v>
      </c>
    </row>
    <row r="28" spans="1:8">
      <c r="A28" s="65" t="s">
        <v>407</v>
      </c>
      <c r="B28" s="66" t="s">
        <v>403</v>
      </c>
      <c r="C28" s="66" t="s">
        <v>410</v>
      </c>
      <c r="D28" s="66" t="s">
        <v>405</v>
      </c>
      <c r="E28" s="66" t="s">
        <v>280</v>
      </c>
      <c r="F28" s="66" t="s">
        <v>406</v>
      </c>
      <c r="G28" s="283">
        <v>0.38</v>
      </c>
      <c r="H28" s="68">
        <v>131.85</v>
      </c>
    </row>
    <row r="29" spans="1:8">
      <c r="A29" s="65" t="s">
        <v>600</v>
      </c>
      <c r="B29" s="66" t="s">
        <v>601</v>
      </c>
      <c r="C29" s="66" t="s">
        <v>602</v>
      </c>
      <c r="D29" s="66" t="s">
        <v>405</v>
      </c>
      <c r="E29" s="66" t="s">
        <v>325</v>
      </c>
      <c r="F29" s="66" t="s">
        <v>534</v>
      </c>
      <c r="G29" s="283">
        <v>6</v>
      </c>
      <c r="H29" s="68">
        <v>795</v>
      </c>
    </row>
    <row r="30" spans="1:8">
      <c r="A30" s="65"/>
      <c r="B30" s="66"/>
      <c r="C30" s="66"/>
      <c r="D30" s="66"/>
      <c r="E30" s="66"/>
      <c r="F30" s="66"/>
      <c r="G30" s="283"/>
      <c r="H30" s="68"/>
    </row>
    <row r="31" spans="1:8">
      <c r="A31" s="65" t="s">
        <v>606</v>
      </c>
      <c r="B31" s="66" t="s">
        <v>594</v>
      </c>
      <c r="C31" s="66" t="s">
        <v>437</v>
      </c>
      <c r="D31" s="66" t="s">
        <v>405</v>
      </c>
      <c r="E31" s="67" t="s">
        <v>325</v>
      </c>
      <c r="F31" s="66" t="s">
        <v>375</v>
      </c>
      <c r="G31" s="283">
        <v>8</v>
      </c>
      <c r="H31" s="68">
        <v>1480</v>
      </c>
    </row>
    <row r="32" spans="1:8">
      <c r="A32" s="65" t="s">
        <v>593</v>
      </c>
      <c r="B32" s="66" t="s">
        <v>594</v>
      </c>
      <c r="C32" s="66" t="s">
        <v>437</v>
      </c>
      <c r="D32" s="66" t="s">
        <v>405</v>
      </c>
      <c r="E32" s="67" t="s">
        <v>325</v>
      </c>
      <c r="F32" s="66" t="s">
        <v>375</v>
      </c>
      <c r="G32" s="283">
        <v>5</v>
      </c>
      <c r="H32" s="68">
        <v>880</v>
      </c>
    </row>
    <row r="33" spans="1:8">
      <c r="A33" s="65" t="s">
        <v>605</v>
      </c>
      <c r="B33" s="66" t="s">
        <v>436</v>
      </c>
      <c r="C33" s="66" t="s">
        <v>437</v>
      </c>
      <c r="D33" s="66" t="s">
        <v>0</v>
      </c>
      <c r="E33" s="67" t="s">
        <v>325</v>
      </c>
      <c r="F33" s="66" t="s">
        <v>375</v>
      </c>
      <c r="G33" s="75">
        <v>10</v>
      </c>
      <c r="H33" s="68">
        <v>2050</v>
      </c>
    </row>
    <row r="34" spans="1:8">
      <c r="A34" s="65" t="s">
        <v>592</v>
      </c>
      <c r="B34" s="66" t="s">
        <v>436</v>
      </c>
      <c r="C34" s="66" t="s">
        <v>437</v>
      </c>
      <c r="D34" s="66" t="s">
        <v>0</v>
      </c>
      <c r="E34" s="67" t="s">
        <v>325</v>
      </c>
      <c r="F34" s="66" t="s">
        <v>375</v>
      </c>
      <c r="G34" s="75">
        <v>6</v>
      </c>
      <c r="H34" s="68">
        <v>999</v>
      </c>
    </row>
  </sheetData>
  <sheetProtection formatCells="0" formatColumns="0" formatRows="0" insertColumns="0" insertRows="0" insertHyperlinks="0" deleteColumns="0" deleteRows="0" autoFilter="0" pivotTables="0"/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250E-58BC-4D2D-86EA-7768799E37A9}">
  <sheetPr codeName="Hoja21">
    <tabColor theme="1" tint="0.249977111117893"/>
  </sheetPr>
  <dimension ref="A1:J12"/>
  <sheetViews>
    <sheetView showGridLines="0" zoomScale="85" zoomScaleNormal="85" workbookViewId="0">
      <selection activeCell="A3" sqref="A3"/>
    </sheetView>
  </sheetViews>
  <sheetFormatPr baseColWidth="10" defaultColWidth="11.5546875" defaultRowHeight="15.6"/>
  <cols>
    <col min="1" max="1" width="34.21875" style="41" customWidth="1"/>
    <col min="2" max="2" width="26.77734375" style="41" customWidth="1"/>
    <col min="3" max="3" width="16.33203125" style="263" customWidth="1"/>
    <col min="4" max="4" width="72.44140625" style="60" customWidth="1"/>
    <col min="5" max="5" width="16.5546875" style="263" customWidth="1"/>
    <col min="6" max="6" width="30.44140625" style="263" customWidth="1"/>
    <col min="7" max="7" width="15.5546875" style="41" customWidth="1"/>
    <col min="8" max="8" width="21.5546875" style="41" customWidth="1"/>
    <col min="9" max="9" width="5.21875" style="41" customWidth="1"/>
    <col min="10" max="10" width="30" style="41" customWidth="1"/>
    <col min="11" max="16384" width="11.5546875" style="41"/>
  </cols>
  <sheetData>
    <row r="1" spans="1:10" ht="28.2" customHeight="1">
      <c r="A1" s="469" t="s">
        <v>187</v>
      </c>
      <c r="B1" s="469"/>
      <c r="C1" s="469"/>
      <c r="D1" s="469"/>
      <c r="E1" s="469"/>
      <c r="F1" s="469"/>
    </row>
    <row r="2" spans="1:10" ht="36.6" customHeight="1">
      <c r="A2" s="51" t="s">
        <v>299</v>
      </c>
      <c r="B2" s="51" t="s">
        <v>300</v>
      </c>
      <c r="C2" s="262" t="s">
        <v>127</v>
      </c>
      <c r="D2" s="261" t="s">
        <v>83</v>
      </c>
      <c r="E2" s="262" t="s">
        <v>123</v>
      </c>
      <c r="F2" s="262" t="s">
        <v>126</v>
      </c>
      <c r="H2" s="51" t="s">
        <v>299</v>
      </c>
      <c r="J2" s="51" t="s">
        <v>300</v>
      </c>
    </row>
    <row r="3" spans="1:10" ht="100.8" customHeight="1">
      <c r="A3" s="41" t="s">
        <v>309</v>
      </c>
      <c r="C3" s="263" t="s">
        <v>145</v>
      </c>
      <c r="D3" s="60" t="s">
        <v>314</v>
      </c>
      <c r="E3" s="263" t="s">
        <v>130</v>
      </c>
      <c r="F3" s="264">
        <v>32</v>
      </c>
      <c r="H3" s="41" t="str">
        <f>estructura</f>
        <v>Coplanaria aluminio</v>
      </c>
    </row>
    <row r="4" spans="1:10" ht="87" customHeight="1">
      <c r="A4" s="41" t="s">
        <v>307</v>
      </c>
      <c r="C4" s="263" t="s">
        <v>145</v>
      </c>
      <c r="D4" s="60" t="s">
        <v>312</v>
      </c>
      <c r="E4" s="263" t="s">
        <v>130</v>
      </c>
      <c r="F4" s="264">
        <v>48</v>
      </c>
    </row>
    <row r="5" spans="1:10" ht="87" customHeight="1">
      <c r="A5" s="41" t="s">
        <v>310</v>
      </c>
      <c r="C5" s="263" t="s">
        <v>145</v>
      </c>
      <c r="D5" s="60" t="s">
        <v>313</v>
      </c>
      <c r="E5" s="263" t="s">
        <v>130</v>
      </c>
      <c r="F5" s="264">
        <v>59</v>
      </c>
    </row>
    <row r="6" spans="1:10" ht="87" customHeight="1">
      <c r="A6" s="41" t="s">
        <v>459</v>
      </c>
      <c r="C6" s="263" t="s">
        <v>145</v>
      </c>
      <c r="D6" s="60" t="s">
        <v>458</v>
      </c>
      <c r="E6" s="263" t="s">
        <v>130</v>
      </c>
      <c r="F6" s="264">
        <v>37</v>
      </c>
    </row>
    <row r="7" spans="1:10" ht="93" customHeight="1">
      <c r="A7" s="41" t="s">
        <v>308</v>
      </c>
      <c r="C7" s="263" t="s">
        <v>145</v>
      </c>
      <c r="D7" s="60" t="s">
        <v>315</v>
      </c>
      <c r="E7" s="263" t="s">
        <v>130</v>
      </c>
      <c r="F7" s="264">
        <v>24</v>
      </c>
    </row>
    <row r="8" spans="1:10" ht="96" customHeight="1">
      <c r="A8" s="41" t="s">
        <v>311</v>
      </c>
      <c r="C8" s="263" t="s">
        <v>301</v>
      </c>
      <c r="D8" s="60" t="s">
        <v>316</v>
      </c>
      <c r="E8" s="263" t="s">
        <v>130</v>
      </c>
      <c r="F8" s="264">
        <v>51</v>
      </c>
    </row>
    <row r="9" spans="1:10" ht="90" customHeight="1">
      <c r="A9" s="41" t="s">
        <v>383</v>
      </c>
      <c r="C9" s="263" t="s">
        <v>145</v>
      </c>
      <c r="D9" s="60" t="s">
        <v>317</v>
      </c>
      <c r="E9" s="263" t="s">
        <v>130</v>
      </c>
      <c r="F9" s="264">
        <v>142</v>
      </c>
    </row>
    <row r="10" spans="1:10" ht="93" customHeight="1">
      <c r="A10" s="41" t="s">
        <v>382</v>
      </c>
      <c r="C10" s="263" t="s">
        <v>145</v>
      </c>
      <c r="D10" s="60" t="s">
        <v>352</v>
      </c>
      <c r="E10" s="263" t="s">
        <v>130</v>
      </c>
      <c r="F10" s="264">
        <v>160</v>
      </c>
    </row>
    <row r="11" spans="1:10" ht="96" customHeight="1">
      <c r="A11" s="41" t="s">
        <v>384</v>
      </c>
      <c r="C11" s="263" t="s">
        <v>385</v>
      </c>
      <c r="D11" s="60" t="s">
        <v>386</v>
      </c>
      <c r="E11" s="263" t="s">
        <v>130</v>
      </c>
      <c r="F11" s="264">
        <v>280</v>
      </c>
    </row>
    <row r="12" spans="1:10" ht="96" customHeight="1">
      <c r="F12" s="264"/>
    </row>
  </sheetData>
  <sheetProtection selectLockedCells="1" selectUnlockedCells="1"/>
  <mergeCells count="1">
    <mergeCell ref="A1:F1"/>
  </mergeCells>
  <dataValidations count="1">
    <dataValidation type="list" allowBlank="1" showInputMessage="1" showErrorMessage="1" sqref="H3" xr:uid="{9FE7A0E5-CCEB-4614-A5EB-F3C7B302A89B}">
      <formula1>TIPO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E56F-3BFF-4A62-8D7D-9C1086BC5BFF}">
  <sheetPr>
    <tabColor theme="1" tint="0.249977111117893"/>
  </sheetPr>
  <dimension ref="A1:H12"/>
  <sheetViews>
    <sheetView showGridLines="0" zoomScale="85" zoomScaleNormal="85" workbookViewId="0">
      <selection activeCell="D23" sqref="D23"/>
    </sheetView>
  </sheetViews>
  <sheetFormatPr baseColWidth="10" defaultColWidth="11.5546875" defaultRowHeight="15.6"/>
  <cols>
    <col min="1" max="1" width="41.6640625" style="41" customWidth="1"/>
    <col min="2" max="2" width="15.5546875" style="41" customWidth="1"/>
    <col min="3" max="3" width="64.5546875" style="41" customWidth="1"/>
    <col min="4" max="4" width="28.33203125" style="41" customWidth="1"/>
    <col min="5" max="5" width="16.33203125" style="41" customWidth="1"/>
    <col min="6" max="6" width="15.44140625" style="41" customWidth="1"/>
    <col min="7" max="7" width="17.88671875" style="41" customWidth="1"/>
    <col min="8" max="8" width="22.5546875" style="41" customWidth="1"/>
    <col min="9" max="9" width="19.77734375" style="41" customWidth="1"/>
    <col min="10" max="16384" width="11.5546875" style="41"/>
  </cols>
  <sheetData>
    <row r="1" spans="1:8" ht="18">
      <c r="A1" s="448" t="s">
        <v>396</v>
      </c>
      <c r="B1" s="449"/>
      <c r="C1" s="449"/>
      <c r="D1" s="449"/>
      <c r="E1" s="449"/>
      <c r="F1" s="449"/>
      <c r="G1" s="449"/>
      <c r="H1" s="450"/>
    </row>
    <row r="2" spans="1:8" ht="36.6" customHeight="1">
      <c r="A2" s="50" t="s">
        <v>282</v>
      </c>
      <c r="B2" s="51" t="s">
        <v>127</v>
      </c>
      <c r="C2" s="51" t="s">
        <v>83</v>
      </c>
      <c r="D2" s="51" t="s">
        <v>123</v>
      </c>
      <c r="E2" s="51" t="s">
        <v>278</v>
      </c>
      <c r="F2" s="51" t="s">
        <v>279</v>
      </c>
      <c r="G2" s="51" t="s">
        <v>81</v>
      </c>
      <c r="H2" s="52" t="s">
        <v>126</v>
      </c>
    </row>
    <row r="3" spans="1:8" ht="48.6" customHeight="1">
      <c r="A3" s="61" t="s">
        <v>411</v>
      </c>
      <c r="B3" s="62"/>
      <c r="C3" s="62"/>
      <c r="D3" s="62"/>
      <c r="E3" s="265"/>
      <c r="F3" s="62"/>
      <c r="G3" s="63"/>
      <c r="H3" s="71"/>
    </row>
    <row r="4" spans="1:8" ht="48.6" customHeight="1">
      <c r="A4" s="61" t="s">
        <v>397</v>
      </c>
      <c r="B4" s="62" t="s">
        <v>128</v>
      </c>
      <c r="C4" s="62" t="s">
        <v>398</v>
      </c>
      <c r="D4" s="62" t="s">
        <v>128</v>
      </c>
      <c r="E4" s="265">
        <v>15</v>
      </c>
      <c r="F4" s="62"/>
      <c r="G4" s="63">
        <v>600</v>
      </c>
      <c r="H4" s="71">
        <v>44.75</v>
      </c>
    </row>
    <row r="5" spans="1:8" ht="48.6" customHeight="1">
      <c r="A5" s="61" t="s">
        <v>397</v>
      </c>
      <c r="B5" s="62" t="s">
        <v>128</v>
      </c>
      <c r="C5" s="62" t="s">
        <v>398</v>
      </c>
      <c r="D5" s="62" t="s">
        <v>128</v>
      </c>
      <c r="E5" s="265">
        <v>15</v>
      </c>
      <c r="F5" s="62"/>
      <c r="G5" s="63">
        <v>600</v>
      </c>
      <c r="H5" s="71">
        <v>46.75</v>
      </c>
    </row>
    <row r="6" spans="1:8">
      <c r="A6" s="61"/>
      <c r="B6" s="62"/>
      <c r="C6" s="62"/>
      <c r="D6" s="62"/>
      <c r="E6" s="62"/>
      <c r="F6" s="62"/>
      <c r="G6" s="63"/>
      <c r="H6" s="71"/>
    </row>
    <row r="7" spans="1:8">
      <c r="A7" s="61"/>
      <c r="B7" s="62"/>
      <c r="C7" s="62"/>
      <c r="D7" s="62"/>
      <c r="E7" s="62"/>
      <c r="F7" s="62"/>
      <c r="G7" s="63"/>
      <c r="H7" s="71"/>
    </row>
    <row r="8" spans="1:8">
      <c r="A8" s="61"/>
      <c r="B8" s="62"/>
      <c r="C8" s="62"/>
      <c r="D8" s="62"/>
      <c r="E8" s="62"/>
      <c r="F8" s="62"/>
      <c r="G8" s="63"/>
      <c r="H8" s="71"/>
    </row>
    <row r="9" spans="1:8">
      <c r="A9" s="61"/>
      <c r="B9" s="62"/>
      <c r="C9" s="62"/>
      <c r="D9" s="62"/>
      <c r="E9" s="62"/>
      <c r="F9" s="62"/>
      <c r="G9" s="63"/>
      <c r="H9" s="71"/>
    </row>
    <row r="10" spans="1:8">
      <c r="A10" s="61"/>
      <c r="B10" s="62"/>
      <c r="C10" s="62"/>
      <c r="D10" s="62"/>
      <c r="E10" s="62"/>
      <c r="F10" s="62"/>
      <c r="G10" s="63"/>
      <c r="H10" s="71"/>
    </row>
    <row r="11" spans="1:8">
      <c r="A11" s="61"/>
      <c r="B11" s="62"/>
      <c r="C11" s="62"/>
      <c r="D11" s="62"/>
      <c r="E11" s="62"/>
      <c r="F11" s="62"/>
      <c r="G11" s="63"/>
      <c r="H11" s="64"/>
    </row>
    <row r="12" spans="1:8" ht="25.2" customHeight="1">
      <c r="A12" s="61"/>
      <c r="B12" s="62"/>
      <c r="C12" s="62"/>
      <c r="D12" s="62"/>
      <c r="E12" s="62"/>
      <c r="F12" s="62"/>
      <c r="G12" s="63"/>
      <c r="H12" s="64"/>
    </row>
  </sheetData>
  <mergeCells count="1"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361E-4C04-4083-B094-BEB21037BF96}">
  <sheetPr codeName="Hoja18">
    <tabColor theme="1" tint="0.249977111117893"/>
  </sheetPr>
  <dimension ref="A1:F9"/>
  <sheetViews>
    <sheetView showGridLines="0" zoomScale="85" zoomScaleNormal="85" workbookViewId="0">
      <selection activeCell="E9" sqref="E9"/>
    </sheetView>
  </sheetViews>
  <sheetFormatPr baseColWidth="10" defaultColWidth="11.5546875" defaultRowHeight="15.6"/>
  <cols>
    <col min="1" max="1" width="40.6640625" style="41" customWidth="1"/>
    <col min="2" max="2" width="25" style="41" customWidth="1"/>
    <col min="3" max="3" width="47" style="41" customWidth="1"/>
    <col min="4" max="4" width="20.77734375" style="41" customWidth="1"/>
    <col min="5" max="5" width="39" style="41" customWidth="1"/>
    <col min="6" max="6" width="39.44140625" style="41" customWidth="1"/>
    <col min="7" max="7" width="19.77734375" style="41" customWidth="1"/>
    <col min="8" max="16384" width="11.5546875" style="41"/>
  </cols>
  <sheetData>
    <row r="1" spans="1:6" ht="18">
      <c r="A1" s="448" t="s">
        <v>154</v>
      </c>
      <c r="B1" s="449"/>
      <c r="C1" s="449"/>
      <c r="D1" s="449"/>
      <c r="E1" s="449"/>
      <c r="F1" s="450"/>
    </row>
    <row r="2" spans="1:6" ht="21" customHeight="1">
      <c r="A2" s="50" t="s">
        <v>85</v>
      </c>
      <c r="B2" s="51" t="s">
        <v>127</v>
      </c>
      <c r="C2" s="51" t="s">
        <v>83</v>
      </c>
      <c r="D2" s="51" t="s">
        <v>123</v>
      </c>
      <c r="E2" s="51" t="s">
        <v>72</v>
      </c>
      <c r="F2" s="52" t="s">
        <v>91</v>
      </c>
    </row>
    <row r="3" spans="1:6">
      <c r="A3" s="65" t="s">
        <v>443</v>
      </c>
      <c r="B3" s="66" t="s">
        <v>437</v>
      </c>
      <c r="C3" s="66" t="s">
        <v>442</v>
      </c>
      <c r="D3" s="62" t="s">
        <v>375</v>
      </c>
      <c r="E3" s="67" t="s">
        <v>90</v>
      </c>
      <c r="F3" s="68">
        <v>111.57</v>
      </c>
    </row>
    <row r="4" spans="1:6">
      <c r="A4" s="65" t="s">
        <v>595</v>
      </c>
      <c r="B4" s="66" t="s">
        <v>437</v>
      </c>
      <c r="C4" s="66" t="s">
        <v>596</v>
      </c>
      <c r="D4" s="62" t="s">
        <v>375</v>
      </c>
      <c r="E4" s="67" t="s">
        <v>90</v>
      </c>
      <c r="F4" s="68">
        <v>50</v>
      </c>
    </row>
    <row r="5" spans="1:6">
      <c r="A5" s="65" t="s">
        <v>603</v>
      </c>
      <c r="B5" s="62" t="s">
        <v>602</v>
      </c>
      <c r="C5" s="66" t="s">
        <v>604</v>
      </c>
      <c r="D5" s="62" t="s">
        <v>602</v>
      </c>
      <c r="E5" s="63" t="s">
        <v>88</v>
      </c>
      <c r="F5" s="64">
        <v>80</v>
      </c>
    </row>
    <row r="6" spans="1:6">
      <c r="A6" s="61" t="s">
        <v>86</v>
      </c>
      <c r="B6" s="62" t="s">
        <v>128</v>
      </c>
      <c r="C6" s="62" t="s">
        <v>93</v>
      </c>
      <c r="D6" s="62" t="s">
        <v>130</v>
      </c>
      <c r="E6" s="63" t="s">
        <v>88</v>
      </c>
      <c r="F6" s="64">
        <v>95</v>
      </c>
    </row>
    <row r="7" spans="1:6">
      <c r="A7" s="65" t="s">
        <v>87</v>
      </c>
      <c r="B7" s="66" t="s">
        <v>128</v>
      </c>
      <c r="C7" s="66" t="s">
        <v>94</v>
      </c>
      <c r="D7" s="62" t="s">
        <v>130</v>
      </c>
      <c r="E7" s="67" t="s">
        <v>90</v>
      </c>
      <c r="F7" s="68">
        <v>135</v>
      </c>
    </row>
    <row r="8" spans="1:6" ht="28.2" customHeight="1">
      <c r="A8" s="69" t="s">
        <v>75</v>
      </c>
      <c r="B8" s="70" t="s">
        <v>128</v>
      </c>
      <c r="C8" s="70" t="s">
        <v>95</v>
      </c>
      <c r="D8" s="62" t="s">
        <v>130</v>
      </c>
      <c r="E8" s="70" t="s">
        <v>89</v>
      </c>
      <c r="F8" s="71">
        <v>462</v>
      </c>
    </row>
    <row r="9" spans="1:6" ht="35.4" customHeight="1">
      <c r="A9" s="65" t="s">
        <v>408</v>
      </c>
      <c r="B9" s="66" t="s">
        <v>404</v>
      </c>
      <c r="C9" s="66" t="s">
        <v>409</v>
      </c>
      <c r="D9" s="62" t="s">
        <v>406</v>
      </c>
      <c r="E9" s="67" t="s">
        <v>90</v>
      </c>
      <c r="F9" s="68">
        <v>301.63</v>
      </c>
    </row>
  </sheetData>
  <sheetProtection selectLockedCells="1" selectUnlockedCells="1"/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93AE-8F18-4E7F-BF8C-989BCFE71A17}">
  <sheetPr codeName="Hoja19">
    <tabColor theme="1" tint="0.249977111117893"/>
  </sheetPr>
  <dimension ref="A1:I5"/>
  <sheetViews>
    <sheetView showGridLines="0" workbookViewId="0">
      <selection activeCell="G4" sqref="G4"/>
    </sheetView>
  </sheetViews>
  <sheetFormatPr baseColWidth="10" defaultColWidth="11.5546875" defaultRowHeight="15.6"/>
  <cols>
    <col min="1" max="1" width="31.88671875" style="41" customWidth="1"/>
    <col min="2" max="2" width="40.33203125" style="41" customWidth="1"/>
    <col min="3" max="3" width="15.88671875" style="41" customWidth="1"/>
    <col min="4" max="4" width="35.109375" style="41" customWidth="1"/>
    <col min="5" max="5" width="17.21875" style="41" customWidth="1"/>
    <col min="6" max="6" width="22.21875" style="41" customWidth="1"/>
    <col min="7" max="7" width="26.44140625" style="41" customWidth="1"/>
    <col min="8" max="8" width="19.77734375" style="41" customWidth="1"/>
    <col min="9" max="9" width="17.88671875" style="41" customWidth="1"/>
    <col min="10" max="16384" width="11.5546875" style="41"/>
  </cols>
  <sheetData>
    <row r="1" spans="1:9" ht="18">
      <c r="A1" s="448" t="s">
        <v>156</v>
      </c>
      <c r="B1" s="449"/>
      <c r="C1" s="449"/>
      <c r="D1" s="449"/>
      <c r="E1" s="449"/>
      <c r="F1" s="449"/>
      <c r="G1" s="450"/>
    </row>
    <row r="2" spans="1:9" ht="23.4" customHeight="1">
      <c r="A2" s="50" t="s">
        <v>79</v>
      </c>
      <c r="B2" s="51" t="s">
        <v>191</v>
      </c>
      <c r="C2" s="51" t="s">
        <v>127</v>
      </c>
      <c r="D2" s="51" t="s">
        <v>83</v>
      </c>
      <c r="E2" s="51" t="s">
        <v>123</v>
      </c>
      <c r="F2" s="51" t="s">
        <v>76</v>
      </c>
      <c r="G2" s="52" t="s">
        <v>91</v>
      </c>
      <c r="H2" s="41" t="s">
        <v>123</v>
      </c>
      <c r="I2" s="41" t="s">
        <v>125</v>
      </c>
    </row>
    <row r="3" spans="1:9">
      <c r="A3" s="61" t="s">
        <v>152</v>
      </c>
      <c r="B3" s="62" t="s">
        <v>394</v>
      </c>
      <c r="C3" s="62" t="s">
        <v>128</v>
      </c>
      <c r="D3" s="62" t="s">
        <v>92</v>
      </c>
      <c r="E3" s="62" t="s">
        <v>130</v>
      </c>
      <c r="F3" s="62" t="s">
        <v>70</v>
      </c>
      <c r="G3" s="64">
        <v>735</v>
      </c>
      <c r="H3" s="41" t="s">
        <v>124</v>
      </c>
      <c r="I3" s="57">
        <v>45049</v>
      </c>
    </row>
    <row r="4" spans="1:9">
      <c r="A4" s="65" t="s">
        <v>157</v>
      </c>
      <c r="B4" s="66"/>
      <c r="C4" s="66" t="s">
        <v>157</v>
      </c>
      <c r="D4" s="66" t="s">
        <v>159</v>
      </c>
      <c r="E4" s="66" t="s">
        <v>130</v>
      </c>
      <c r="F4" s="67" t="s">
        <v>70</v>
      </c>
      <c r="G4" s="68">
        <v>2191.75</v>
      </c>
      <c r="H4" s="41" t="s">
        <v>124</v>
      </c>
      <c r="I4" s="57">
        <v>45049</v>
      </c>
    </row>
    <row r="5" spans="1:9">
      <c r="A5" s="65" t="s">
        <v>444</v>
      </c>
      <c r="B5" s="66" t="s">
        <v>444</v>
      </c>
      <c r="C5" s="66" t="s">
        <v>437</v>
      </c>
      <c r="D5" s="66" t="s">
        <v>445</v>
      </c>
      <c r="E5" s="66" t="s">
        <v>446</v>
      </c>
      <c r="F5" s="66" t="s">
        <v>70</v>
      </c>
      <c r="G5" s="68">
        <v>0</v>
      </c>
      <c r="I5" s="57"/>
    </row>
  </sheetData>
  <sheetProtection selectLockedCells="1" selectUnlockedCells="1"/>
  <mergeCells count="1">
    <mergeCell ref="A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14D1-B531-4147-93FF-E155DF40DE27}">
  <sheetPr codeName="Hoja22">
    <tabColor theme="1" tint="0.249977111117893"/>
  </sheetPr>
  <dimension ref="A1:G263"/>
  <sheetViews>
    <sheetView showGridLines="0" topLeftCell="A7" zoomScale="85" zoomScaleNormal="85" workbookViewId="0">
      <selection activeCell="A4" sqref="A4"/>
    </sheetView>
  </sheetViews>
  <sheetFormatPr baseColWidth="10" defaultColWidth="11.5546875" defaultRowHeight="15.6"/>
  <cols>
    <col min="1" max="1" width="28.44140625" style="41" customWidth="1"/>
    <col min="2" max="2" width="29.77734375" style="41" customWidth="1"/>
    <col min="3" max="3" width="28.44140625" style="41" customWidth="1"/>
    <col min="4" max="4" width="28.33203125" style="41" customWidth="1"/>
    <col min="5" max="5" width="28.44140625" style="41" customWidth="1"/>
    <col min="6" max="6" width="39.44140625" style="41" customWidth="1"/>
    <col min="7" max="7" width="19.77734375" style="41" customWidth="1"/>
    <col min="8" max="16384" width="11.5546875" style="41"/>
  </cols>
  <sheetData>
    <row r="1" spans="1:7" ht="18">
      <c r="A1" s="448" t="s">
        <v>172</v>
      </c>
      <c r="B1" s="449"/>
      <c r="C1" s="449"/>
      <c r="D1" s="449"/>
      <c r="E1" s="449"/>
      <c r="F1" s="450"/>
    </row>
    <row r="2" spans="1:7" s="60" customFormat="1" ht="31.2">
      <c r="A2" s="72" t="s">
        <v>1</v>
      </c>
      <c r="B2" s="72" t="s">
        <v>83</v>
      </c>
      <c r="C2" s="72" t="s">
        <v>97</v>
      </c>
      <c r="D2" s="51" t="s">
        <v>123</v>
      </c>
      <c r="E2" s="72" t="s">
        <v>98</v>
      </c>
      <c r="F2" s="72" t="s">
        <v>99</v>
      </c>
      <c r="G2" s="60" t="s">
        <v>615</v>
      </c>
    </row>
    <row r="3" spans="1:7" s="60" customFormat="1">
      <c r="A3" s="304">
        <v>0</v>
      </c>
      <c r="B3" s="74"/>
      <c r="C3" s="75">
        <f>A3*datos!$C$63</f>
        <v>0</v>
      </c>
      <c r="D3" s="75" t="s">
        <v>133</v>
      </c>
      <c r="E3" s="76">
        <v>0</v>
      </c>
      <c r="F3" s="305">
        <v>0</v>
      </c>
      <c r="G3" s="60">
        <v>800</v>
      </c>
    </row>
    <row r="4" spans="1:7" s="60" customFormat="1">
      <c r="A4" s="304">
        <v>1</v>
      </c>
      <c r="B4" s="74"/>
      <c r="C4" s="75">
        <f>A4*datos!$C$63</f>
        <v>605</v>
      </c>
      <c r="D4" s="75" t="s">
        <v>133</v>
      </c>
      <c r="E4" s="76">
        <f t="shared" ref="E4:E5" si="0">F4/C4</f>
        <v>1.4049586776859504</v>
      </c>
      <c r="F4" s="305">
        <f t="shared" ref="F4:F5" si="1">IF(C4&lt;=3000,850,
IF(C4&lt;=3500,900,
IF(C4&lt;=4000,1050,
IF(C4&lt;=5000,1250,
IF(C4&lt;=6000,1350,
IF(C4&lt;=7000,1400,
IF(C4&lt;=8000,1450,
IF(C4&lt;=9000,1500,
IF(C4&lt;=10000,1600,
IF(C4&lt;=11000,1700,
IF(C4&lt;=12000,1800,
IF(C4&lt;=13000,1850,
IF(C4&lt;=14000,1900,
IF(C4&lt;=15000,1950,
IF(C4&lt;=16000,2000,
IF(C4&lt;=17000,2100,
IF(C4&lt;=18000,2200,
IF(C4&lt;=19000,2300,
IF(C4&lt;=20000,C4*0.118,
IF(C4&lt;=30000,C4*0.116,
IF(C4&lt;=40000,C4*0.114,
IF(C4&lt;=50000,C4*0.112,
IF(C4&lt;=60000,C4*0.11,
IF(C4&lt;=70000,C4*0.108,
IF(C4&lt;=80000,C4*0.106,
IF(C4&lt;=90000,C4*0.104,
IF(C4&lt;=100000,C4*0.102,
IF(C4&lt;=110000,C4*0.1,
IF(C4&lt;=120000,C4*0.098,
IF(C4&lt;=130000,C4*0.098,
IF(C4&lt;=140000,C4*0.098,
IF(C4&lt;=150000,C4*0.098,
IF(C4&lt;=160000,C4*0.098,
)))))))))))))))))))))))))))))))))</f>
        <v>850</v>
      </c>
    </row>
    <row r="5" spans="1:7" s="60" customFormat="1">
      <c r="A5" s="304">
        <v>2</v>
      </c>
      <c r="B5" s="74"/>
      <c r="C5" s="75">
        <f>A5*datos!$C$63</f>
        <v>1210</v>
      </c>
      <c r="D5" s="75" t="s">
        <v>133</v>
      </c>
      <c r="E5" s="76">
        <f t="shared" si="0"/>
        <v>0.7024793388429752</v>
      </c>
      <c r="F5" s="305">
        <f t="shared" si="1"/>
        <v>850</v>
      </c>
    </row>
    <row r="6" spans="1:7" s="60" customFormat="1">
      <c r="A6" s="304">
        <v>3</v>
      </c>
      <c r="B6" s="74"/>
      <c r="C6" s="75">
        <f>A6*datos!$C$63</f>
        <v>1815</v>
      </c>
      <c r="D6" s="75" t="s">
        <v>133</v>
      </c>
      <c r="E6" s="76">
        <f>F6/C6</f>
        <v>0.46831955922865015</v>
      </c>
      <c r="F6" s="305">
        <f>IF(C6&lt;=3000,850,
IF(C6&lt;=3500,900,
IF(C6&lt;=4000,1050,
IF(C6&lt;=5000,1250,
IF(C6&lt;=6000,1350,
IF(C6&lt;=7000,1400,
IF(C6&lt;=8000,1450,
IF(C6&lt;=9000,1500,
IF(C6&lt;=10000,1600,
IF(C6&lt;=11000,1700,
IF(C6&lt;=12000,1800,
IF(C6&lt;=13000,1850,
IF(C6&lt;=14000,1900,
IF(C6&lt;=15000,1950,
IF(C6&lt;=16000,2000,
IF(C6&lt;=17000,2100,
IF(C6&lt;=18000,2200,
IF(C6&lt;=19000,2300,
IF(C6&lt;=20000,C6*0.118,
IF(C6&lt;=30000,C6*0.116,
IF(C6&lt;=40000,C6*0.114,
IF(C6&lt;=50000,C6*0.112,
IF(C6&lt;=60000,C6*0.11,
IF(C6&lt;=70000,C6*0.108,
IF(C6&lt;=80000,C6*0.106,
IF(C6&lt;=90000,C6*0.104,
IF(C6&lt;=100000,C6*0.102,
IF(C6&lt;=110000,C6*0.1,
IF(C6&lt;=120000,C6*0.098,
IF(C6&lt;=130000,C6*0.098,
IF(C6&lt;=140000,C6*0.098,
IF(C6&lt;=150000,C6*0.098,
IF(C6&lt;=160000,C6*0.098,
)))))))))))))))))))))))))))))))))</f>
        <v>850</v>
      </c>
    </row>
    <row r="7" spans="1:7" s="60" customFormat="1">
      <c r="A7" s="304">
        <v>4</v>
      </c>
      <c r="B7" s="74"/>
      <c r="C7" s="75">
        <f>A7*datos!$C$63</f>
        <v>2420</v>
      </c>
      <c r="D7" s="75" t="s">
        <v>133</v>
      </c>
      <c r="E7" s="76">
        <f t="shared" ref="E7:E70" si="2">F7/C7</f>
        <v>0.3512396694214876</v>
      </c>
      <c r="F7" s="305">
        <f t="shared" ref="F7:F70" si="3">IF(C7&lt;=3000,850,
IF(C7&lt;=3500,900,
IF(C7&lt;=4000,1050,
IF(C7&lt;=5000,1250,
IF(C7&lt;=6000,1350,
IF(C7&lt;=7000,1400,
IF(C7&lt;=8000,1450,
IF(C7&lt;=9000,1500,
IF(C7&lt;=10000,1600,
IF(C7&lt;=11000,1700,
IF(C7&lt;=12000,1800,
IF(C7&lt;=13000,1850,
IF(C7&lt;=14000,1900,
IF(C7&lt;=15000,1950,
IF(C7&lt;=16000,2000,
IF(C7&lt;=17000,2100,
IF(C7&lt;=18000,2200,
IF(C7&lt;=19000,2300,
IF(C7&lt;=20000,C7*0.118,
IF(C7&lt;=30000,C7*0.116,
IF(C7&lt;=40000,C7*0.114,
IF(C7&lt;=50000,C7*0.112,
IF(C7&lt;=60000,C7*0.11,
IF(C7&lt;=70000,C7*0.108,
IF(C7&lt;=80000,C7*0.106,
IF(C7&lt;=90000,C7*0.104,
IF(C7&lt;=100000,C7*0.102,
IF(C7&lt;=110000,C7*0.1,
IF(C7&lt;=120000,C7*0.098,
IF(C7&lt;=130000,C7*0.098,
IF(C7&lt;=140000,C7*0.098,
IF(C7&lt;=150000,C7*0.098,
IF(C7&lt;=160000,C7*0.098,
)))))))))))))))))))))))))))))))))</f>
        <v>850</v>
      </c>
    </row>
    <row r="8" spans="1:7" s="60" customFormat="1">
      <c r="A8" s="304">
        <v>5</v>
      </c>
      <c r="B8" s="74"/>
      <c r="C8" s="75">
        <f>A8*datos!$C$63</f>
        <v>3025</v>
      </c>
      <c r="D8" s="75" t="s">
        <v>133</v>
      </c>
      <c r="E8" s="76">
        <f t="shared" si="2"/>
        <v>0.2975206611570248</v>
      </c>
      <c r="F8" s="305">
        <f t="shared" si="3"/>
        <v>900</v>
      </c>
    </row>
    <row r="9" spans="1:7" s="60" customFormat="1">
      <c r="A9" s="304">
        <v>6</v>
      </c>
      <c r="B9" s="74"/>
      <c r="C9" s="75">
        <f>A9*datos!$C$63</f>
        <v>3630</v>
      </c>
      <c r="D9" s="75" t="s">
        <v>133</v>
      </c>
      <c r="E9" s="76">
        <f t="shared" si="2"/>
        <v>0.28925619834710742</v>
      </c>
      <c r="F9" s="305">
        <f t="shared" si="3"/>
        <v>1050</v>
      </c>
    </row>
    <row r="10" spans="1:7" s="60" customFormat="1">
      <c r="A10" s="304">
        <v>7</v>
      </c>
      <c r="B10" s="74"/>
      <c r="C10" s="75">
        <f>A10*datos!$C$63</f>
        <v>4235</v>
      </c>
      <c r="D10" s="75" t="s">
        <v>133</v>
      </c>
      <c r="E10" s="76">
        <f t="shared" si="2"/>
        <v>0.29515938606847697</v>
      </c>
      <c r="F10" s="305">
        <f t="shared" si="3"/>
        <v>1250</v>
      </c>
      <c r="G10" s="60">
        <v>1000</v>
      </c>
    </row>
    <row r="11" spans="1:7" s="60" customFormat="1">
      <c r="A11" s="304">
        <v>8</v>
      </c>
      <c r="B11" s="74"/>
      <c r="C11" s="75">
        <f>A11*datos!$C$63</f>
        <v>4840</v>
      </c>
      <c r="D11" s="75" t="s">
        <v>133</v>
      </c>
      <c r="E11" s="76">
        <f t="shared" si="2"/>
        <v>0.25826446280991733</v>
      </c>
      <c r="F11" s="305">
        <f t="shared" si="3"/>
        <v>1250</v>
      </c>
      <c r="G11" s="60">
        <v>1200</v>
      </c>
    </row>
    <row r="12" spans="1:7" s="60" customFormat="1">
      <c r="A12" s="304">
        <v>9</v>
      </c>
      <c r="B12" s="74"/>
      <c r="C12" s="75">
        <f>A12*datos!$C$63</f>
        <v>5445</v>
      </c>
      <c r="D12" s="75" t="s">
        <v>133</v>
      </c>
      <c r="E12" s="76">
        <f t="shared" si="2"/>
        <v>0.24793388429752067</v>
      </c>
      <c r="F12" s="305">
        <f t="shared" si="3"/>
        <v>1350</v>
      </c>
    </row>
    <row r="13" spans="1:7" s="60" customFormat="1">
      <c r="A13" s="304">
        <v>10</v>
      </c>
      <c r="B13" s="74"/>
      <c r="C13" s="75">
        <f>A13*datos!$C$63</f>
        <v>6050</v>
      </c>
      <c r="D13" s="75" t="s">
        <v>133</v>
      </c>
      <c r="E13" s="76">
        <f t="shared" si="2"/>
        <v>0.23140495867768596</v>
      </c>
      <c r="F13" s="305">
        <f t="shared" si="3"/>
        <v>1400</v>
      </c>
    </row>
    <row r="14" spans="1:7" s="60" customFormat="1">
      <c r="A14" s="304">
        <v>11</v>
      </c>
      <c r="B14" s="74"/>
      <c r="C14" s="75">
        <f>A14*datos!$C$63</f>
        <v>6655</v>
      </c>
      <c r="D14" s="75" t="s">
        <v>133</v>
      </c>
      <c r="E14" s="76">
        <f t="shared" si="2"/>
        <v>0.21036814425244177</v>
      </c>
      <c r="F14" s="305">
        <f t="shared" si="3"/>
        <v>1400</v>
      </c>
      <c r="G14" s="60">
        <v>1300</v>
      </c>
    </row>
    <row r="15" spans="1:7" s="60" customFormat="1">
      <c r="A15" s="304">
        <v>12</v>
      </c>
      <c r="B15" s="74"/>
      <c r="C15" s="75">
        <f>A15*datos!$C$63</f>
        <v>7260</v>
      </c>
      <c r="D15" s="75" t="s">
        <v>133</v>
      </c>
      <c r="E15" s="76">
        <f t="shared" si="2"/>
        <v>0.19972451790633608</v>
      </c>
      <c r="F15" s="305">
        <f t="shared" si="3"/>
        <v>1450</v>
      </c>
    </row>
    <row r="16" spans="1:7" s="60" customFormat="1">
      <c r="A16" s="304">
        <v>13</v>
      </c>
      <c r="B16" s="74"/>
      <c r="C16" s="75">
        <f>A16*datos!$C$63</f>
        <v>7865</v>
      </c>
      <c r="D16" s="75" t="s">
        <v>133</v>
      </c>
      <c r="E16" s="76">
        <f t="shared" si="2"/>
        <v>0.18436109345200255</v>
      </c>
      <c r="F16" s="305">
        <f t="shared" si="3"/>
        <v>1450</v>
      </c>
    </row>
    <row r="17" spans="1:6" s="60" customFormat="1">
      <c r="A17" s="304">
        <v>14</v>
      </c>
      <c r="B17" s="74"/>
      <c r="C17" s="75">
        <f>A17*datos!$C$63</f>
        <v>8470</v>
      </c>
      <c r="D17" s="75" t="s">
        <v>133</v>
      </c>
      <c r="E17" s="76">
        <f t="shared" si="2"/>
        <v>0.17709563164108619</v>
      </c>
      <c r="F17" s="305">
        <f t="shared" si="3"/>
        <v>1500</v>
      </c>
    </row>
    <row r="18" spans="1:6" s="60" customFormat="1">
      <c r="A18" s="304">
        <v>15</v>
      </c>
      <c r="B18" s="74"/>
      <c r="C18" s="75">
        <f>A18*datos!$C$63</f>
        <v>9075</v>
      </c>
      <c r="D18" s="75" t="s">
        <v>133</v>
      </c>
      <c r="E18" s="76">
        <f t="shared" si="2"/>
        <v>0.17630853994490359</v>
      </c>
      <c r="F18" s="305">
        <f t="shared" si="3"/>
        <v>1600</v>
      </c>
    </row>
    <row r="19" spans="1:6" s="60" customFormat="1">
      <c r="A19" s="304">
        <v>16</v>
      </c>
      <c r="B19" s="74"/>
      <c r="C19" s="75">
        <f>A19*datos!$C$63</f>
        <v>9680</v>
      </c>
      <c r="D19" s="75" t="s">
        <v>133</v>
      </c>
      <c r="E19" s="76">
        <f t="shared" si="2"/>
        <v>0.16528925619834711</v>
      </c>
      <c r="F19" s="305">
        <f t="shared" si="3"/>
        <v>1600</v>
      </c>
    </row>
    <row r="20" spans="1:6" s="60" customFormat="1">
      <c r="A20" s="304">
        <v>17</v>
      </c>
      <c r="B20" s="74"/>
      <c r="C20" s="75">
        <f>A20*datos!$C$63</f>
        <v>10285</v>
      </c>
      <c r="D20" s="75" t="s">
        <v>133</v>
      </c>
      <c r="E20" s="76">
        <f t="shared" si="2"/>
        <v>0.16528925619834711</v>
      </c>
      <c r="F20" s="305">
        <f t="shared" si="3"/>
        <v>1700</v>
      </c>
    </row>
    <row r="21" spans="1:6" s="60" customFormat="1">
      <c r="A21" s="304">
        <v>18</v>
      </c>
      <c r="B21" s="74"/>
      <c r="C21" s="75">
        <f>A21*datos!$C$63</f>
        <v>10890</v>
      </c>
      <c r="D21" s="75" t="s">
        <v>133</v>
      </c>
      <c r="E21" s="76">
        <f t="shared" si="2"/>
        <v>0.15610651974288339</v>
      </c>
      <c r="F21" s="305">
        <f t="shared" si="3"/>
        <v>1700</v>
      </c>
    </row>
    <row r="22" spans="1:6" s="60" customFormat="1">
      <c r="A22" s="304">
        <v>19</v>
      </c>
      <c r="B22" s="74"/>
      <c r="C22" s="75">
        <f>A22*datos!$C$63</f>
        <v>11495</v>
      </c>
      <c r="D22" s="75" t="s">
        <v>133</v>
      </c>
      <c r="E22" s="76">
        <f t="shared" si="2"/>
        <v>0.15658982166159199</v>
      </c>
      <c r="F22" s="305">
        <f t="shared" si="3"/>
        <v>1800</v>
      </c>
    </row>
    <row r="23" spans="1:6" s="60" customFormat="1">
      <c r="A23" s="304">
        <v>20</v>
      </c>
      <c r="B23" s="74"/>
      <c r="C23" s="75">
        <f>A23*datos!$C$63</f>
        <v>12100</v>
      </c>
      <c r="D23" s="75" t="s">
        <v>133</v>
      </c>
      <c r="E23" s="76">
        <f t="shared" si="2"/>
        <v>0.15289256198347106</v>
      </c>
      <c r="F23" s="305">
        <f t="shared" si="3"/>
        <v>1850</v>
      </c>
    </row>
    <row r="24" spans="1:6" s="60" customFormat="1">
      <c r="A24" s="304">
        <v>21</v>
      </c>
      <c r="B24" s="74"/>
      <c r="C24" s="75">
        <f>A24*datos!$C$63</f>
        <v>12705</v>
      </c>
      <c r="D24" s="75" t="s">
        <v>133</v>
      </c>
      <c r="E24" s="76">
        <f t="shared" si="2"/>
        <v>0.14561196379378197</v>
      </c>
      <c r="F24" s="305">
        <f t="shared" si="3"/>
        <v>1850</v>
      </c>
    </row>
    <row r="25" spans="1:6" s="60" customFormat="1">
      <c r="A25" s="304">
        <v>22</v>
      </c>
      <c r="B25" s="74"/>
      <c r="C25" s="75">
        <f>A25*datos!$C$63</f>
        <v>13310</v>
      </c>
      <c r="D25" s="75" t="s">
        <v>133</v>
      </c>
      <c r="E25" s="76">
        <f t="shared" si="2"/>
        <v>0.14274981217129978</v>
      </c>
      <c r="F25" s="305">
        <f t="shared" si="3"/>
        <v>1900</v>
      </c>
    </row>
    <row r="26" spans="1:6" s="60" customFormat="1">
      <c r="A26" s="304">
        <v>23</v>
      </c>
      <c r="B26" s="74"/>
      <c r="C26" s="75">
        <f>A26*datos!$C$63</f>
        <v>13915</v>
      </c>
      <c r="D26" s="75" t="s">
        <v>133</v>
      </c>
      <c r="E26" s="76">
        <f t="shared" si="2"/>
        <v>0.13654329859863457</v>
      </c>
      <c r="F26" s="305">
        <f t="shared" si="3"/>
        <v>1900</v>
      </c>
    </row>
    <row r="27" spans="1:6" s="60" customFormat="1">
      <c r="A27" s="304">
        <v>24</v>
      </c>
      <c r="B27" s="74"/>
      <c r="C27" s="75">
        <f>A27*datos!$C$63</f>
        <v>14520</v>
      </c>
      <c r="D27" s="75" t="s">
        <v>133</v>
      </c>
      <c r="E27" s="76">
        <f t="shared" si="2"/>
        <v>0.13429752066115702</v>
      </c>
      <c r="F27" s="305">
        <f t="shared" si="3"/>
        <v>1950</v>
      </c>
    </row>
    <row r="28" spans="1:6" s="60" customFormat="1">
      <c r="A28" s="304">
        <v>25</v>
      </c>
      <c r="B28" s="74"/>
      <c r="C28" s="75">
        <f>A28*datos!$C$63</f>
        <v>15125</v>
      </c>
      <c r="D28" s="75" t="s">
        <v>133</v>
      </c>
      <c r="E28" s="76">
        <f t="shared" si="2"/>
        <v>0.13223140495867769</v>
      </c>
      <c r="F28" s="305">
        <f t="shared" si="3"/>
        <v>2000</v>
      </c>
    </row>
    <row r="29" spans="1:6" s="60" customFormat="1">
      <c r="A29" s="304">
        <v>26</v>
      </c>
      <c r="B29" s="74"/>
      <c r="C29" s="75">
        <f>A29*datos!$C$63</f>
        <v>15730</v>
      </c>
      <c r="D29" s="75" t="s">
        <v>133</v>
      </c>
      <c r="E29" s="76">
        <f t="shared" si="2"/>
        <v>0.12714558169103624</v>
      </c>
      <c r="F29" s="305">
        <f t="shared" si="3"/>
        <v>2000</v>
      </c>
    </row>
    <row r="30" spans="1:6" s="60" customFormat="1">
      <c r="A30" s="304">
        <v>27</v>
      </c>
      <c r="B30" s="74"/>
      <c r="C30" s="75">
        <f>A30*datos!$C$63</f>
        <v>16335</v>
      </c>
      <c r="D30" s="75" t="s">
        <v>133</v>
      </c>
      <c r="E30" s="76">
        <f t="shared" si="2"/>
        <v>0.12855831037649221</v>
      </c>
      <c r="F30" s="305">
        <f t="shared" si="3"/>
        <v>2100</v>
      </c>
    </row>
    <row r="31" spans="1:6" s="60" customFormat="1">
      <c r="A31" s="304">
        <v>28</v>
      </c>
      <c r="B31" s="74"/>
      <c r="C31" s="75">
        <f>A31*datos!$C$63</f>
        <v>16940</v>
      </c>
      <c r="D31" s="75" t="s">
        <v>133</v>
      </c>
      <c r="E31" s="76">
        <f t="shared" si="2"/>
        <v>0.12396694214876033</v>
      </c>
      <c r="F31" s="305">
        <f t="shared" si="3"/>
        <v>2100</v>
      </c>
    </row>
    <row r="32" spans="1:6" s="60" customFormat="1">
      <c r="A32" s="304">
        <v>29</v>
      </c>
      <c r="B32" s="74"/>
      <c r="C32" s="75">
        <f>A32*datos!$C$63</f>
        <v>17545</v>
      </c>
      <c r="D32" s="75" t="s">
        <v>133</v>
      </c>
      <c r="E32" s="76">
        <f t="shared" si="2"/>
        <v>0.12539184952978055</v>
      </c>
      <c r="F32" s="305">
        <f t="shared" si="3"/>
        <v>2200</v>
      </c>
    </row>
    <row r="33" spans="1:6" s="60" customFormat="1">
      <c r="A33" s="304">
        <v>30</v>
      </c>
      <c r="B33" s="74"/>
      <c r="C33" s="75">
        <f>A33*datos!$C$63</f>
        <v>18150</v>
      </c>
      <c r="D33" s="75" t="s">
        <v>133</v>
      </c>
      <c r="E33" s="76">
        <f t="shared" si="2"/>
        <v>0.12672176308539945</v>
      </c>
      <c r="F33" s="305">
        <f t="shared" si="3"/>
        <v>2300</v>
      </c>
    </row>
    <row r="34" spans="1:6" s="60" customFormat="1">
      <c r="A34" s="304">
        <v>31</v>
      </c>
      <c r="B34" s="74"/>
      <c r="C34" s="75">
        <f>A34*datos!$C$63</f>
        <v>18755</v>
      </c>
      <c r="D34" s="75" t="s">
        <v>133</v>
      </c>
      <c r="E34" s="76">
        <f t="shared" si="2"/>
        <v>0.12263396427619301</v>
      </c>
      <c r="F34" s="305">
        <f t="shared" si="3"/>
        <v>2300</v>
      </c>
    </row>
    <row r="35" spans="1:6" s="60" customFormat="1">
      <c r="A35" s="304">
        <v>32</v>
      </c>
      <c r="B35" s="74"/>
      <c r="C35" s="75">
        <f>A35*datos!$C$63</f>
        <v>19360</v>
      </c>
      <c r="D35" s="75" t="s">
        <v>133</v>
      </c>
      <c r="E35" s="76">
        <f t="shared" si="2"/>
        <v>0.11800000000000001</v>
      </c>
      <c r="F35" s="305">
        <f t="shared" si="3"/>
        <v>2284.48</v>
      </c>
    </row>
    <row r="36" spans="1:6" s="60" customFormat="1">
      <c r="A36" s="304">
        <v>33</v>
      </c>
      <c r="B36" s="74"/>
      <c r="C36" s="75">
        <f>A36*datos!$C$63</f>
        <v>19965</v>
      </c>
      <c r="D36" s="75" t="s">
        <v>133</v>
      </c>
      <c r="E36" s="76">
        <f t="shared" si="2"/>
        <v>0.11799999999999999</v>
      </c>
      <c r="F36" s="305">
        <f t="shared" si="3"/>
        <v>2355.87</v>
      </c>
    </row>
    <row r="37" spans="1:6" s="60" customFormat="1">
      <c r="A37" s="304">
        <v>34</v>
      </c>
      <c r="B37" s="74"/>
      <c r="C37" s="75">
        <f>A37*datos!$C$63</f>
        <v>20570</v>
      </c>
      <c r="D37" s="75" t="s">
        <v>133</v>
      </c>
      <c r="E37" s="76">
        <f t="shared" si="2"/>
        <v>0.11600000000000002</v>
      </c>
      <c r="F37" s="305">
        <f t="shared" si="3"/>
        <v>2386.1200000000003</v>
      </c>
    </row>
    <row r="38" spans="1:6" s="60" customFormat="1">
      <c r="A38" s="304">
        <v>35</v>
      </c>
      <c r="B38" s="74"/>
      <c r="C38" s="75">
        <f>A38*datos!$C$63</f>
        <v>21175</v>
      </c>
      <c r="D38" s="75" t="s">
        <v>133</v>
      </c>
      <c r="E38" s="76">
        <f t="shared" si="2"/>
        <v>0.11600000000000001</v>
      </c>
      <c r="F38" s="305">
        <f t="shared" si="3"/>
        <v>2456.3000000000002</v>
      </c>
    </row>
    <row r="39" spans="1:6" s="60" customFormat="1">
      <c r="A39" s="304">
        <v>36</v>
      </c>
      <c r="B39" s="74"/>
      <c r="C39" s="75">
        <f>A39*datos!$C$63</f>
        <v>21780</v>
      </c>
      <c r="D39" s="75" t="s">
        <v>133</v>
      </c>
      <c r="E39" s="76">
        <f t="shared" si="2"/>
        <v>0.11600000000000001</v>
      </c>
      <c r="F39" s="305">
        <f t="shared" si="3"/>
        <v>2526.48</v>
      </c>
    </row>
    <row r="40" spans="1:6" s="60" customFormat="1">
      <c r="A40" s="304">
        <v>37</v>
      </c>
      <c r="B40" s="74"/>
      <c r="C40" s="75">
        <f>A40*datos!$C$63</f>
        <v>22385</v>
      </c>
      <c r="D40" s="75" t="s">
        <v>133</v>
      </c>
      <c r="E40" s="76">
        <f t="shared" si="2"/>
        <v>0.11600000000000002</v>
      </c>
      <c r="F40" s="305">
        <f t="shared" si="3"/>
        <v>2596.6600000000003</v>
      </c>
    </row>
    <row r="41" spans="1:6" s="60" customFormat="1">
      <c r="A41" s="304">
        <v>38</v>
      </c>
      <c r="B41" s="74"/>
      <c r="C41" s="75">
        <f>A41*datos!$C$63</f>
        <v>22990</v>
      </c>
      <c r="D41" s="75" t="s">
        <v>133</v>
      </c>
      <c r="E41" s="76">
        <f t="shared" si="2"/>
        <v>0.11600000000000001</v>
      </c>
      <c r="F41" s="305">
        <f t="shared" si="3"/>
        <v>2666.84</v>
      </c>
    </row>
    <row r="42" spans="1:6" s="60" customFormat="1">
      <c r="A42" s="304">
        <v>39</v>
      </c>
      <c r="B42" s="74"/>
      <c r="C42" s="75">
        <f>A42*datos!$C$63</f>
        <v>23595</v>
      </c>
      <c r="D42" s="75" t="s">
        <v>133</v>
      </c>
      <c r="E42" s="76">
        <f t="shared" si="2"/>
        <v>0.11600000000000001</v>
      </c>
      <c r="F42" s="305">
        <f t="shared" si="3"/>
        <v>2737.02</v>
      </c>
    </row>
    <row r="43" spans="1:6" s="60" customFormat="1">
      <c r="A43" s="304">
        <v>40</v>
      </c>
      <c r="B43" s="74"/>
      <c r="C43" s="75">
        <f>A43*datos!$C$63</f>
        <v>24200</v>
      </c>
      <c r="D43" s="75" t="s">
        <v>133</v>
      </c>
      <c r="E43" s="76">
        <f t="shared" si="2"/>
        <v>0.11600000000000001</v>
      </c>
      <c r="F43" s="305">
        <f t="shared" si="3"/>
        <v>2807.2000000000003</v>
      </c>
    </row>
    <row r="44" spans="1:6" s="60" customFormat="1">
      <c r="A44" s="304">
        <v>41</v>
      </c>
      <c r="B44" s="74"/>
      <c r="C44" s="75">
        <f>A44*datos!$C$63</f>
        <v>24805</v>
      </c>
      <c r="D44" s="75" t="s">
        <v>133</v>
      </c>
      <c r="E44" s="76">
        <f t="shared" si="2"/>
        <v>0.11600000000000001</v>
      </c>
      <c r="F44" s="305">
        <f t="shared" si="3"/>
        <v>2877.38</v>
      </c>
    </row>
    <row r="45" spans="1:6" s="60" customFormat="1">
      <c r="A45" s="304">
        <v>42</v>
      </c>
      <c r="B45" s="74"/>
      <c r="C45" s="75">
        <f>A45*datos!$C$63</f>
        <v>25410</v>
      </c>
      <c r="D45" s="75" t="s">
        <v>133</v>
      </c>
      <c r="E45" s="76">
        <f t="shared" si="2"/>
        <v>0.11599999999999999</v>
      </c>
      <c r="F45" s="305">
        <f t="shared" si="3"/>
        <v>2947.56</v>
      </c>
    </row>
    <row r="46" spans="1:6" s="60" customFormat="1">
      <c r="A46" s="304">
        <v>43</v>
      </c>
      <c r="B46" s="74"/>
      <c r="C46" s="75">
        <f>A46*datos!$C$63</f>
        <v>26015</v>
      </c>
      <c r="D46" s="75" t="s">
        <v>133</v>
      </c>
      <c r="E46" s="76">
        <f t="shared" si="2"/>
        <v>0.11600000000000001</v>
      </c>
      <c r="F46" s="305">
        <f t="shared" si="3"/>
        <v>3017.7400000000002</v>
      </c>
    </row>
    <row r="47" spans="1:6" s="60" customFormat="1">
      <c r="A47" s="304">
        <v>44</v>
      </c>
      <c r="B47" s="74"/>
      <c r="C47" s="75">
        <f>A47*datos!$C$63</f>
        <v>26620</v>
      </c>
      <c r="D47" s="75" t="s">
        <v>133</v>
      </c>
      <c r="E47" s="76">
        <f t="shared" si="2"/>
        <v>0.11600000000000001</v>
      </c>
      <c r="F47" s="305">
        <f t="shared" si="3"/>
        <v>3087.92</v>
      </c>
    </row>
    <row r="48" spans="1:6" s="60" customFormat="1">
      <c r="A48" s="304">
        <v>45</v>
      </c>
      <c r="B48" s="74"/>
      <c r="C48" s="75">
        <f>A48*datos!$C$63</f>
        <v>27225</v>
      </c>
      <c r="D48" s="75" t="s">
        <v>133</v>
      </c>
      <c r="E48" s="76">
        <f t="shared" si="2"/>
        <v>0.11600000000000002</v>
      </c>
      <c r="F48" s="305">
        <f t="shared" si="3"/>
        <v>3158.1000000000004</v>
      </c>
    </row>
    <row r="49" spans="1:6" s="60" customFormat="1">
      <c r="A49" s="304">
        <v>46</v>
      </c>
      <c r="B49" s="74"/>
      <c r="C49" s="75">
        <f>A49*datos!$C$63</f>
        <v>27830</v>
      </c>
      <c r="D49" s="75" t="s">
        <v>133</v>
      </c>
      <c r="E49" s="76">
        <f t="shared" si="2"/>
        <v>0.11600000000000001</v>
      </c>
      <c r="F49" s="305">
        <f t="shared" si="3"/>
        <v>3228.28</v>
      </c>
    </row>
    <row r="50" spans="1:6" s="60" customFormat="1">
      <c r="A50" s="304">
        <v>47</v>
      </c>
      <c r="B50" s="74"/>
      <c r="C50" s="75">
        <f>A50*datos!$C$63</f>
        <v>28435</v>
      </c>
      <c r="D50" s="75" t="s">
        <v>133</v>
      </c>
      <c r="E50" s="76">
        <f t="shared" si="2"/>
        <v>0.11600000000000001</v>
      </c>
      <c r="F50" s="305">
        <f t="shared" si="3"/>
        <v>3298.46</v>
      </c>
    </row>
    <row r="51" spans="1:6" s="60" customFormat="1">
      <c r="A51" s="304">
        <v>48</v>
      </c>
      <c r="B51" s="74"/>
      <c r="C51" s="75">
        <f>A51*datos!$C$63</f>
        <v>29040</v>
      </c>
      <c r="D51" s="75" t="s">
        <v>133</v>
      </c>
      <c r="E51" s="76">
        <f t="shared" si="2"/>
        <v>0.11600000000000001</v>
      </c>
      <c r="F51" s="305">
        <f t="shared" si="3"/>
        <v>3368.6400000000003</v>
      </c>
    </row>
    <row r="52" spans="1:6" s="60" customFormat="1">
      <c r="A52" s="304">
        <v>49</v>
      </c>
      <c r="B52" s="74"/>
      <c r="C52" s="75">
        <f>A52*datos!$C$63</f>
        <v>29645</v>
      </c>
      <c r="D52" s="75" t="s">
        <v>133</v>
      </c>
      <c r="E52" s="76">
        <f t="shared" si="2"/>
        <v>0.11600000000000001</v>
      </c>
      <c r="F52" s="305">
        <f t="shared" si="3"/>
        <v>3438.82</v>
      </c>
    </row>
    <row r="53" spans="1:6" s="60" customFormat="1">
      <c r="A53" s="304">
        <v>50</v>
      </c>
      <c r="B53" s="74"/>
      <c r="C53" s="75">
        <f>A53*datos!$C$63</f>
        <v>30250</v>
      </c>
      <c r="D53" s="75" t="s">
        <v>133</v>
      </c>
      <c r="E53" s="76">
        <f t="shared" si="2"/>
        <v>0.114</v>
      </c>
      <c r="F53" s="305">
        <f t="shared" si="3"/>
        <v>3448.5</v>
      </c>
    </row>
    <row r="54" spans="1:6" s="60" customFormat="1">
      <c r="A54" s="304">
        <v>51</v>
      </c>
      <c r="B54" s="74"/>
      <c r="C54" s="75">
        <f>A54*datos!$C$63</f>
        <v>30855</v>
      </c>
      <c r="D54" s="75" t="s">
        <v>133</v>
      </c>
      <c r="E54" s="76">
        <f t="shared" si="2"/>
        <v>0.114</v>
      </c>
      <c r="F54" s="305">
        <f t="shared" si="3"/>
        <v>3517.4700000000003</v>
      </c>
    </row>
    <row r="55" spans="1:6" s="60" customFormat="1">
      <c r="A55" s="304">
        <v>52</v>
      </c>
      <c r="B55" s="74"/>
      <c r="C55" s="75">
        <f>A55*datos!$C$63</f>
        <v>31460</v>
      </c>
      <c r="D55" s="75" t="s">
        <v>133</v>
      </c>
      <c r="E55" s="76">
        <f t="shared" si="2"/>
        <v>0.114</v>
      </c>
      <c r="F55" s="305">
        <f t="shared" si="3"/>
        <v>3586.44</v>
      </c>
    </row>
    <row r="56" spans="1:6" s="60" customFormat="1">
      <c r="A56" s="304">
        <v>53</v>
      </c>
      <c r="B56" s="74"/>
      <c r="C56" s="75">
        <f>A56*datos!$C$63</f>
        <v>32065</v>
      </c>
      <c r="D56" s="75" t="s">
        <v>133</v>
      </c>
      <c r="E56" s="76">
        <f t="shared" si="2"/>
        <v>0.114</v>
      </c>
      <c r="F56" s="305">
        <f t="shared" si="3"/>
        <v>3655.4100000000003</v>
      </c>
    </row>
    <row r="57" spans="1:6" s="60" customFormat="1">
      <c r="A57" s="304">
        <v>54</v>
      </c>
      <c r="B57" s="74"/>
      <c r="C57" s="75">
        <f>A57*datos!$C$63</f>
        <v>32670</v>
      </c>
      <c r="D57" s="75" t="s">
        <v>133</v>
      </c>
      <c r="E57" s="76">
        <f t="shared" si="2"/>
        <v>0.114</v>
      </c>
      <c r="F57" s="305">
        <f t="shared" si="3"/>
        <v>3724.38</v>
      </c>
    </row>
    <row r="58" spans="1:6" s="60" customFormat="1">
      <c r="A58" s="304">
        <v>55</v>
      </c>
      <c r="B58" s="74"/>
      <c r="C58" s="75">
        <f>A58*datos!$C$63</f>
        <v>33275</v>
      </c>
      <c r="D58" s="75" t="s">
        <v>133</v>
      </c>
      <c r="E58" s="76">
        <f t="shared" si="2"/>
        <v>0.114</v>
      </c>
      <c r="F58" s="305">
        <f t="shared" si="3"/>
        <v>3793.3500000000004</v>
      </c>
    </row>
    <row r="59" spans="1:6" s="60" customFormat="1">
      <c r="A59" s="304">
        <v>56</v>
      </c>
      <c r="B59" s="74"/>
      <c r="C59" s="75">
        <f>A59*datos!$C$63</f>
        <v>33880</v>
      </c>
      <c r="D59" s="75" t="s">
        <v>133</v>
      </c>
      <c r="E59" s="76">
        <f t="shared" si="2"/>
        <v>0.114</v>
      </c>
      <c r="F59" s="305">
        <f t="shared" si="3"/>
        <v>3862.32</v>
      </c>
    </row>
    <row r="60" spans="1:6" s="60" customFormat="1">
      <c r="A60" s="304">
        <v>57</v>
      </c>
      <c r="B60" s="74"/>
      <c r="C60" s="75">
        <f>A60*datos!$C$63</f>
        <v>34485</v>
      </c>
      <c r="D60" s="75" t="s">
        <v>133</v>
      </c>
      <c r="E60" s="76">
        <f t="shared" si="2"/>
        <v>0.114</v>
      </c>
      <c r="F60" s="305">
        <f t="shared" si="3"/>
        <v>3931.29</v>
      </c>
    </row>
    <row r="61" spans="1:6" s="60" customFormat="1">
      <c r="A61" s="304">
        <v>58</v>
      </c>
      <c r="B61" s="74"/>
      <c r="C61" s="75">
        <f>A61*datos!$C$63</f>
        <v>35090</v>
      </c>
      <c r="D61" s="75" t="s">
        <v>133</v>
      </c>
      <c r="E61" s="76">
        <f t="shared" si="2"/>
        <v>0.114</v>
      </c>
      <c r="F61" s="305">
        <f t="shared" si="3"/>
        <v>4000.26</v>
      </c>
    </row>
    <row r="62" spans="1:6" s="60" customFormat="1">
      <c r="A62" s="304">
        <v>59</v>
      </c>
      <c r="B62" s="74"/>
      <c r="C62" s="75">
        <f>A62*datos!$C$63</f>
        <v>35695</v>
      </c>
      <c r="D62" s="75" t="s">
        <v>133</v>
      </c>
      <c r="E62" s="76">
        <f t="shared" si="2"/>
        <v>0.114</v>
      </c>
      <c r="F62" s="305">
        <f t="shared" si="3"/>
        <v>4069.23</v>
      </c>
    </row>
    <row r="63" spans="1:6" s="60" customFormat="1">
      <c r="A63" s="304">
        <v>60</v>
      </c>
      <c r="B63" s="74"/>
      <c r="C63" s="75">
        <f>A63*datos!$C$63</f>
        <v>36300</v>
      </c>
      <c r="D63" s="75" t="s">
        <v>133</v>
      </c>
      <c r="E63" s="76">
        <f t="shared" si="2"/>
        <v>0.11399999999999999</v>
      </c>
      <c r="F63" s="305">
        <f t="shared" si="3"/>
        <v>4138.2</v>
      </c>
    </row>
    <row r="64" spans="1:6" s="60" customFormat="1">
      <c r="A64" s="304">
        <v>61</v>
      </c>
      <c r="B64" s="74"/>
      <c r="C64" s="75">
        <f>A64*datos!$C$63</f>
        <v>36905</v>
      </c>
      <c r="D64" s="75" t="s">
        <v>133</v>
      </c>
      <c r="E64" s="76">
        <f t="shared" si="2"/>
        <v>0.114</v>
      </c>
      <c r="F64" s="305">
        <f t="shared" si="3"/>
        <v>4207.17</v>
      </c>
    </row>
    <row r="65" spans="1:6" s="60" customFormat="1">
      <c r="A65" s="304">
        <v>62</v>
      </c>
      <c r="B65" s="74"/>
      <c r="C65" s="75">
        <f>A65*datos!$C$63</f>
        <v>37510</v>
      </c>
      <c r="D65" s="75" t="s">
        <v>133</v>
      </c>
      <c r="E65" s="76">
        <f t="shared" si="2"/>
        <v>0.114</v>
      </c>
      <c r="F65" s="305">
        <f t="shared" si="3"/>
        <v>4276.1400000000003</v>
      </c>
    </row>
    <row r="66" spans="1:6" s="60" customFormat="1">
      <c r="A66" s="304">
        <v>63</v>
      </c>
      <c r="B66" s="74"/>
      <c r="C66" s="75">
        <f>A66*datos!$C$63</f>
        <v>38115</v>
      </c>
      <c r="D66" s="75" t="s">
        <v>133</v>
      </c>
      <c r="E66" s="76">
        <f t="shared" si="2"/>
        <v>0.11400000000000002</v>
      </c>
      <c r="F66" s="305">
        <f t="shared" si="3"/>
        <v>4345.1100000000006</v>
      </c>
    </row>
    <row r="67" spans="1:6" s="60" customFormat="1">
      <c r="A67" s="304">
        <v>64</v>
      </c>
      <c r="B67" s="74"/>
      <c r="C67" s="75">
        <f>A67*datos!$C$63</f>
        <v>38720</v>
      </c>
      <c r="D67" s="75" t="s">
        <v>133</v>
      </c>
      <c r="E67" s="76">
        <f t="shared" si="2"/>
        <v>0.114</v>
      </c>
      <c r="F67" s="305">
        <f t="shared" si="3"/>
        <v>4414.08</v>
      </c>
    </row>
    <row r="68" spans="1:6" s="60" customFormat="1">
      <c r="A68" s="304">
        <v>65</v>
      </c>
      <c r="B68" s="74"/>
      <c r="C68" s="75">
        <f>A68*datos!$C$63</f>
        <v>39325</v>
      </c>
      <c r="D68" s="75" t="s">
        <v>133</v>
      </c>
      <c r="E68" s="76">
        <f t="shared" si="2"/>
        <v>0.114</v>
      </c>
      <c r="F68" s="305">
        <f t="shared" si="3"/>
        <v>4483.05</v>
      </c>
    </row>
    <row r="69" spans="1:6" s="60" customFormat="1">
      <c r="A69" s="304">
        <v>66</v>
      </c>
      <c r="B69" s="74"/>
      <c r="C69" s="75">
        <f>A69*datos!$C$63</f>
        <v>39930</v>
      </c>
      <c r="D69" s="75" t="s">
        <v>133</v>
      </c>
      <c r="E69" s="76">
        <f t="shared" si="2"/>
        <v>0.114</v>
      </c>
      <c r="F69" s="305">
        <f t="shared" si="3"/>
        <v>4552.0200000000004</v>
      </c>
    </row>
    <row r="70" spans="1:6" s="60" customFormat="1">
      <c r="A70" s="304">
        <v>67</v>
      </c>
      <c r="B70" s="74"/>
      <c r="C70" s="75">
        <f>A70*datos!$C$63</f>
        <v>40535</v>
      </c>
      <c r="D70" s="75" t="s">
        <v>133</v>
      </c>
      <c r="E70" s="76">
        <f t="shared" si="2"/>
        <v>0.112</v>
      </c>
      <c r="F70" s="305">
        <f t="shared" si="3"/>
        <v>4539.92</v>
      </c>
    </row>
    <row r="71" spans="1:6" s="60" customFormat="1">
      <c r="A71" s="304">
        <v>68</v>
      </c>
      <c r="B71" s="74"/>
      <c r="C71" s="75">
        <f>A71*datos!$C$63</f>
        <v>41140</v>
      </c>
      <c r="D71" s="75" t="s">
        <v>133</v>
      </c>
      <c r="E71" s="76">
        <f t="shared" ref="E71:E134" si="4">F71/C71</f>
        <v>0.112</v>
      </c>
      <c r="F71" s="305">
        <f t="shared" ref="F71:F134" si="5">IF(C71&lt;=3000,850,
IF(C71&lt;=3500,900,
IF(C71&lt;=4000,1050,
IF(C71&lt;=5000,1250,
IF(C71&lt;=6000,1350,
IF(C71&lt;=7000,1400,
IF(C71&lt;=8000,1450,
IF(C71&lt;=9000,1500,
IF(C71&lt;=10000,1600,
IF(C71&lt;=11000,1700,
IF(C71&lt;=12000,1800,
IF(C71&lt;=13000,1850,
IF(C71&lt;=14000,1900,
IF(C71&lt;=15000,1950,
IF(C71&lt;=16000,2000,
IF(C71&lt;=17000,2100,
IF(C71&lt;=18000,2200,
IF(C71&lt;=19000,2300,
IF(C71&lt;=20000,C71*0.118,
IF(C71&lt;=30000,C71*0.116,
IF(C71&lt;=40000,C71*0.114,
IF(C71&lt;=50000,C71*0.112,
IF(C71&lt;=60000,C71*0.11,
IF(C71&lt;=70000,C71*0.108,
IF(C71&lt;=80000,C71*0.106,
IF(C71&lt;=90000,C71*0.104,
IF(C71&lt;=100000,C71*0.102,
IF(C71&lt;=110000,C71*0.1,
IF(C71&lt;=120000,C71*0.098,
IF(C71&lt;=130000,C71*0.098,
IF(C71&lt;=140000,C71*0.098,
IF(C71&lt;=150000,C71*0.098,
IF(C71&lt;=160000,C71*0.098,
)))))))))))))))))))))))))))))))))</f>
        <v>4607.68</v>
      </c>
    </row>
    <row r="72" spans="1:6" s="60" customFormat="1">
      <c r="A72" s="304">
        <v>69</v>
      </c>
      <c r="B72" s="74"/>
      <c r="C72" s="75">
        <f>A72*datos!$C$63</f>
        <v>41745</v>
      </c>
      <c r="D72" s="75" t="s">
        <v>133</v>
      </c>
      <c r="E72" s="76">
        <f t="shared" si="4"/>
        <v>0.11200000000000002</v>
      </c>
      <c r="F72" s="305">
        <f t="shared" si="5"/>
        <v>4675.4400000000005</v>
      </c>
    </row>
    <row r="73" spans="1:6" s="60" customFormat="1">
      <c r="A73" s="304">
        <v>70</v>
      </c>
      <c r="B73" s="74"/>
      <c r="C73" s="75">
        <f>A73*datos!$C$63</f>
        <v>42350</v>
      </c>
      <c r="D73" s="75" t="s">
        <v>133</v>
      </c>
      <c r="E73" s="76">
        <f t="shared" si="4"/>
        <v>0.112</v>
      </c>
      <c r="F73" s="305">
        <f t="shared" si="5"/>
        <v>4743.2</v>
      </c>
    </row>
    <row r="74" spans="1:6" s="60" customFormat="1">
      <c r="A74" s="304">
        <v>71</v>
      </c>
      <c r="B74" s="74"/>
      <c r="C74" s="75">
        <f>A74*datos!$C$63</f>
        <v>42955</v>
      </c>
      <c r="D74" s="75" t="s">
        <v>133</v>
      </c>
      <c r="E74" s="76">
        <f t="shared" si="4"/>
        <v>0.112</v>
      </c>
      <c r="F74" s="305">
        <f t="shared" si="5"/>
        <v>4810.96</v>
      </c>
    </row>
    <row r="75" spans="1:6" s="60" customFormat="1">
      <c r="A75" s="304">
        <v>72</v>
      </c>
      <c r="B75" s="74"/>
      <c r="C75" s="75">
        <f>A75*datos!$C$63</f>
        <v>43560</v>
      </c>
      <c r="D75" s="75" t="s">
        <v>133</v>
      </c>
      <c r="E75" s="76">
        <f t="shared" si="4"/>
        <v>0.112</v>
      </c>
      <c r="F75" s="305">
        <f t="shared" si="5"/>
        <v>4878.72</v>
      </c>
    </row>
    <row r="76" spans="1:6" s="60" customFormat="1">
      <c r="A76" s="304">
        <v>73</v>
      </c>
      <c r="B76" s="74"/>
      <c r="C76" s="75">
        <f>A76*datos!$C$63</f>
        <v>44165</v>
      </c>
      <c r="D76" s="75" t="s">
        <v>133</v>
      </c>
      <c r="E76" s="76">
        <f t="shared" si="4"/>
        <v>0.11200000000000002</v>
      </c>
      <c r="F76" s="305">
        <f t="shared" si="5"/>
        <v>4946.4800000000005</v>
      </c>
    </row>
    <row r="77" spans="1:6" s="60" customFormat="1">
      <c r="A77" s="304">
        <v>74</v>
      </c>
      <c r="B77" s="74"/>
      <c r="C77" s="75">
        <f>A77*datos!$C$63</f>
        <v>44770</v>
      </c>
      <c r="D77" s="75" t="s">
        <v>133</v>
      </c>
      <c r="E77" s="76">
        <f t="shared" si="4"/>
        <v>0.11199999999999999</v>
      </c>
      <c r="F77" s="305">
        <f t="shared" si="5"/>
        <v>5014.24</v>
      </c>
    </row>
    <row r="78" spans="1:6" s="60" customFormat="1">
      <c r="A78" s="304">
        <v>75</v>
      </c>
      <c r="B78" s="74"/>
      <c r="C78" s="75">
        <f>A78*datos!$C$63</f>
        <v>45375</v>
      </c>
      <c r="D78" s="75" t="s">
        <v>133</v>
      </c>
      <c r="E78" s="76">
        <f t="shared" si="4"/>
        <v>0.112</v>
      </c>
      <c r="F78" s="305">
        <f t="shared" si="5"/>
        <v>5082</v>
      </c>
    </row>
    <row r="79" spans="1:6" s="60" customFormat="1">
      <c r="A79" s="304">
        <v>76</v>
      </c>
      <c r="B79" s="74"/>
      <c r="C79" s="75">
        <f>A79*datos!$C$63</f>
        <v>45980</v>
      </c>
      <c r="D79" s="75" t="s">
        <v>133</v>
      </c>
      <c r="E79" s="76">
        <f t="shared" si="4"/>
        <v>0.112</v>
      </c>
      <c r="F79" s="305">
        <f t="shared" si="5"/>
        <v>5149.76</v>
      </c>
    </row>
    <row r="80" spans="1:6" s="60" customFormat="1">
      <c r="A80" s="304">
        <v>77</v>
      </c>
      <c r="B80" s="74"/>
      <c r="C80" s="75">
        <f>A80*datos!$C$63</f>
        <v>46585</v>
      </c>
      <c r="D80" s="75" t="s">
        <v>133</v>
      </c>
      <c r="E80" s="76">
        <f t="shared" si="4"/>
        <v>0.11200000000000002</v>
      </c>
      <c r="F80" s="305">
        <f t="shared" si="5"/>
        <v>5217.5200000000004</v>
      </c>
    </row>
    <row r="81" spans="1:6" s="60" customFormat="1">
      <c r="A81" s="304">
        <v>78</v>
      </c>
      <c r="B81" s="74"/>
      <c r="C81" s="75">
        <f>A81*datos!$C$63</f>
        <v>47190</v>
      </c>
      <c r="D81" s="75" t="s">
        <v>133</v>
      </c>
      <c r="E81" s="76">
        <f t="shared" si="4"/>
        <v>0.11199999999999999</v>
      </c>
      <c r="F81" s="305">
        <f t="shared" si="5"/>
        <v>5285.28</v>
      </c>
    </row>
    <row r="82" spans="1:6" s="60" customFormat="1">
      <c r="A82" s="304">
        <v>79</v>
      </c>
      <c r="B82" s="74"/>
      <c r="C82" s="75">
        <f>A82*datos!$C$63</f>
        <v>47795</v>
      </c>
      <c r="D82" s="75" t="s">
        <v>133</v>
      </c>
      <c r="E82" s="76">
        <f t="shared" si="4"/>
        <v>0.112</v>
      </c>
      <c r="F82" s="305">
        <f t="shared" si="5"/>
        <v>5353.04</v>
      </c>
    </row>
    <row r="83" spans="1:6" s="60" customFormat="1">
      <c r="A83" s="304">
        <v>80</v>
      </c>
      <c r="B83" s="74"/>
      <c r="C83" s="75">
        <f>A83*datos!$C$63</f>
        <v>48400</v>
      </c>
      <c r="D83" s="75" t="s">
        <v>133</v>
      </c>
      <c r="E83" s="76">
        <f t="shared" si="4"/>
        <v>0.112</v>
      </c>
      <c r="F83" s="305">
        <f t="shared" si="5"/>
        <v>5420.8</v>
      </c>
    </row>
    <row r="84" spans="1:6" s="60" customFormat="1">
      <c r="A84" s="304">
        <v>81</v>
      </c>
      <c r="B84" s="74"/>
      <c r="C84" s="75">
        <f>A84*datos!$C$63</f>
        <v>49005</v>
      </c>
      <c r="D84" s="75" t="s">
        <v>133</v>
      </c>
      <c r="E84" s="76">
        <f t="shared" si="4"/>
        <v>0.112</v>
      </c>
      <c r="F84" s="305">
        <f t="shared" si="5"/>
        <v>5488.56</v>
      </c>
    </row>
    <row r="85" spans="1:6" s="60" customFormat="1">
      <c r="A85" s="304">
        <v>82</v>
      </c>
      <c r="B85" s="74"/>
      <c r="C85" s="75">
        <f>A85*datos!$C$63</f>
        <v>49610</v>
      </c>
      <c r="D85" s="75" t="s">
        <v>133</v>
      </c>
      <c r="E85" s="76">
        <f t="shared" si="4"/>
        <v>0.11199999999999999</v>
      </c>
      <c r="F85" s="305">
        <f t="shared" si="5"/>
        <v>5556.32</v>
      </c>
    </row>
    <row r="86" spans="1:6" s="60" customFormat="1">
      <c r="A86" s="304">
        <v>83</v>
      </c>
      <c r="B86" s="74"/>
      <c r="C86" s="75">
        <f>A86*datos!$C$63</f>
        <v>50215</v>
      </c>
      <c r="D86" s="75" t="s">
        <v>133</v>
      </c>
      <c r="E86" s="76">
        <f t="shared" si="4"/>
        <v>0.10999999999999999</v>
      </c>
      <c r="F86" s="305">
        <f t="shared" si="5"/>
        <v>5523.65</v>
      </c>
    </row>
    <row r="87" spans="1:6" s="60" customFormat="1">
      <c r="A87" s="304">
        <v>84</v>
      </c>
      <c r="B87" s="74"/>
      <c r="C87" s="75">
        <f>A87*datos!$C$63</f>
        <v>50820</v>
      </c>
      <c r="D87" s="75" t="s">
        <v>133</v>
      </c>
      <c r="E87" s="76">
        <f t="shared" si="4"/>
        <v>0.11</v>
      </c>
      <c r="F87" s="305">
        <f t="shared" si="5"/>
        <v>5590.2</v>
      </c>
    </row>
    <row r="88" spans="1:6" s="60" customFormat="1">
      <c r="A88" s="304">
        <v>85</v>
      </c>
      <c r="B88" s="74"/>
      <c r="C88" s="75">
        <f>A88*datos!$C$63</f>
        <v>51425</v>
      </c>
      <c r="D88" s="75" t="s">
        <v>133</v>
      </c>
      <c r="E88" s="76">
        <f t="shared" si="4"/>
        <v>0.11</v>
      </c>
      <c r="F88" s="305">
        <f t="shared" si="5"/>
        <v>5656.75</v>
      </c>
    </row>
    <row r="89" spans="1:6" s="60" customFormat="1">
      <c r="A89" s="304">
        <v>86</v>
      </c>
      <c r="B89" s="74"/>
      <c r="C89" s="75">
        <f>A89*datos!$C$63</f>
        <v>52030</v>
      </c>
      <c r="D89" s="75" t="s">
        <v>133</v>
      </c>
      <c r="E89" s="76">
        <f t="shared" si="4"/>
        <v>0.11</v>
      </c>
      <c r="F89" s="305">
        <f t="shared" si="5"/>
        <v>5723.3</v>
      </c>
    </row>
    <row r="90" spans="1:6" s="60" customFormat="1">
      <c r="A90" s="304">
        <v>87</v>
      </c>
      <c r="B90" s="74"/>
      <c r="C90" s="75">
        <f>A90*datos!$C$63</f>
        <v>52635</v>
      </c>
      <c r="D90" s="75" t="s">
        <v>133</v>
      </c>
      <c r="E90" s="76">
        <f t="shared" si="4"/>
        <v>0.11</v>
      </c>
      <c r="F90" s="305">
        <f t="shared" si="5"/>
        <v>5789.85</v>
      </c>
    </row>
    <row r="91" spans="1:6" s="60" customFormat="1">
      <c r="A91" s="304">
        <v>88</v>
      </c>
      <c r="B91" s="74"/>
      <c r="C91" s="75">
        <f>A91*datos!$C$63</f>
        <v>53240</v>
      </c>
      <c r="D91" s="75" t="s">
        <v>133</v>
      </c>
      <c r="E91" s="76">
        <f t="shared" si="4"/>
        <v>0.10999999999999999</v>
      </c>
      <c r="F91" s="305">
        <f t="shared" si="5"/>
        <v>5856.4</v>
      </c>
    </row>
    <row r="92" spans="1:6" s="60" customFormat="1">
      <c r="A92" s="304">
        <v>89</v>
      </c>
      <c r="B92" s="74"/>
      <c r="C92" s="75">
        <f>A92*datos!$C$63</f>
        <v>53845</v>
      </c>
      <c r="D92" s="75" t="s">
        <v>133</v>
      </c>
      <c r="E92" s="76">
        <f t="shared" si="4"/>
        <v>0.11</v>
      </c>
      <c r="F92" s="305">
        <f t="shared" si="5"/>
        <v>5922.95</v>
      </c>
    </row>
    <row r="93" spans="1:6" s="60" customFormat="1">
      <c r="A93" s="304">
        <v>90</v>
      </c>
      <c r="B93" s="74"/>
      <c r="C93" s="75">
        <f>A93*datos!$C$63</f>
        <v>54450</v>
      </c>
      <c r="D93" s="75" t="s">
        <v>133</v>
      </c>
      <c r="E93" s="76">
        <f t="shared" si="4"/>
        <v>0.11</v>
      </c>
      <c r="F93" s="305">
        <f t="shared" si="5"/>
        <v>5989.5</v>
      </c>
    </row>
    <row r="94" spans="1:6" s="60" customFormat="1">
      <c r="A94" s="304">
        <v>91</v>
      </c>
      <c r="B94" s="74"/>
      <c r="C94" s="75">
        <f>A94*datos!$C$63</f>
        <v>55055</v>
      </c>
      <c r="D94" s="75" t="s">
        <v>133</v>
      </c>
      <c r="E94" s="76">
        <f t="shared" si="4"/>
        <v>0.11</v>
      </c>
      <c r="F94" s="305">
        <f t="shared" si="5"/>
        <v>6056.05</v>
      </c>
    </row>
    <row r="95" spans="1:6" s="60" customFormat="1">
      <c r="A95" s="304">
        <v>92</v>
      </c>
      <c r="B95" s="74"/>
      <c r="C95" s="75">
        <f>A95*datos!$C$63</f>
        <v>55660</v>
      </c>
      <c r="D95" s="75" t="s">
        <v>133</v>
      </c>
      <c r="E95" s="76">
        <f t="shared" si="4"/>
        <v>0.11</v>
      </c>
      <c r="F95" s="305">
        <f t="shared" si="5"/>
        <v>6122.6</v>
      </c>
    </row>
    <row r="96" spans="1:6" s="60" customFormat="1">
      <c r="A96" s="304">
        <v>93</v>
      </c>
      <c r="B96" s="74"/>
      <c r="C96" s="75">
        <f>A96*datos!$C$63</f>
        <v>56265</v>
      </c>
      <c r="D96" s="75" t="s">
        <v>133</v>
      </c>
      <c r="E96" s="76">
        <f t="shared" si="4"/>
        <v>0.10999999999999999</v>
      </c>
      <c r="F96" s="305">
        <f t="shared" si="5"/>
        <v>6189.15</v>
      </c>
    </row>
    <row r="97" spans="1:6" s="60" customFormat="1">
      <c r="A97" s="304">
        <v>94</v>
      </c>
      <c r="B97" s="74"/>
      <c r="C97" s="75">
        <f>A97*datos!$C$63</f>
        <v>56870</v>
      </c>
      <c r="D97" s="75" t="s">
        <v>133</v>
      </c>
      <c r="E97" s="76">
        <f t="shared" si="4"/>
        <v>0.11</v>
      </c>
      <c r="F97" s="305">
        <f t="shared" si="5"/>
        <v>6255.7</v>
      </c>
    </row>
    <row r="98" spans="1:6" s="60" customFormat="1">
      <c r="A98" s="304">
        <v>95</v>
      </c>
      <c r="B98" s="74"/>
      <c r="C98" s="75">
        <f>A98*datos!$C$63</f>
        <v>57475</v>
      </c>
      <c r="D98" s="75" t="s">
        <v>133</v>
      </c>
      <c r="E98" s="76">
        <f t="shared" si="4"/>
        <v>0.11</v>
      </c>
      <c r="F98" s="305">
        <f t="shared" si="5"/>
        <v>6322.25</v>
      </c>
    </row>
    <row r="99" spans="1:6" s="60" customFormat="1">
      <c r="A99" s="304">
        <v>96</v>
      </c>
      <c r="B99" s="74"/>
      <c r="C99" s="75">
        <f>A99*datos!$C$63</f>
        <v>58080</v>
      </c>
      <c r="D99" s="75" t="s">
        <v>133</v>
      </c>
      <c r="E99" s="76">
        <f t="shared" si="4"/>
        <v>0.11</v>
      </c>
      <c r="F99" s="305">
        <f t="shared" si="5"/>
        <v>6388.8</v>
      </c>
    </row>
    <row r="100" spans="1:6" s="60" customFormat="1">
      <c r="A100" s="304">
        <v>97</v>
      </c>
      <c r="B100" s="74"/>
      <c r="C100" s="75">
        <f>A100*datos!$C$63</f>
        <v>58685</v>
      </c>
      <c r="D100" s="75" t="s">
        <v>133</v>
      </c>
      <c r="E100" s="76">
        <f t="shared" si="4"/>
        <v>0.11</v>
      </c>
      <c r="F100" s="305">
        <f t="shared" si="5"/>
        <v>6455.35</v>
      </c>
    </row>
    <row r="101" spans="1:6" s="60" customFormat="1">
      <c r="A101" s="304">
        <v>98</v>
      </c>
      <c r="B101" s="74"/>
      <c r="C101" s="75">
        <f>A101*datos!$C$63</f>
        <v>59290</v>
      </c>
      <c r="D101" s="75" t="s">
        <v>133</v>
      </c>
      <c r="E101" s="76">
        <f t="shared" si="4"/>
        <v>0.11</v>
      </c>
      <c r="F101" s="305">
        <f t="shared" si="5"/>
        <v>6521.9</v>
      </c>
    </row>
    <row r="102" spans="1:6" s="60" customFormat="1">
      <c r="A102" s="304">
        <v>99</v>
      </c>
      <c r="B102" s="74"/>
      <c r="C102" s="75">
        <f>A102*datos!$C$63</f>
        <v>59895</v>
      </c>
      <c r="D102" s="75" t="s">
        <v>133</v>
      </c>
      <c r="E102" s="76">
        <f t="shared" si="4"/>
        <v>0.11</v>
      </c>
      <c r="F102" s="305">
        <f t="shared" si="5"/>
        <v>6588.45</v>
      </c>
    </row>
    <row r="103" spans="1:6" s="60" customFormat="1">
      <c r="A103" s="304">
        <v>100</v>
      </c>
      <c r="B103" s="74"/>
      <c r="C103" s="75">
        <f>A103*datos!$C$63</f>
        <v>60500</v>
      </c>
      <c r="D103" s="75" t="s">
        <v>133</v>
      </c>
      <c r="E103" s="76">
        <f t="shared" si="4"/>
        <v>0.108</v>
      </c>
      <c r="F103" s="305">
        <f t="shared" si="5"/>
        <v>6534</v>
      </c>
    </row>
    <row r="104" spans="1:6" s="60" customFormat="1">
      <c r="A104" s="304">
        <v>101</v>
      </c>
      <c r="B104" s="74"/>
      <c r="C104" s="75">
        <f>A104*datos!$C$63</f>
        <v>61105</v>
      </c>
      <c r="D104" s="75" t="s">
        <v>133</v>
      </c>
      <c r="E104" s="76">
        <f t="shared" si="4"/>
        <v>0.108</v>
      </c>
      <c r="F104" s="305">
        <f t="shared" si="5"/>
        <v>6599.34</v>
      </c>
    </row>
    <row r="105" spans="1:6" s="60" customFormat="1">
      <c r="A105" s="304">
        <v>102</v>
      </c>
      <c r="B105" s="74"/>
      <c r="C105" s="75">
        <f>A105*datos!$C$63</f>
        <v>61710</v>
      </c>
      <c r="D105" s="75" t="s">
        <v>133</v>
      </c>
      <c r="E105" s="76">
        <f t="shared" si="4"/>
        <v>0.108</v>
      </c>
      <c r="F105" s="305">
        <f t="shared" si="5"/>
        <v>6664.68</v>
      </c>
    </row>
    <row r="106" spans="1:6" s="60" customFormat="1">
      <c r="A106" s="304">
        <v>103</v>
      </c>
      <c r="B106" s="74"/>
      <c r="C106" s="75">
        <f>A106*datos!$C$63</f>
        <v>62315</v>
      </c>
      <c r="D106" s="75" t="s">
        <v>133</v>
      </c>
      <c r="E106" s="76">
        <f t="shared" si="4"/>
        <v>0.108</v>
      </c>
      <c r="F106" s="305">
        <f t="shared" si="5"/>
        <v>6730.0199999999995</v>
      </c>
    </row>
    <row r="107" spans="1:6" s="60" customFormat="1">
      <c r="A107" s="304">
        <v>104</v>
      </c>
      <c r="B107" s="74"/>
      <c r="C107" s="75">
        <f>A107*datos!$C$63</f>
        <v>62920</v>
      </c>
      <c r="D107" s="75" t="s">
        <v>133</v>
      </c>
      <c r="E107" s="76">
        <f t="shared" si="4"/>
        <v>0.108</v>
      </c>
      <c r="F107" s="305">
        <f t="shared" si="5"/>
        <v>6795.36</v>
      </c>
    </row>
    <row r="108" spans="1:6" s="60" customFormat="1">
      <c r="A108" s="304">
        <v>105</v>
      </c>
      <c r="B108" s="74"/>
      <c r="C108" s="75">
        <f>A108*datos!$C$63</f>
        <v>63525</v>
      </c>
      <c r="D108" s="75" t="s">
        <v>133</v>
      </c>
      <c r="E108" s="76">
        <f t="shared" si="4"/>
        <v>0.108</v>
      </c>
      <c r="F108" s="305">
        <f t="shared" si="5"/>
        <v>6860.7</v>
      </c>
    </row>
    <row r="109" spans="1:6" s="60" customFormat="1">
      <c r="A109" s="304">
        <v>106</v>
      </c>
      <c r="B109" s="74"/>
      <c r="C109" s="75">
        <f>A109*datos!$C$63</f>
        <v>64130</v>
      </c>
      <c r="D109" s="75" t="s">
        <v>133</v>
      </c>
      <c r="E109" s="76">
        <f t="shared" si="4"/>
        <v>0.108</v>
      </c>
      <c r="F109" s="305">
        <f t="shared" si="5"/>
        <v>6926.04</v>
      </c>
    </row>
    <row r="110" spans="1:6" s="60" customFormat="1">
      <c r="A110" s="304">
        <v>107</v>
      </c>
      <c r="B110" s="74"/>
      <c r="C110" s="75">
        <f>A110*datos!$C$63</f>
        <v>64735</v>
      </c>
      <c r="D110" s="75" t="s">
        <v>133</v>
      </c>
      <c r="E110" s="76">
        <f t="shared" si="4"/>
        <v>0.108</v>
      </c>
      <c r="F110" s="305">
        <f t="shared" si="5"/>
        <v>6991.38</v>
      </c>
    </row>
    <row r="111" spans="1:6" s="60" customFormat="1">
      <c r="A111" s="304">
        <v>108</v>
      </c>
      <c r="B111" s="74"/>
      <c r="C111" s="75">
        <f>A111*datos!$C$63</f>
        <v>65340</v>
      </c>
      <c r="D111" s="75" t="s">
        <v>133</v>
      </c>
      <c r="E111" s="76">
        <f t="shared" si="4"/>
        <v>0.108</v>
      </c>
      <c r="F111" s="305">
        <f t="shared" si="5"/>
        <v>7056.72</v>
      </c>
    </row>
    <row r="112" spans="1:6" s="60" customFormat="1">
      <c r="A112" s="304">
        <v>109</v>
      </c>
      <c r="B112" s="74"/>
      <c r="C112" s="75">
        <f>A112*datos!$C$63</f>
        <v>65945</v>
      </c>
      <c r="D112" s="75" t="s">
        <v>133</v>
      </c>
      <c r="E112" s="76">
        <f t="shared" si="4"/>
        <v>0.108</v>
      </c>
      <c r="F112" s="305">
        <f t="shared" si="5"/>
        <v>7122.0599999999995</v>
      </c>
    </row>
    <row r="113" spans="1:6" s="60" customFormat="1">
      <c r="A113" s="304">
        <v>110</v>
      </c>
      <c r="B113" s="74"/>
      <c r="C113" s="75">
        <f>A113*datos!$C$63</f>
        <v>66550</v>
      </c>
      <c r="D113" s="75" t="s">
        <v>133</v>
      </c>
      <c r="E113" s="76">
        <f t="shared" si="4"/>
        <v>0.108</v>
      </c>
      <c r="F113" s="305">
        <f t="shared" si="5"/>
        <v>7187.4</v>
      </c>
    </row>
    <row r="114" spans="1:6" s="60" customFormat="1">
      <c r="A114" s="304">
        <v>111</v>
      </c>
      <c r="B114" s="74"/>
      <c r="C114" s="75">
        <f>A114*datos!$C$63</f>
        <v>67155</v>
      </c>
      <c r="D114" s="75" t="s">
        <v>133</v>
      </c>
      <c r="E114" s="76">
        <f t="shared" si="4"/>
        <v>0.108</v>
      </c>
      <c r="F114" s="305">
        <f t="shared" si="5"/>
        <v>7252.74</v>
      </c>
    </row>
    <row r="115" spans="1:6" s="60" customFormat="1">
      <c r="A115" s="304">
        <v>112</v>
      </c>
      <c r="B115" s="74"/>
      <c r="C115" s="75">
        <f>A115*datos!$C$63</f>
        <v>67760</v>
      </c>
      <c r="D115" s="75" t="s">
        <v>133</v>
      </c>
      <c r="E115" s="76">
        <f t="shared" si="4"/>
        <v>0.108</v>
      </c>
      <c r="F115" s="305">
        <f t="shared" si="5"/>
        <v>7318.08</v>
      </c>
    </row>
    <row r="116" spans="1:6" s="60" customFormat="1">
      <c r="A116" s="304">
        <v>113</v>
      </c>
      <c r="B116" s="74"/>
      <c r="C116" s="75">
        <f>A116*datos!$C$63</f>
        <v>68365</v>
      </c>
      <c r="D116" s="75" t="s">
        <v>133</v>
      </c>
      <c r="E116" s="76">
        <f t="shared" si="4"/>
        <v>0.108</v>
      </c>
      <c r="F116" s="305">
        <f t="shared" si="5"/>
        <v>7383.42</v>
      </c>
    </row>
    <row r="117" spans="1:6" s="60" customFormat="1">
      <c r="A117" s="304">
        <v>114</v>
      </c>
      <c r="B117" s="74"/>
      <c r="C117" s="75">
        <f>A117*datos!$C$63</f>
        <v>68970</v>
      </c>
      <c r="D117" s="75" t="s">
        <v>133</v>
      </c>
      <c r="E117" s="76">
        <f t="shared" si="4"/>
        <v>0.108</v>
      </c>
      <c r="F117" s="305">
        <f t="shared" si="5"/>
        <v>7448.76</v>
      </c>
    </row>
    <row r="118" spans="1:6" s="60" customFormat="1">
      <c r="A118" s="304">
        <v>115</v>
      </c>
      <c r="B118" s="74"/>
      <c r="C118" s="75">
        <f>A118*datos!$C$63</f>
        <v>69575</v>
      </c>
      <c r="D118" s="75" t="s">
        <v>133</v>
      </c>
      <c r="E118" s="76">
        <f t="shared" si="4"/>
        <v>0.108</v>
      </c>
      <c r="F118" s="305">
        <f t="shared" si="5"/>
        <v>7514.1</v>
      </c>
    </row>
    <row r="119" spans="1:6" s="60" customFormat="1">
      <c r="A119" s="304">
        <v>116</v>
      </c>
      <c r="B119" s="74"/>
      <c r="C119" s="75">
        <f>A119*datos!$C$63</f>
        <v>70180</v>
      </c>
      <c r="D119" s="75" t="s">
        <v>133</v>
      </c>
      <c r="E119" s="76">
        <f t="shared" si="4"/>
        <v>0.106</v>
      </c>
      <c r="F119" s="305">
        <f t="shared" si="5"/>
        <v>7439.08</v>
      </c>
    </row>
    <row r="120" spans="1:6" s="60" customFormat="1">
      <c r="A120" s="304">
        <v>117</v>
      </c>
      <c r="B120" s="74"/>
      <c r="C120" s="75">
        <f>A120*datos!$C$63</f>
        <v>70785</v>
      </c>
      <c r="D120" s="75" t="s">
        <v>133</v>
      </c>
      <c r="E120" s="76">
        <f t="shared" si="4"/>
        <v>0.106</v>
      </c>
      <c r="F120" s="305">
        <f t="shared" si="5"/>
        <v>7503.21</v>
      </c>
    </row>
    <row r="121" spans="1:6" s="60" customFormat="1">
      <c r="A121" s="304">
        <v>118</v>
      </c>
      <c r="B121" s="74"/>
      <c r="C121" s="75">
        <f>A121*datos!$C$63</f>
        <v>71390</v>
      </c>
      <c r="D121" s="75" t="s">
        <v>133</v>
      </c>
      <c r="E121" s="76">
        <f t="shared" si="4"/>
        <v>0.106</v>
      </c>
      <c r="F121" s="305">
        <f t="shared" si="5"/>
        <v>7567.34</v>
      </c>
    </row>
    <row r="122" spans="1:6" s="60" customFormat="1">
      <c r="A122" s="304">
        <v>119</v>
      </c>
      <c r="B122" s="74"/>
      <c r="C122" s="75">
        <f>A122*datos!$C$63</f>
        <v>71995</v>
      </c>
      <c r="D122" s="75" t="s">
        <v>133</v>
      </c>
      <c r="E122" s="76">
        <f t="shared" si="4"/>
        <v>0.106</v>
      </c>
      <c r="F122" s="305">
        <f t="shared" si="5"/>
        <v>7631.4699999999993</v>
      </c>
    </row>
    <row r="123" spans="1:6" s="60" customFormat="1">
      <c r="A123" s="304">
        <v>120</v>
      </c>
      <c r="B123" s="74"/>
      <c r="C123" s="75">
        <f>A123*datos!$C$63</f>
        <v>72600</v>
      </c>
      <c r="D123" s="75" t="s">
        <v>133</v>
      </c>
      <c r="E123" s="76">
        <f t="shared" si="4"/>
        <v>0.106</v>
      </c>
      <c r="F123" s="305">
        <f t="shared" si="5"/>
        <v>7695.5999999999995</v>
      </c>
    </row>
    <row r="124" spans="1:6" s="60" customFormat="1">
      <c r="A124" s="304">
        <v>121</v>
      </c>
      <c r="B124" s="74"/>
      <c r="C124" s="75">
        <f>A124*datos!$C$63</f>
        <v>73205</v>
      </c>
      <c r="D124" s="75" t="s">
        <v>133</v>
      </c>
      <c r="E124" s="76">
        <f t="shared" si="4"/>
        <v>0.106</v>
      </c>
      <c r="F124" s="305">
        <f t="shared" si="5"/>
        <v>7759.73</v>
      </c>
    </row>
    <row r="125" spans="1:6" s="60" customFormat="1">
      <c r="A125" s="304">
        <v>122</v>
      </c>
      <c r="B125" s="74"/>
      <c r="C125" s="75">
        <f>A125*datos!$C$63</f>
        <v>73810</v>
      </c>
      <c r="D125" s="75" t="s">
        <v>133</v>
      </c>
      <c r="E125" s="76">
        <f t="shared" si="4"/>
        <v>0.106</v>
      </c>
      <c r="F125" s="305">
        <f t="shared" si="5"/>
        <v>7823.86</v>
      </c>
    </row>
    <row r="126" spans="1:6" s="60" customFormat="1">
      <c r="A126" s="304">
        <v>123</v>
      </c>
      <c r="B126" s="74"/>
      <c r="C126" s="75">
        <f>A126*datos!$C$63</f>
        <v>74415</v>
      </c>
      <c r="D126" s="75" t="s">
        <v>133</v>
      </c>
      <c r="E126" s="76">
        <f t="shared" si="4"/>
        <v>0.106</v>
      </c>
      <c r="F126" s="305">
        <f t="shared" si="5"/>
        <v>7887.99</v>
      </c>
    </row>
    <row r="127" spans="1:6" s="60" customFormat="1">
      <c r="A127" s="304">
        <v>124</v>
      </c>
      <c r="B127" s="74"/>
      <c r="C127" s="75">
        <f>A127*datos!$C$63</f>
        <v>75020</v>
      </c>
      <c r="D127" s="75" t="s">
        <v>133</v>
      </c>
      <c r="E127" s="76">
        <f t="shared" si="4"/>
        <v>0.106</v>
      </c>
      <c r="F127" s="305">
        <f t="shared" si="5"/>
        <v>7952.12</v>
      </c>
    </row>
    <row r="128" spans="1:6" s="60" customFormat="1">
      <c r="A128" s="304">
        <v>125</v>
      </c>
      <c r="B128" s="74"/>
      <c r="C128" s="75">
        <f>A128*datos!$C$63</f>
        <v>75625</v>
      </c>
      <c r="D128" s="75" t="s">
        <v>133</v>
      </c>
      <c r="E128" s="76">
        <f t="shared" si="4"/>
        <v>0.106</v>
      </c>
      <c r="F128" s="305">
        <f t="shared" si="5"/>
        <v>8016.25</v>
      </c>
    </row>
    <row r="129" spans="1:6" s="60" customFormat="1">
      <c r="A129" s="304">
        <v>126</v>
      </c>
      <c r="B129" s="74"/>
      <c r="C129" s="75">
        <f>A129*datos!$C$63</f>
        <v>76230</v>
      </c>
      <c r="D129" s="75" t="s">
        <v>133</v>
      </c>
      <c r="E129" s="76">
        <f t="shared" si="4"/>
        <v>0.106</v>
      </c>
      <c r="F129" s="305">
        <f t="shared" si="5"/>
        <v>8080.38</v>
      </c>
    </row>
    <row r="130" spans="1:6" s="60" customFormat="1">
      <c r="A130" s="304">
        <v>127</v>
      </c>
      <c r="B130" s="74"/>
      <c r="C130" s="75">
        <f>A130*datos!$C$63</f>
        <v>76835</v>
      </c>
      <c r="D130" s="75" t="s">
        <v>133</v>
      </c>
      <c r="E130" s="76">
        <f t="shared" si="4"/>
        <v>0.106</v>
      </c>
      <c r="F130" s="305">
        <f t="shared" si="5"/>
        <v>8144.51</v>
      </c>
    </row>
    <row r="131" spans="1:6" s="60" customFormat="1">
      <c r="A131" s="304">
        <v>128</v>
      </c>
      <c r="B131" s="74"/>
      <c r="C131" s="75">
        <f>A131*datos!$C$63</f>
        <v>77440</v>
      </c>
      <c r="D131" s="75" t="s">
        <v>133</v>
      </c>
      <c r="E131" s="76">
        <f t="shared" si="4"/>
        <v>0.106</v>
      </c>
      <c r="F131" s="305">
        <f t="shared" si="5"/>
        <v>8208.64</v>
      </c>
    </row>
    <row r="132" spans="1:6" s="60" customFormat="1">
      <c r="A132" s="304">
        <v>129</v>
      </c>
      <c r="B132" s="74"/>
      <c r="C132" s="75">
        <f>A132*datos!$C$63</f>
        <v>78045</v>
      </c>
      <c r="D132" s="75" t="s">
        <v>133</v>
      </c>
      <c r="E132" s="76">
        <f t="shared" si="4"/>
        <v>0.10600000000000001</v>
      </c>
      <c r="F132" s="305">
        <f t="shared" si="5"/>
        <v>8272.77</v>
      </c>
    </row>
    <row r="133" spans="1:6" s="60" customFormat="1">
      <c r="A133" s="304">
        <v>130</v>
      </c>
      <c r="B133" s="74"/>
      <c r="C133" s="75">
        <f>A133*datos!$C$63</f>
        <v>78650</v>
      </c>
      <c r="D133" s="75" t="s">
        <v>133</v>
      </c>
      <c r="E133" s="76">
        <f t="shared" si="4"/>
        <v>0.106</v>
      </c>
      <c r="F133" s="305">
        <f t="shared" si="5"/>
        <v>8336.9</v>
      </c>
    </row>
    <row r="134" spans="1:6" s="60" customFormat="1">
      <c r="A134" s="304">
        <v>131</v>
      </c>
      <c r="B134" s="74"/>
      <c r="C134" s="75">
        <f>A134*datos!$C$63</f>
        <v>79255</v>
      </c>
      <c r="D134" s="75" t="s">
        <v>133</v>
      </c>
      <c r="E134" s="76">
        <f t="shared" si="4"/>
        <v>0.10600000000000001</v>
      </c>
      <c r="F134" s="305">
        <f t="shared" si="5"/>
        <v>8401.0300000000007</v>
      </c>
    </row>
    <row r="135" spans="1:6" s="60" customFormat="1">
      <c r="A135" s="304">
        <v>132</v>
      </c>
      <c r="B135" s="74"/>
      <c r="C135" s="75">
        <f>A135*datos!$C$63</f>
        <v>79860</v>
      </c>
      <c r="D135" s="75" t="s">
        <v>133</v>
      </c>
      <c r="E135" s="76">
        <f t="shared" ref="E135:E198" si="6">F135/C135</f>
        <v>0.106</v>
      </c>
      <c r="F135" s="305">
        <f t="shared" ref="F135:F198" si="7">IF(C135&lt;=3000,850,
IF(C135&lt;=3500,900,
IF(C135&lt;=4000,1050,
IF(C135&lt;=5000,1250,
IF(C135&lt;=6000,1350,
IF(C135&lt;=7000,1400,
IF(C135&lt;=8000,1450,
IF(C135&lt;=9000,1500,
IF(C135&lt;=10000,1600,
IF(C135&lt;=11000,1700,
IF(C135&lt;=12000,1800,
IF(C135&lt;=13000,1850,
IF(C135&lt;=14000,1900,
IF(C135&lt;=15000,1950,
IF(C135&lt;=16000,2000,
IF(C135&lt;=17000,2100,
IF(C135&lt;=18000,2200,
IF(C135&lt;=19000,2300,
IF(C135&lt;=20000,C135*0.118,
IF(C135&lt;=30000,C135*0.116,
IF(C135&lt;=40000,C135*0.114,
IF(C135&lt;=50000,C135*0.112,
IF(C135&lt;=60000,C135*0.11,
IF(C135&lt;=70000,C135*0.108,
IF(C135&lt;=80000,C135*0.106,
IF(C135&lt;=90000,C135*0.104,
IF(C135&lt;=100000,C135*0.102,
IF(C135&lt;=110000,C135*0.1,
IF(C135&lt;=120000,C135*0.098,
IF(C135&lt;=130000,C135*0.098,
IF(C135&lt;=140000,C135*0.098,
IF(C135&lt;=150000,C135*0.098,
IF(C135&lt;=160000,C135*0.098,
)))))))))))))))))))))))))))))))))</f>
        <v>8465.16</v>
      </c>
    </row>
    <row r="136" spans="1:6" s="60" customFormat="1">
      <c r="A136" s="304">
        <v>133</v>
      </c>
      <c r="B136" s="74"/>
      <c r="C136" s="75">
        <f>A136*datos!$C$63</f>
        <v>80465</v>
      </c>
      <c r="D136" s="75" t="s">
        <v>133</v>
      </c>
      <c r="E136" s="76">
        <f t="shared" si="6"/>
        <v>0.10399999999999998</v>
      </c>
      <c r="F136" s="305">
        <f t="shared" si="7"/>
        <v>8368.3599999999988</v>
      </c>
    </row>
    <row r="137" spans="1:6" s="60" customFormat="1">
      <c r="A137" s="304">
        <v>134</v>
      </c>
      <c r="B137" s="74"/>
      <c r="C137" s="75">
        <f>A137*datos!$C$63</f>
        <v>81070</v>
      </c>
      <c r="D137" s="75" t="s">
        <v>133</v>
      </c>
      <c r="E137" s="76">
        <f t="shared" si="6"/>
        <v>0.10399999999999998</v>
      </c>
      <c r="F137" s="305">
        <f t="shared" si="7"/>
        <v>8431.2799999999988</v>
      </c>
    </row>
    <row r="138" spans="1:6" s="60" customFormat="1">
      <c r="A138" s="304">
        <v>135</v>
      </c>
      <c r="B138" s="74"/>
      <c r="C138" s="75">
        <f>A138*datos!$C$63</f>
        <v>81675</v>
      </c>
      <c r="D138" s="75" t="s">
        <v>133</v>
      </c>
      <c r="E138" s="76">
        <f t="shared" si="6"/>
        <v>0.10399999999999998</v>
      </c>
      <c r="F138" s="305">
        <f t="shared" si="7"/>
        <v>8494.1999999999989</v>
      </c>
    </row>
    <row r="139" spans="1:6" s="60" customFormat="1">
      <c r="A139" s="304">
        <v>136</v>
      </c>
      <c r="B139" s="74"/>
      <c r="C139" s="75">
        <f>A139*datos!$C$63</f>
        <v>82280</v>
      </c>
      <c r="D139" s="75" t="s">
        <v>133</v>
      </c>
      <c r="E139" s="76">
        <f t="shared" si="6"/>
        <v>0.10399999999999998</v>
      </c>
      <c r="F139" s="305">
        <f t="shared" si="7"/>
        <v>8557.119999999999</v>
      </c>
    </row>
    <row r="140" spans="1:6" s="60" customFormat="1">
      <c r="A140" s="304">
        <v>137</v>
      </c>
      <c r="B140" s="74"/>
      <c r="C140" s="75">
        <f>A140*datos!$C$63</f>
        <v>82885</v>
      </c>
      <c r="D140" s="75" t="s">
        <v>133</v>
      </c>
      <c r="E140" s="76">
        <f t="shared" si="6"/>
        <v>0.104</v>
      </c>
      <c r="F140" s="305">
        <f t="shared" si="7"/>
        <v>8620.0399999999991</v>
      </c>
    </row>
    <row r="141" spans="1:6" s="60" customFormat="1">
      <c r="A141" s="304">
        <v>138</v>
      </c>
      <c r="B141" s="74"/>
      <c r="C141" s="75">
        <f>A141*datos!$C$63</f>
        <v>83490</v>
      </c>
      <c r="D141" s="75" t="s">
        <v>133</v>
      </c>
      <c r="E141" s="76">
        <f t="shared" si="6"/>
        <v>0.104</v>
      </c>
      <c r="F141" s="305">
        <f t="shared" si="7"/>
        <v>8682.9599999999991</v>
      </c>
    </row>
    <row r="142" spans="1:6" s="60" customFormat="1">
      <c r="A142" s="304">
        <v>139</v>
      </c>
      <c r="B142" s="74"/>
      <c r="C142" s="75">
        <f>A142*datos!$C$63</f>
        <v>84095</v>
      </c>
      <c r="D142" s="75" t="s">
        <v>133</v>
      </c>
      <c r="E142" s="76">
        <f t="shared" si="6"/>
        <v>0.104</v>
      </c>
      <c r="F142" s="305">
        <f t="shared" si="7"/>
        <v>8745.8799999999992</v>
      </c>
    </row>
    <row r="143" spans="1:6" s="60" customFormat="1">
      <c r="A143" s="304">
        <v>140</v>
      </c>
      <c r="B143" s="74"/>
      <c r="C143" s="75">
        <f>A143*datos!$C$63</f>
        <v>84700</v>
      </c>
      <c r="D143" s="75" t="s">
        <v>133</v>
      </c>
      <c r="E143" s="76">
        <f t="shared" si="6"/>
        <v>0.104</v>
      </c>
      <c r="F143" s="305">
        <f t="shared" si="7"/>
        <v>8808.7999999999993</v>
      </c>
    </row>
    <row r="144" spans="1:6" s="60" customFormat="1">
      <c r="A144" s="304">
        <v>141</v>
      </c>
      <c r="B144" s="74"/>
      <c r="C144" s="75">
        <f>A144*datos!$C$63</f>
        <v>85305</v>
      </c>
      <c r="D144" s="75" t="s">
        <v>133</v>
      </c>
      <c r="E144" s="76">
        <f t="shared" si="6"/>
        <v>0.104</v>
      </c>
      <c r="F144" s="305">
        <f t="shared" si="7"/>
        <v>8871.7199999999993</v>
      </c>
    </row>
    <row r="145" spans="1:6" s="60" customFormat="1">
      <c r="A145" s="304">
        <v>142</v>
      </c>
      <c r="B145" s="74"/>
      <c r="C145" s="75">
        <f>A145*datos!$C$63</f>
        <v>85910</v>
      </c>
      <c r="D145" s="75" t="s">
        <v>133</v>
      </c>
      <c r="E145" s="76">
        <f t="shared" si="6"/>
        <v>0.104</v>
      </c>
      <c r="F145" s="305">
        <f t="shared" si="7"/>
        <v>8934.64</v>
      </c>
    </row>
    <row r="146" spans="1:6" s="60" customFormat="1">
      <c r="A146" s="304">
        <v>143</v>
      </c>
      <c r="B146" s="74"/>
      <c r="C146" s="75">
        <f>A146*datos!$C$63</f>
        <v>86515</v>
      </c>
      <c r="D146" s="75" t="s">
        <v>133</v>
      </c>
      <c r="E146" s="76">
        <f t="shared" si="6"/>
        <v>0.104</v>
      </c>
      <c r="F146" s="305">
        <f t="shared" si="7"/>
        <v>8997.56</v>
      </c>
    </row>
    <row r="147" spans="1:6" s="60" customFormat="1">
      <c r="A147" s="304">
        <v>144</v>
      </c>
      <c r="B147" s="74"/>
      <c r="C147" s="75">
        <f>A147*datos!$C$63</f>
        <v>87120</v>
      </c>
      <c r="D147" s="75" t="s">
        <v>133</v>
      </c>
      <c r="E147" s="76">
        <f t="shared" si="6"/>
        <v>0.104</v>
      </c>
      <c r="F147" s="305">
        <f t="shared" si="7"/>
        <v>9060.48</v>
      </c>
    </row>
    <row r="148" spans="1:6" s="60" customFormat="1">
      <c r="A148" s="304">
        <v>145</v>
      </c>
      <c r="B148" s="74"/>
      <c r="C148" s="75">
        <f>A148*datos!$C$63</f>
        <v>87725</v>
      </c>
      <c r="D148" s="75" t="s">
        <v>133</v>
      </c>
      <c r="E148" s="76">
        <f t="shared" si="6"/>
        <v>0.104</v>
      </c>
      <c r="F148" s="305">
        <f t="shared" si="7"/>
        <v>9123.4</v>
      </c>
    </row>
    <row r="149" spans="1:6" s="60" customFormat="1">
      <c r="A149" s="304">
        <v>146</v>
      </c>
      <c r="B149" s="74"/>
      <c r="C149" s="75">
        <f>A149*datos!$C$63</f>
        <v>88330</v>
      </c>
      <c r="D149" s="75" t="s">
        <v>133</v>
      </c>
      <c r="E149" s="76">
        <f t="shared" si="6"/>
        <v>0.104</v>
      </c>
      <c r="F149" s="305">
        <f t="shared" si="7"/>
        <v>9186.32</v>
      </c>
    </row>
    <row r="150" spans="1:6" s="60" customFormat="1">
      <c r="A150" s="304">
        <v>147</v>
      </c>
      <c r="B150" s="74"/>
      <c r="C150" s="75">
        <f>A150*datos!$C$63</f>
        <v>88935</v>
      </c>
      <c r="D150" s="75" t="s">
        <v>133</v>
      </c>
      <c r="E150" s="76">
        <f t="shared" si="6"/>
        <v>0.104</v>
      </c>
      <c r="F150" s="305">
        <f t="shared" si="7"/>
        <v>9249.24</v>
      </c>
    </row>
    <row r="151" spans="1:6" s="60" customFormat="1">
      <c r="A151" s="304">
        <v>148</v>
      </c>
      <c r="B151" s="74"/>
      <c r="C151" s="75">
        <f>A151*datos!$C$63</f>
        <v>89540</v>
      </c>
      <c r="D151" s="75" t="s">
        <v>133</v>
      </c>
      <c r="E151" s="76">
        <f t="shared" si="6"/>
        <v>0.104</v>
      </c>
      <c r="F151" s="305">
        <f t="shared" si="7"/>
        <v>9312.16</v>
      </c>
    </row>
    <row r="152" spans="1:6" s="60" customFormat="1">
      <c r="A152" s="304">
        <v>149</v>
      </c>
      <c r="B152" s="74"/>
      <c r="C152" s="75">
        <f>A152*datos!$C$63</f>
        <v>90145</v>
      </c>
      <c r="D152" s="75" t="s">
        <v>133</v>
      </c>
      <c r="E152" s="76">
        <f t="shared" si="6"/>
        <v>0.10199999999999999</v>
      </c>
      <c r="F152" s="305">
        <f t="shared" si="7"/>
        <v>9194.7899999999991</v>
      </c>
    </row>
    <row r="153" spans="1:6" s="60" customFormat="1">
      <c r="A153" s="304">
        <v>150</v>
      </c>
      <c r="B153" s="74"/>
      <c r="C153" s="75">
        <f>A153*datos!$C$63</f>
        <v>90750</v>
      </c>
      <c r="D153" s="75" t="s">
        <v>133</v>
      </c>
      <c r="E153" s="76">
        <f t="shared" si="6"/>
        <v>0.10199999999999999</v>
      </c>
      <c r="F153" s="305">
        <f t="shared" si="7"/>
        <v>9256.5</v>
      </c>
    </row>
    <row r="154" spans="1:6" s="60" customFormat="1">
      <c r="A154" s="304">
        <v>151</v>
      </c>
      <c r="B154" s="74"/>
      <c r="C154" s="75">
        <f>A154*datos!$C$63</f>
        <v>91355</v>
      </c>
      <c r="D154" s="75" t="s">
        <v>133</v>
      </c>
      <c r="E154" s="76">
        <f t="shared" si="6"/>
        <v>0.10199999999999999</v>
      </c>
      <c r="F154" s="305">
        <f t="shared" si="7"/>
        <v>9318.2099999999991</v>
      </c>
    </row>
    <row r="155" spans="1:6" s="60" customFormat="1">
      <c r="A155" s="304">
        <v>152</v>
      </c>
      <c r="B155" s="74"/>
      <c r="C155" s="75">
        <f>A155*datos!$C$63</f>
        <v>91960</v>
      </c>
      <c r="D155" s="75" t="s">
        <v>133</v>
      </c>
      <c r="E155" s="76">
        <f t="shared" si="6"/>
        <v>0.10200000000000001</v>
      </c>
      <c r="F155" s="305">
        <f t="shared" si="7"/>
        <v>9379.92</v>
      </c>
    </row>
    <row r="156" spans="1:6" s="60" customFormat="1">
      <c r="A156" s="304">
        <v>153</v>
      </c>
      <c r="B156" s="74"/>
      <c r="C156" s="75">
        <f>A156*datos!$C$63</f>
        <v>92565</v>
      </c>
      <c r="D156" s="75" t="s">
        <v>133</v>
      </c>
      <c r="E156" s="76">
        <f t="shared" si="6"/>
        <v>0.10199999999999999</v>
      </c>
      <c r="F156" s="305">
        <f t="shared" si="7"/>
        <v>9441.6299999999992</v>
      </c>
    </row>
    <row r="157" spans="1:6" s="60" customFormat="1">
      <c r="A157" s="304">
        <v>154</v>
      </c>
      <c r="B157" s="74"/>
      <c r="C157" s="75">
        <f>A157*datos!$C$63</f>
        <v>93170</v>
      </c>
      <c r="D157" s="75" t="s">
        <v>133</v>
      </c>
      <c r="E157" s="76">
        <f t="shared" si="6"/>
        <v>0.10200000000000001</v>
      </c>
      <c r="F157" s="305">
        <f t="shared" si="7"/>
        <v>9503.34</v>
      </c>
    </row>
    <row r="158" spans="1:6" s="60" customFormat="1">
      <c r="A158" s="304">
        <v>155</v>
      </c>
      <c r="B158" s="74"/>
      <c r="C158" s="75">
        <f>A158*datos!$C$63</f>
        <v>93775</v>
      </c>
      <c r="D158" s="75" t="s">
        <v>133</v>
      </c>
      <c r="E158" s="76">
        <f t="shared" si="6"/>
        <v>0.10199999999999999</v>
      </c>
      <c r="F158" s="305">
        <f t="shared" si="7"/>
        <v>9565.0499999999993</v>
      </c>
    </row>
    <row r="159" spans="1:6" s="60" customFormat="1">
      <c r="A159" s="304">
        <v>156</v>
      </c>
      <c r="B159" s="74"/>
      <c r="C159" s="75">
        <f>A159*datos!$C$63</f>
        <v>94380</v>
      </c>
      <c r="D159" s="75" t="s">
        <v>133</v>
      </c>
      <c r="E159" s="76">
        <f t="shared" si="6"/>
        <v>0.10200000000000001</v>
      </c>
      <c r="F159" s="305">
        <f t="shared" si="7"/>
        <v>9626.76</v>
      </c>
    </row>
    <row r="160" spans="1:6" s="60" customFormat="1">
      <c r="A160" s="304">
        <v>157</v>
      </c>
      <c r="B160" s="74"/>
      <c r="C160" s="75">
        <f>A160*datos!$C$63</f>
        <v>94985</v>
      </c>
      <c r="D160" s="75" t="s">
        <v>133</v>
      </c>
      <c r="E160" s="76">
        <f t="shared" si="6"/>
        <v>0.10199999999999999</v>
      </c>
      <c r="F160" s="305">
        <f t="shared" si="7"/>
        <v>9688.4699999999993</v>
      </c>
    </row>
    <row r="161" spans="1:6" s="60" customFormat="1">
      <c r="A161" s="304">
        <v>158</v>
      </c>
      <c r="B161" s="74"/>
      <c r="C161" s="75">
        <f>A161*datos!$C$63</f>
        <v>95590</v>
      </c>
      <c r="D161" s="75" t="s">
        <v>133</v>
      </c>
      <c r="E161" s="76">
        <f t="shared" si="6"/>
        <v>0.10199999999999998</v>
      </c>
      <c r="F161" s="305">
        <f t="shared" si="7"/>
        <v>9750.1799999999985</v>
      </c>
    </row>
    <row r="162" spans="1:6" s="60" customFormat="1">
      <c r="A162" s="304">
        <v>159</v>
      </c>
      <c r="B162" s="74"/>
      <c r="C162" s="75">
        <f>A162*datos!$C$63</f>
        <v>96195</v>
      </c>
      <c r="D162" s="75" t="s">
        <v>133</v>
      </c>
      <c r="E162" s="76">
        <f t="shared" si="6"/>
        <v>0.10199999999999999</v>
      </c>
      <c r="F162" s="305">
        <f t="shared" si="7"/>
        <v>9811.89</v>
      </c>
    </row>
    <row r="163" spans="1:6" s="60" customFormat="1">
      <c r="A163" s="304">
        <v>160</v>
      </c>
      <c r="B163" s="74"/>
      <c r="C163" s="75">
        <f>A163*datos!$C$63</f>
        <v>96800</v>
      </c>
      <c r="D163" s="75" t="s">
        <v>133</v>
      </c>
      <c r="E163" s="76">
        <f t="shared" si="6"/>
        <v>0.10199999999999998</v>
      </c>
      <c r="F163" s="305">
        <f t="shared" si="7"/>
        <v>9873.5999999999985</v>
      </c>
    </row>
    <row r="164" spans="1:6" s="60" customFormat="1">
      <c r="A164" s="304">
        <v>161</v>
      </c>
      <c r="B164" s="74"/>
      <c r="C164" s="75">
        <f>A164*datos!$C$63</f>
        <v>97405</v>
      </c>
      <c r="D164" s="75" t="s">
        <v>133</v>
      </c>
      <c r="E164" s="76">
        <f t="shared" si="6"/>
        <v>0.10199999999999999</v>
      </c>
      <c r="F164" s="305">
        <f t="shared" si="7"/>
        <v>9935.31</v>
      </c>
    </row>
    <row r="165" spans="1:6" s="60" customFormat="1">
      <c r="A165" s="304">
        <v>162</v>
      </c>
      <c r="B165" s="74"/>
      <c r="C165" s="75">
        <f>A165*datos!$C$63</f>
        <v>98010</v>
      </c>
      <c r="D165" s="75" t="s">
        <v>133</v>
      </c>
      <c r="E165" s="76">
        <f t="shared" si="6"/>
        <v>0.10199999999999998</v>
      </c>
      <c r="F165" s="305">
        <f t="shared" si="7"/>
        <v>9997.0199999999986</v>
      </c>
    </row>
    <row r="166" spans="1:6" s="60" customFormat="1">
      <c r="A166" s="304">
        <v>163</v>
      </c>
      <c r="B166" s="74"/>
      <c r="C166" s="75">
        <f>A166*datos!$C$63</f>
        <v>98615</v>
      </c>
      <c r="D166" s="75" t="s">
        <v>133</v>
      </c>
      <c r="E166" s="76">
        <f t="shared" si="6"/>
        <v>0.10199999999999999</v>
      </c>
      <c r="F166" s="305">
        <f t="shared" si="7"/>
        <v>10058.73</v>
      </c>
    </row>
    <row r="167" spans="1:6" s="60" customFormat="1">
      <c r="A167" s="304">
        <v>164</v>
      </c>
      <c r="B167" s="74"/>
      <c r="C167" s="75">
        <f>A167*datos!$C$63</f>
        <v>99220</v>
      </c>
      <c r="D167" s="75" t="s">
        <v>133</v>
      </c>
      <c r="E167" s="76">
        <f t="shared" si="6"/>
        <v>0.10199999999999999</v>
      </c>
      <c r="F167" s="305">
        <f t="shared" si="7"/>
        <v>10120.439999999999</v>
      </c>
    </row>
    <row r="168" spans="1:6" s="60" customFormat="1">
      <c r="A168" s="304">
        <v>165</v>
      </c>
      <c r="B168" s="74"/>
      <c r="C168" s="75">
        <f>A168*datos!$C$63</f>
        <v>99825</v>
      </c>
      <c r="D168" s="75" t="s">
        <v>133</v>
      </c>
      <c r="E168" s="76">
        <f t="shared" si="6"/>
        <v>0.10199999999999999</v>
      </c>
      <c r="F168" s="305">
        <f t="shared" si="7"/>
        <v>10182.15</v>
      </c>
    </row>
    <row r="169" spans="1:6" s="60" customFormat="1">
      <c r="A169" s="304">
        <v>166</v>
      </c>
      <c r="B169" s="74"/>
      <c r="C169" s="75">
        <f>A169*datos!$C$63</f>
        <v>100430</v>
      </c>
      <c r="D169" s="75" t="s">
        <v>133</v>
      </c>
      <c r="E169" s="76">
        <f t="shared" si="6"/>
        <v>0.1</v>
      </c>
      <c r="F169" s="305">
        <f t="shared" si="7"/>
        <v>10043</v>
      </c>
    </row>
    <row r="170" spans="1:6" s="60" customFormat="1">
      <c r="A170" s="304">
        <v>167</v>
      </c>
      <c r="B170" s="74"/>
      <c r="C170" s="75">
        <f>A170*datos!$C$63</f>
        <v>101035</v>
      </c>
      <c r="D170" s="75" t="s">
        <v>133</v>
      </c>
      <c r="E170" s="76">
        <f t="shared" si="6"/>
        <v>0.1</v>
      </c>
      <c r="F170" s="305">
        <f t="shared" si="7"/>
        <v>10103.5</v>
      </c>
    </row>
    <row r="171" spans="1:6" s="60" customFormat="1">
      <c r="A171" s="304">
        <v>168</v>
      </c>
      <c r="B171" s="74"/>
      <c r="C171" s="75">
        <f>A171*datos!$C$63</f>
        <v>101640</v>
      </c>
      <c r="D171" s="75" t="s">
        <v>133</v>
      </c>
      <c r="E171" s="76">
        <f t="shared" si="6"/>
        <v>0.1</v>
      </c>
      <c r="F171" s="305">
        <f t="shared" si="7"/>
        <v>10164</v>
      </c>
    </row>
    <row r="172" spans="1:6" s="60" customFormat="1">
      <c r="A172" s="304">
        <v>169</v>
      </c>
      <c r="B172" s="74"/>
      <c r="C172" s="75">
        <f>A172*datos!$C$63</f>
        <v>102245</v>
      </c>
      <c r="D172" s="75" t="s">
        <v>133</v>
      </c>
      <c r="E172" s="76">
        <f t="shared" si="6"/>
        <v>0.1</v>
      </c>
      <c r="F172" s="305">
        <f t="shared" si="7"/>
        <v>10224.5</v>
      </c>
    </row>
    <row r="173" spans="1:6" s="60" customFormat="1">
      <c r="A173" s="304">
        <v>170</v>
      </c>
      <c r="B173" s="74"/>
      <c r="C173" s="75">
        <f>A173*datos!$C$63</f>
        <v>102850</v>
      </c>
      <c r="D173" s="75" t="s">
        <v>133</v>
      </c>
      <c r="E173" s="76">
        <f t="shared" si="6"/>
        <v>0.1</v>
      </c>
      <c r="F173" s="305">
        <f t="shared" si="7"/>
        <v>10285</v>
      </c>
    </row>
    <row r="174" spans="1:6" s="60" customFormat="1">
      <c r="A174" s="304">
        <v>171</v>
      </c>
      <c r="B174" s="74"/>
      <c r="C174" s="75">
        <f>A174*datos!$C$63</f>
        <v>103455</v>
      </c>
      <c r="D174" s="75" t="s">
        <v>133</v>
      </c>
      <c r="E174" s="76">
        <f t="shared" si="6"/>
        <v>0.1</v>
      </c>
      <c r="F174" s="305">
        <f t="shared" si="7"/>
        <v>10345.5</v>
      </c>
    </row>
    <row r="175" spans="1:6" s="60" customFormat="1">
      <c r="A175" s="304">
        <v>172</v>
      </c>
      <c r="B175" s="74"/>
      <c r="C175" s="75">
        <f>A175*datos!$C$63</f>
        <v>104060</v>
      </c>
      <c r="D175" s="75" t="s">
        <v>133</v>
      </c>
      <c r="E175" s="76">
        <f t="shared" si="6"/>
        <v>0.1</v>
      </c>
      <c r="F175" s="305">
        <f t="shared" si="7"/>
        <v>10406</v>
      </c>
    </row>
    <row r="176" spans="1:6" s="60" customFormat="1">
      <c r="A176" s="304">
        <v>173</v>
      </c>
      <c r="B176" s="74"/>
      <c r="C176" s="75">
        <f>A176*datos!$C$63</f>
        <v>104665</v>
      </c>
      <c r="D176" s="75" t="s">
        <v>133</v>
      </c>
      <c r="E176" s="76">
        <f t="shared" si="6"/>
        <v>0.1</v>
      </c>
      <c r="F176" s="305">
        <f t="shared" si="7"/>
        <v>10466.5</v>
      </c>
    </row>
    <row r="177" spans="1:6" s="60" customFormat="1">
      <c r="A177" s="304">
        <v>174</v>
      </c>
      <c r="B177" s="74"/>
      <c r="C177" s="75">
        <f>A177*datos!$C$63</f>
        <v>105270</v>
      </c>
      <c r="D177" s="75" t="s">
        <v>133</v>
      </c>
      <c r="E177" s="76">
        <f t="shared" si="6"/>
        <v>0.1</v>
      </c>
      <c r="F177" s="305">
        <f t="shared" si="7"/>
        <v>10527</v>
      </c>
    </row>
    <row r="178" spans="1:6" s="60" customFormat="1">
      <c r="A178" s="304">
        <v>175</v>
      </c>
      <c r="B178" s="74"/>
      <c r="C178" s="75">
        <f>A178*datos!$C$63</f>
        <v>105875</v>
      </c>
      <c r="D178" s="75" t="s">
        <v>133</v>
      </c>
      <c r="E178" s="76">
        <f t="shared" si="6"/>
        <v>0.1</v>
      </c>
      <c r="F178" s="305">
        <f t="shared" si="7"/>
        <v>10587.5</v>
      </c>
    </row>
    <row r="179" spans="1:6" s="60" customFormat="1">
      <c r="A179" s="304">
        <v>176</v>
      </c>
      <c r="B179" s="74"/>
      <c r="C179" s="75">
        <f>A179*datos!$C$63</f>
        <v>106480</v>
      </c>
      <c r="D179" s="75" t="s">
        <v>133</v>
      </c>
      <c r="E179" s="76">
        <f t="shared" si="6"/>
        <v>0.1</v>
      </c>
      <c r="F179" s="305">
        <f t="shared" si="7"/>
        <v>10648</v>
      </c>
    </row>
    <row r="180" spans="1:6" s="60" customFormat="1">
      <c r="A180" s="304">
        <v>177</v>
      </c>
      <c r="B180" s="74"/>
      <c r="C180" s="75">
        <f>A180*datos!$C$63</f>
        <v>107085</v>
      </c>
      <c r="D180" s="75" t="s">
        <v>133</v>
      </c>
      <c r="E180" s="76">
        <f t="shared" si="6"/>
        <v>0.1</v>
      </c>
      <c r="F180" s="305">
        <f t="shared" si="7"/>
        <v>10708.5</v>
      </c>
    </row>
    <row r="181" spans="1:6" s="60" customFormat="1">
      <c r="A181" s="304">
        <v>178</v>
      </c>
      <c r="B181" s="74"/>
      <c r="C181" s="75">
        <f>A181*datos!$C$63</f>
        <v>107690</v>
      </c>
      <c r="D181" s="75" t="s">
        <v>133</v>
      </c>
      <c r="E181" s="76">
        <f t="shared" si="6"/>
        <v>0.1</v>
      </c>
      <c r="F181" s="305">
        <f t="shared" si="7"/>
        <v>10769</v>
      </c>
    </row>
    <row r="182" spans="1:6" s="60" customFormat="1">
      <c r="A182" s="304">
        <v>179</v>
      </c>
      <c r="B182" s="74"/>
      <c r="C182" s="75">
        <f>A182*datos!$C$63</f>
        <v>108295</v>
      </c>
      <c r="D182" s="75" t="s">
        <v>133</v>
      </c>
      <c r="E182" s="76">
        <f t="shared" si="6"/>
        <v>0.1</v>
      </c>
      <c r="F182" s="305">
        <f t="shared" si="7"/>
        <v>10829.5</v>
      </c>
    </row>
    <row r="183" spans="1:6" s="60" customFormat="1">
      <c r="A183" s="304">
        <v>180</v>
      </c>
      <c r="B183" s="74"/>
      <c r="C183" s="75">
        <f>A183*datos!$C$63</f>
        <v>108900</v>
      </c>
      <c r="D183" s="75" t="s">
        <v>133</v>
      </c>
      <c r="E183" s="76">
        <f t="shared" si="6"/>
        <v>0.1</v>
      </c>
      <c r="F183" s="305">
        <f t="shared" si="7"/>
        <v>10890</v>
      </c>
    </row>
    <row r="184" spans="1:6" s="60" customFormat="1">
      <c r="A184" s="304">
        <v>181</v>
      </c>
      <c r="B184" s="74"/>
      <c r="C184" s="75">
        <f>A184*datos!$C$63</f>
        <v>109505</v>
      </c>
      <c r="D184" s="75" t="s">
        <v>133</v>
      </c>
      <c r="E184" s="76">
        <f t="shared" si="6"/>
        <v>0.1</v>
      </c>
      <c r="F184" s="305">
        <f t="shared" si="7"/>
        <v>10950.5</v>
      </c>
    </row>
    <row r="185" spans="1:6" s="60" customFormat="1">
      <c r="A185" s="304">
        <v>182</v>
      </c>
      <c r="B185" s="74"/>
      <c r="C185" s="75">
        <f>A185*datos!$C$63</f>
        <v>110110</v>
      </c>
      <c r="D185" s="75" t="s">
        <v>133</v>
      </c>
      <c r="E185" s="76">
        <f t="shared" si="6"/>
        <v>9.8000000000000004E-2</v>
      </c>
      <c r="F185" s="305">
        <f t="shared" si="7"/>
        <v>10790.78</v>
      </c>
    </row>
    <row r="186" spans="1:6" s="60" customFormat="1">
      <c r="A186" s="304">
        <v>183</v>
      </c>
      <c r="B186" s="74"/>
      <c r="C186" s="75">
        <f>A186*datos!$C$63</f>
        <v>110715</v>
      </c>
      <c r="D186" s="75" t="s">
        <v>133</v>
      </c>
      <c r="E186" s="76">
        <f t="shared" si="6"/>
        <v>9.8000000000000004E-2</v>
      </c>
      <c r="F186" s="305">
        <f t="shared" si="7"/>
        <v>10850.07</v>
      </c>
    </row>
    <row r="187" spans="1:6" s="60" customFormat="1">
      <c r="A187" s="304">
        <v>184</v>
      </c>
      <c r="B187" s="74"/>
      <c r="C187" s="75">
        <f>A187*datos!$C$63</f>
        <v>111320</v>
      </c>
      <c r="D187" s="75" t="s">
        <v>133</v>
      </c>
      <c r="E187" s="76">
        <f t="shared" si="6"/>
        <v>9.8000000000000004E-2</v>
      </c>
      <c r="F187" s="305">
        <f t="shared" si="7"/>
        <v>10909.36</v>
      </c>
    </row>
    <row r="188" spans="1:6" s="60" customFormat="1">
      <c r="A188" s="304">
        <v>185</v>
      </c>
      <c r="B188" s="74"/>
      <c r="C188" s="75">
        <f>A188*datos!$C$63</f>
        <v>111925</v>
      </c>
      <c r="D188" s="75" t="s">
        <v>133</v>
      </c>
      <c r="E188" s="76">
        <f t="shared" si="6"/>
        <v>9.799999999999999E-2</v>
      </c>
      <c r="F188" s="305">
        <f t="shared" si="7"/>
        <v>10968.65</v>
      </c>
    </row>
    <row r="189" spans="1:6" s="60" customFormat="1">
      <c r="A189" s="304">
        <v>186</v>
      </c>
      <c r="B189" s="74"/>
      <c r="C189" s="75">
        <f>A189*datos!$C$63</f>
        <v>112530</v>
      </c>
      <c r="D189" s="75" t="s">
        <v>133</v>
      </c>
      <c r="E189" s="76">
        <f t="shared" si="6"/>
        <v>9.8000000000000004E-2</v>
      </c>
      <c r="F189" s="305">
        <f t="shared" si="7"/>
        <v>11027.94</v>
      </c>
    </row>
    <row r="190" spans="1:6" s="60" customFormat="1">
      <c r="A190" s="304">
        <v>187</v>
      </c>
      <c r="B190" s="74"/>
      <c r="C190" s="75">
        <f>A190*datos!$C$63</f>
        <v>113135</v>
      </c>
      <c r="D190" s="75" t="s">
        <v>133</v>
      </c>
      <c r="E190" s="76">
        <f t="shared" si="6"/>
        <v>9.799999999999999E-2</v>
      </c>
      <c r="F190" s="305">
        <f t="shared" si="7"/>
        <v>11087.23</v>
      </c>
    </row>
    <row r="191" spans="1:6" s="60" customFormat="1">
      <c r="A191" s="304">
        <v>188</v>
      </c>
      <c r="B191" s="74"/>
      <c r="C191" s="75">
        <f>A191*datos!$C$63</f>
        <v>113740</v>
      </c>
      <c r="D191" s="75" t="s">
        <v>133</v>
      </c>
      <c r="E191" s="76">
        <f t="shared" si="6"/>
        <v>9.8000000000000004E-2</v>
      </c>
      <c r="F191" s="305">
        <f t="shared" si="7"/>
        <v>11146.52</v>
      </c>
    </row>
    <row r="192" spans="1:6" s="60" customFormat="1">
      <c r="A192" s="304">
        <v>189</v>
      </c>
      <c r="B192" s="74"/>
      <c r="C192" s="75">
        <f>A192*datos!$C$63</f>
        <v>114345</v>
      </c>
      <c r="D192" s="75" t="s">
        <v>133</v>
      </c>
      <c r="E192" s="76">
        <f t="shared" si="6"/>
        <v>9.8000000000000018E-2</v>
      </c>
      <c r="F192" s="305">
        <f t="shared" si="7"/>
        <v>11205.810000000001</v>
      </c>
    </row>
    <row r="193" spans="1:6" s="60" customFormat="1">
      <c r="A193" s="304">
        <v>190</v>
      </c>
      <c r="B193" s="74"/>
      <c r="C193" s="75">
        <f>A193*datos!$C$63</f>
        <v>114950</v>
      </c>
      <c r="D193" s="75" t="s">
        <v>133</v>
      </c>
      <c r="E193" s="76">
        <f t="shared" si="6"/>
        <v>9.8000000000000004E-2</v>
      </c>
      <c r="F193" s="305">
        <f t="shared" si="7"/>
        <v>11265.1</v>
      </c>
    </row>
    <row r="194" spans="1:6" s="60" customFormat="1">
      <c r="A194" s="304">
        <v>191</v>
      </c>
      <c r="B194" s="74"/>
      <c r="C194" s="75">
        <f>A194*datos!$C$63</f>
        <v>115555</v>
      </c>
      <c r="D194" s="75" t="s">
        <v>133</v>
      </c>
      <c r="E194" s="76">
        <f t="shared" si="6"/>
        <v>9.8000000000000004E-2</v>
      </c>
      <c r="F194" s="305">
        <f t="shared" si="7"/>
        <v>11324.390000000001</v>
      </c>
    </row>
    <row r="195" spans="1:6" s="60" customFormat="1">
      <c r="A195" s="304">
        <v>192</v>
      </c>
      <c r="B195" s="74"/>
      <c r="C195" s="75">
        <f>A195*datos!$C$63</f>
        <v>116160</v>
      </c>
      <c r="D195" s="75" t="s">
        <v>133</v>
      </c>
      <c r="E195" s="76">
        <f t="shared" si="6"/>
        <v>9.8000000000000004E-2</v>
      </c>
      <c r="F195" s="305">
        <f t="shared" si="7"/>
        <v>11383.68</v>
      </c>
    </row>
    <row r="196" spans="1:6" s="60" customFormat="1">
      <c r="A196" s="304">
        <v>193</v>
      </c>
      <c r="B196" s="74"/>
      <c r="C196" s="75">
        <f>A196*datos!$C$63</f>
        <v>116765</v>
      </c>
      <c r="D196" s="75" t="s">
        <v>133</v>
      </c>
      <c r="E196" s="76">
        <f t="shared" si="6"/>
        <v>9.8000000000000004E-2</v>
      </c>
      <c r="F196" s="305">
        <f t="shared" si="7"/>
        <v>11442.970000000001</v>
      </c>
    </row>
    <row r="197" spans="1:6" s="60" customFormat="1">
      <c r="A197" s="304">
        <v>194</v>
      </c>
      <c r="B197" s="74"/>
      <c r="C197" s="75">
        <f>A197*datos!$C$63</f>
        <v>117370</v>
      </c>
      <c r="D197" s="75" t="s">
        <v>133</v>
      </c>
      <c r="E197" s="76">
        <f t="shared" si="6"/>
        <v>9.8000000000000004E-2</v>
      </c>
      <c r="F197" s="305">
        <f t="shared" si="7"/>
        <v>11502.26</v>
      </c>
    </row>
    <row r="198" spans="1:6" s="60" customFormat="1">
      <c r="A198" s="304">
        <v>195</v>
      </c>
      <c r="B198" s="74"/>
      <c r="C198" s="75">
        <f>A198*datos!$C$63</f>
        <v>117975</v>
      </c>
      <c r="D198" s="75" t="s">
        <v>133</v>
      </c>
      <c r="E198" s="76">
        <f t="shared" si="6"/>
        <v>9.8000000000000004E-2</v>
      </c>
      <c r="F198" s="305">
        <f t="shared" si="7"/>
        <v>11561.550000000001</v>
      </c>
    </row>
    <row r="199" spans="1:6" s="60" customFormat="1">
      <c r="A199" s="304">
        <v>196</v>
      </c>
      <c r="B199" s="74"/>
      <c r="C199" s="75">
        <f>A199*datos!$C$63</f>
        <v>118580</v>
      </c>
      <c r="D199" s="75" t="s">
        <v>133</v>
      </c>
      <c r="E199" s="76">
        <f t="shared" ref="E199:E262" si="8">F199/C199</f>
        <v>9.8000000000000004E-2</v>
      </c>
      <c r="F199" s="305">
        <f t="shared" ref="F199:F262" si="9">IF(C199&lt;=3000,850,
IF(C199&lt;=3500,900,
IF(C199&lt;=4000,1050,
IF(C199&lt;=5000,1250,
IF(C199&lt;=6000,1350,
IF(C199&lt;=7000,1400,
IF(C199&lt;=8000,1450,
IF(C199&lt;=9000,1500,
IF(C199&lt;=10000,1600,
IF(C199&lt;=11000,1700,
IF(C199&lt;=12000,1800,
IF(C199&lt;=13000,1850,
IF(C199&lt;=14000,1900,
IF(C199&lt;=15000,1950,
IF(C199&lt;=16000,2000,
IF(C199&lt;=17000,2100,
IF(C199&lt;=18000,2200,
IF(C199&lt;=19000,2300,
IF(C199&lt;=20000,C199*0.118,
IF(C199&lt;=30000,C199*0.116,
IF(C199&lt;=40000,C199*0.114,
IF(C199&lt;=50000,C199*0.112,
IF(C199&lt;=60000,C199*0.11,
IF(C199&lt;=70000,C199*0.108,
IF(C199&lt;=80000,C199*0.106,
IF(C199&lt;=90000,C199*0.104,
IF(C199&lt;=100000,C199*0.102,
IF(C199&lt;=110000,C199*0.1,
IF(C199&lt;=120000,C199*0.098,
IF(C199&lt;=130000,C199*0.098,
IF(C199&lt;=140000,C199*0.098,
IF(C199&lt;=150000,C199*0.098,
IF(C199&lt;=160000,C199*0.098,
)))))))))))))))))))))))))))))))))</f>
        <v>11620.84</v>
      </c>
    </row>
    <row r="200" spans="1:6" s="60" customFormat="1">
      <c r="A200" s="304">
        <v>197</v>
      </c>
      <c r="B200" s="74"/>
      <c r="C200" s="75">
        <f>A200*datos!$C$63</f>
        <v>119185</v>
      </c>
      <c r="D200" s="75" t="s">
        <v>133</v>
      </c>
      <c r="E200" s="76">
        <f t="shared" si="8"/>
        <v>9.8000000000000004E-2</v>
      </c>
      <c r="F200" s="305">
        <f t="shared" si="9"/>
        <v>11680.130000000001</v>
      </c>
    </row>
    <row r="201" spans="1:6" s="60" customFormat="1">
      <c r="A201" s="304">
        <v>198</v>
      </c>
      <c r="B201" s="74"/>
      <c r="C201" s="75">
        <f>A201*datos!$C$63</f>
        <v>119790</v>
      </c>
      <c r="D201" s="75" t="s">
        <v>133</v>
      </c>
      <c r="E201" s="76">
        <f t="shared" si="8"/>
        <v>9.8000000000000004E-2</v>
      </c>
      <c r="F201" s="305">
        <f t="shared" si="9"/>
        <v>11739.42</v>
      </c>
    </row>
    <row r="202" spans="1:6" s="60" customFormat="1">
      <c r="A202" s="304">
        <v>199</v>
      </c>
      <c r="B202" s="74"/>
      <c r="C202" s="75">
        <f>A202*datos!$C$63</f>
        <v>120395</v>
      </c>
      <c r="D202" s="75" t="s">
        <v>133</v>
      </c>
      <c r="E202" s="76">
        <f t="shared" si="8"/>
        <v>9.8000000000000004E-2</v>
      </c>
      <c r="F202" s="305">
        <f t="shared" si="9"/>
        <v>11798.710000000001</v>
      </c>
    </row>
    <row r="203" spans="1:6" s="60" customFormat="1">
      <c r="A203" s="304">
        <v>200</v>
      </c>
      <c r="B203" s="74"/>
      <c r="C203" s="75">
        <f>A203*datos!$C$63</f>
        <v>121000</v>
      </c>
      <c r="D203" s="75" t="s">
        <v>133</v>
      </c>
      <c r="E203" s="76">
        <f t="shared" si="8"/>
        <v>9.8000000000000004E-2</v>
      </c>
      <c r="F203" s="305">
        <f t="shared" si="9"/>
        <v>11858</v>
      </c>
    </row>
    <row r="204" spans="1:6" s="60" customFormat="1">
      <c r="A204" s="304">
        <v>201</v>
      </c>
      <c r="B204" s="74"/>
      <c r="C204" s="75">
        <f>A204*datos!$C$63</f>
        <v>121605</v>
      </c>
      <c r="D204" s="75" t="s">
        <v>133</v>
      </c>
      <c r="E204" s="76">
        <f t="shared" si="8"/>
        <v>9.8000000000000004E-2</v>
      </c>
      <c r="F204" s="305">
        <f t="shared" si="9"/>
        <v>11917.29</v>
      </c>
    </row>
    <row r="205" spans="1:6" s="60" customFormat="1">
      <c r="A205" s="304">
        <v>202</v>
      </c>
      <c r="B205" s="74"/>
      <c r="C205" s="75">
        <f>A205*datos!$C$63</f>
        <v>122210</v>
      </c>
      <c r="D205" s="75" t="s">
        <v>133</v>
      </c>
      <c r="E205" s="76">
        <f t="shared" si="8"/>
        <v>9.8000000000000004E-2</v>
      </c>
      <c r="F205" s="305">
        <f t="shared" si="9"/>
        <v>11976.58</v>
      </c>
    </row>
    <row r="206" spans="1:6" s="60" customFormat="1">
      <c r="A206" s="304">
        <v>203</v>
      </c>
      <c r="B206" s="74"/>
      <c r="C206" s="75">
        <f>A206*datos!$C$63</f>
        <v>122815</v>
      </c>
      <c r="D206" s="75" t="s">
        <v>133</v>
      </c>
      <c r="E206" s="76">
        <f t="shared" si="8"/>
        <v>9.8000000000000004E-2</v>
      </c>
      <c r="F206" s="305">
        <f t="shared" si="9"/>
        <v>12035.87</v>
      </c>
    </row>
    <row r="207" spans="1:6" s="60" customFormat="1">
      <c r="A207" s="304">
        <v>204</v>
      </c>
      <c r="B207" s="74"/>
      <c r="C207" s="75">
        <f>A207*datos!$C$63</f>
        <v>123420</v>
      </c>
      <c r="D207" s="75" t="s">
        <v>133</v>
      </c>
      <c r="E207" s="76">
        <f t="shared" si="8"/>
        <v>9.8000000000000004E-2</v>
      </c>
      <c r="F207" s="305">
        <f t="shared" si="9"/>
        <v>12095.16</v>
      </c>
    </row>
    <row r="208" spans="1:6" s="60" customFormat="1">
      <c r="A208" s="304">
        <v>205</v>
      </c>
      <c r="B208" s="74"/>
      <c r="C208" s="75">
        <f>A208*datos!$C$63</f>
        <v>124025</v>
      </c>
      <c r="D208" s="75" t="s">
        <v>133</v>
      </c>
      <c r="E208" s="76">
        <f t="shared" si="8"/>
        <v>9.8000000000000004E-2</v>
      </c>
      <c r="F208" s="305">
        <f t="shared" si="9"/>
        <v>12154.45</v>
      </c>
    </row>
    <row r="209" spans="1:6" s="60" customFormat="1">
      <c r="A209" s="304">
        <v>206</v>
      </c>
      <c r="B209" s="74"/>
      <c r="C209" s="75">
        <f>A209*datos!$C$63</f>
        <v>124630</v>
      </c>
      <c r="D209" s="75" t="s">
        <v>133</v>
      </c>
      <c r="E209" s="76">
        <f t="shared" si="8"/>
        <v>9.8000000000000004E-2</v>
      </c>
      <c r="F209" s="305">
        <f t="shared" si="9"/>
        <v>12213.74</v>
      </c>
    </row>
    <row r="210" spans="1:6" s="60" customFormat="1">
      <c r="A210" s="304">
        <v>207</v>
      </c>
      <c r="B210" s="74"/>
      <c r="C210" s="75">
        <f>A210*datos!$C$63</f>
        <v>125235</v>
      </c>
      <c r="D210" s="75" t="s">
        <v>133</v>
      </c>
      <c r="E210" s="76">
        <f t="shared" si="8"/>
        <v>9.8000000000000004E-2</v>
      </c>
      <c r="F210" s="305">
        <f t="shared" si="9"/>
        <v>12273.03</v>
      </c>
    </row>
    <row r="211" spans="1:6" s="60" customFormat="1">
      <c r="A211" s="304">
        <v>208</v>
      </c>
      <c r="B211" s="74"/>
      <c r="C211" s="75">
        <f>A211*datos!$C$63</f>
        <v>125840</v>
      </c>
      <c r="D211" s="75" t="s">
        <v>133</v>
      </c>
      <c r="E211" s="76">
        <f t="shared" si="8"/>
        <v>9.8000000000000004E-2</v>
      </c>
      <c r="F211" s="305">
        <f t="shared" si="9"/>
        <v>12332.32</v>
      </c>
    </row>
    <row r="212" spans="1:6" s="60" customFormat="1">
      <c r="A212" s="304">
        <v>209</v>
      </c>
      <c r="B212" s="74"/>
      <c r="C212" s="75">
        <f>A212*datos!$C$63</f>
        <v>126445</v>
      </c>
      <c r="D212" s="75" t="s">
        <v>133</v>
      </c>
      <c r="E212" s="76">
        <f t="shared" si="8"/>
        <v>9.8000000000000004E-2</v>
      </c>
      <c r="F212" s="305">
        <f t="shared" si="9"/>
        <v>12391.61</v>
      </c>
    </row>
    <row r="213" spans="1:6" s="60" customFormat="1">
      <c r="A213" s="304">
        <v>210</v>
      </c>
      <c r="B213" s="74"/>
      <c r="C213" s="75">
        <f>A213*datos!$C$63</f>
        <v>127050</v>
      </c>
      <c r="D213" s="75" t="s">
        <v>133</v>
      </c>
      <c r="E213" s="76">
        <f t="shared" si="8"/>
        <v>9.8000000000000004E-2</v>
      </c>
      <c r="F213" s="305">
        <f t="shared" si="9"/>
        <v>12450.9</v>
      </c>
    </row>
    <row r="214" spans="1:6" s="60" customFormat="1">
      <c r="A214" s="304">
        <v>211</v>
      </c>
      <c r="B214" s="74"/>
      <c r="C214" s="75">
        <f>A214*datos!$C$63</f>
        <v>127655</v>
      </c>
      <c r="D214" s="75" t="s">
        <v>133</v>
      </c>
      <c r="E214" s="76">
        <f t="shared" si="8"/>
        <v>9.8000000000000004E-2</v>
      </c>
      <c r="F214" s="305">
        <f t="shared" si="9"/>
        <v>12510.19</v>
      </c>
    </row>
    <row r="215" spans="1:6" s="60" customFormat="1">
      <c r="A215" s="304">
        <v>212</v>
      </c>
      <c r="B215" s="74"/>
      <c r="C215" s="75">
        <f>A215*datos!$C$63</f>
        <v>128260</v>
      </c>
      <c r="D215" s="75" t="s">
        <v>133</v>
      </c>
      <c r="E215" s="76">
        <f t="shared" si="8"/>
        <v>9.8000000000000018E-2</v>
      </c>
      <c r="F215" s="305">
        <f t="shared" si="9"/>
        <v>12569.480000000001</v>
      </c>
    </row>
    <row r="216" spans="1:6" s="60" customFormat="1">
      <c r="A216" s="304">
        <v>213</v>
      </c>
      <c r="B216" s="74"/>
      <c r="C216" s="75">
        <f>A216*datos!$C$63</f>
        <v>128865</v>
      </c>
      <c r="D216" s="75" t="s">
        <v>133</v>
      </c>
      <c r="E216" s="76">
        <f t="shared" si="8"/>
        <v>9.8000000000000004E-2</v>
      </c>
      <c r="F216" s="305">
        <f t="shared" si="9"/>
        <v>12628.77</v>
      </c>
    </row>
    <row r="217" spans="1:6" s="60" customFormat="1">
      <c r="A217" s="304">
        <v>214</v>
      </c>
      <c r="B217" s="74"/>
      <c r="C217" s="75">
        <f>A217*datos!$C$63</f>
        <v>129470</v>
      </c>
      <c r="D217" s="75" t="s">
        <v>133</v>
      </c>
      <c r="E217" s="76">
        <f t="shared" si="8"/>
        <v>9.8000000000000004E-2</v>
      </c>
      <c r="F217" s="305">
        <f t="shared" si="9"/>
        <v>12688.060000000001</v>
      </c>
    </row>
    <row r="218" spans="1:6" s="60" customFormat="1">
      <c r="A218" s="304">
        <v>215</v>
      </c>
      <c r="B218" s="74"/>
      <c r="C218" s="75">
        <f>A218*datos!$C$63</f>
        <v>130075</v>
      </c>
      <c r="D218" s="75" t="s">
        <v>133</v>
      </c>
      <c r="E218" s="76">
        <f t="shared" si="8"/>
        <v>9.8000000000000004E-2</v>
      </c>
      <c r="F218" s="305">
        <f t="shared" si="9"/>
        <v>12747.35</v>
      </c>
    </row>
    <row r="219" spans="1:6" s="60" customFormat="1">
      <c r="A219" s="304">
        <v>216</v>
      </c>
      <c r="B219" s="74"/>
      <c r="C219" s="75">
        <f>A219*datos!$C$63</f>
        <v>130680</v>
      </c>
      <c r="D219" s="75" t="s">
        <v>133</v>
      </c>
      <c r="E219" s="76">
        <f t="shared" si="8"/>
        <v>9.8000000000000004E-2</v>
      </c>
      <c r="F219" s="305">
        <f t="shared" si="9"/>
        <v>12806.640000000001</v>
      </c>
    </row>
    <row r="220" spans="1:6" s="60" customFormat="1">
      <c r="A220" s="304">
        <v>217</v>
      </c>
      <c r="B220" s="74"/>
      <c r="C220" s="75">
        <f>A220*datos!$C$63</f>
        <v>131285</v>
      </c>
      <c r="D220" s="75" t="s">
        <v>133</v>
      </c>
      <c r="E220" s="76">
        <f t="shared" si="8"/>
        <v>9.8000000000000004E-2</v>
      </c>
      <c r="F220" s="305">
        <f t="shared" si="9"/>
        <v>12865.93</v>
      </c>
    </row>
    <row r="221" spans="1:6" s="60" customFormat="1">
      <c r="A221" s="304">
        <v>218</v>
      </c>
      <c r="B221" s="74"/>
      <c r="C221" s="75">
        <f>A221*datos!$C$63</f>
        <v>131890</v>
      </c>
      <c r="D221" s="75" t="s">
        <v>133</v>
      </c>
      <c r="E221" s="76">
        <f>F221/C221</f>
        <v>9.8000000000000004E-2</v>
      </c>
      <c r="F221" s="305">
        <f t="shared" si="9"/>
        <v>12925.220000000001</v>
      </c>
    </row>
    <row r="222" spans="1:6" s="60" customFormat="1">
      <c r="A222" s="304">
        <v>219</v>
      </c>
      <c r="B222" s="74"/>
      <c r="C222" s="75">
        <f>A222*datos!$C$63</f>
        <v>132495</v>
      </c>
      <c r="D222" s="75" t="s">
        <v>133</v>
      </c>
      <c r="E222" s="76">
        <f t="shared" si="8"/>
        <v>9.8000000000000004E-2</v>
      </c>
      <c r="F222" s="305">
        <f t="shared" si="9"/>
        <v>12984.51</v>
      </c>
    </row>
    <row r="223" spans="1:6" s="60" customFormat="1">
      <c r="A223" s="304">
        <v>220</v>
      </c>
      <c r="B223" s="74"/>
      <c r="C223" s="75">
        <f>A223*datos!$C$63</f>
        <v>133100</v>
      </c>
      <c r="D223" s="75" t="s">
        <v>133</v>
      </c>
      <c r="E223" s="76">
        <f t="shared" si="8"/>
        <v>9.8000000000000004E-2</v>
      </c>
      <c r="F223" s="305">
        <f t="shared" si="9"/>
        <v>13043.800000000001</v>
      </c>
    </row>
    <row r="224" spans="1:6" s="60" customFormat="1">
      <c r="A224" s="304">
        <v>221</v>
      </c>
      <c r="B224" s="74"/>
      <c r="C224" s="75">
        <f>A224*datos!$C$63</f>
        <v>133705</v>
      </c>
      <c r="D224" s="75" t="s">
        <v>133</v>
      </c>
      <c r="E224" s="76">
        <f t="shared" si="8"/>
        <v>9.8000000000000004E-2</v>
      </c>
      <c r="F224" s="305">
        <f t="shared" si="9"/>
        <v>13103.09</v>
      </c>
    </row>
    <row r="225" spans="1:6" s="60" customFormat="1">
      <c r="A225" s="304">
        <v>222</v>
      </c>
      <c r="B225" s="74"/>
      <c r="C225" s="75">
        <f>A225*datos!$C$63</f>
        <v>134310</v>
      </c>
      <c r="D225" s="75" t="s">
        <v>133</v>
      </c>
      <c r="E225" s="76">
        <f t="shared" si="8"/>
        <v>9.8000000000000004E-2</v>
      </c>
      <c r="F225" s="305">
        <f t="shared" si="9"/>
        <v>13162.380000000001</v>
      </c>
    </row>
    <row r="226" spans="1:6" s="60" customFormat="1">
      <c r="A226" s="304">
        <v>223</v>
      </c>
      <c r="B226" s="74"/>
      <c r="C226" s="75">
        <f>A226*datos!$C$63</f>
        <v>134915</v>
      </c>
      <c r="D226" s="75" t="s">
        <v>133</v>
      </c>
      <c r="E226" s="76">
        <f t="shared" si="8"/>
        <v>9.8000000000000004E-2</v>
      </c>
      <c r="F226" s="305">
        <f t="shared" si="9"/>
        <v>13221.67</v>
      </c>
    </row>
    <row r="227" spans="1:6" s="60" customFormat="1">
      <c r="A227" s="304">
        <v>224</v>
      </c>
      <c r="B227" s="74"/>
      <c r="C227" s="75">
        <f>A227*datos!$C$63</f>
        <v>135520</v>
      </c>
      <c r="D227" s="75" t="s">
        <v>133</v>
      </c>
      <c r="E227" s="76">
        <f t="shared" si="8"/>
        <v>9.8000000000000004E-2</v>
      </c>
      <c r="F227" s="305">
        <f t="shared" si="9"/>
        <v>13280.960000000001</v>
      </c>
    </row>
    <row r="228" spans="1:6" s="60" customFormat="1">
      <c r="A228" s="304">
        <v>225</v>
      </c>
      <c r="B228" s="74"/>
      <c r="C228" s="75">
        <f>A228*datos!$C$63</f>
        <v>136125</v>
      </c>
      <c r="D228" s="75" t="s">
        <v>133</v>
      </c>
      <c r="E228" s="76">
        <f t="shared" si="8"/>
        <v>9.8000000000000004E-2</v>
      </c>
      <c r="F228" s="305">
        <f t="shared" si="9"/>
        <v>13340.25</v>
      </c>
    </row>
    <row r="229" spans="1:6" s="60" customFormat="1">
      <c r="A229" s="304">
        <v>226</v>
      </c>
      <c r="B229" s="74"/>
      <c r="C229" s="75">
        <f>A229*datos!$C$63</f>
        <v>136730</v>
      </c>
      <c r="D229" s="75" t="s">
        <v>133</v>
      </c>
      <c r="E229" s="76">
        <f t="shared" si="8"/>
        <v>9.8000000000000004E-2</v>
      </c>
      <c r="F229" s="305">
        <f t="shared" si="9"/>
        <v>13399.54</v>
      </c>
    </row>
    <row r="230" spans="1:6" s="60" customFormat="1">
      <c r="A230" s="304">
        <v>227</v>
      </c>
      <c r="B230" s="74"/>
      <c r="C230" s="75">
        <f>A230*datos!$C$63</f>
        <v>137335</v>
      </c>
      <c r="D230" s="75" t="s">
        <v>133</v>
      </c>
      <c r="E230" s="76">
        <f t="shared" si="8"/>
        <v>9.8000000000000004E-2</v>
      </c>
      <c r="F230" s="305">
        <f t="shared" si="9"/>
        <v>13458.83</v>
      </c>
    </row>
    <row r="231" spans="1:6" s="60" customFormat="1">
      <c r="A231" s="304">
        <v>228</v>
      </c>
      <c r="B231" s="74"/>
      <c r="C231" s="75">
        <f>A231*datos!$C$63</f>
        <v>137940</v>
      </c>
      <c r="D231" s="75" t="s">
        <v>133</v>
      </c>
      <c r="E231" s="76">
        <f t="shared" si="8"/>
        <v>9.8000000000000004E-2</v>
      </c>
      <c r="F231" s="305">
        <f t="shared" si="9"/>
        <v>13518.12</v>
      </c>
    </row>
    <row r="232" spans="1:6" s="60" customFormat="1">
      <c r="A232" s="304">
        <v>229</v>
      </c>
      <c r="B232" s="74"/>
      <c r="C232" s="75">
        <f>A232*datos!$C$63</f>
        <v>138545</v>
      </c>
      <c r="D232" s="75" t="s">
        <v>133</v>
      </c>
      <c r="E232" s="76">
        <f t="shared" si="8"/>
        <v>9.8000000000000004E-2</v>
      </c>
      <c r="F232" s="305">
        <f t="shared" si="9"/>
        <v>13577.41</v>
      </c>
    </row>
    <row r="233" spans="1:6" s="60" customFormat="1">
      <c r="A233" s="304">
        <v>230</v>
      </c>
      <c r="B233" s="74"/>
      <c r="C233" s="75">
        <f>A233*datos!$C$63</f>
        <v>139150</v>
      </c>
      <c r="D233" s="75" t="s">
        <v>133</v>
      </c>
      <c r="E233" s="76">
        <f t="shared" si="8"/>
        <v>9.8000000000000004E-2</v>
      </c>
      <c r="F233" s="305">
        <f t="shared" si="9"/>
        <v>13636.7</v>
      </c>
    </row>
    <row r="234" spans="1:6" s="60" customFormat="1">
      <c r="A234" s="304">
        <v>231</v>
      </c>
      <c r="B234" s="74"/>
      <c r="C234" s="75">
        <f>A234*datos!$C$63</f>
        <v>139755</v>
      </c>
      <c r="D234" s="75" t="s">
        <v>133</v>
      </c>
      <c r="E234" s="76">
        <f t="shared" si="8"/>
        <v>9.8000000000000004E-2</v>
      </c>
      <c r="F234" s="305">
        <f t="shared" si="9"/>
        <v>13695.99</v>
      </c>
    </row>
    <row r="235" spans="1:6" s="60" customFormat="1">
      <c r="A235" s="304">
        <v>232</v>
      </c>
      <c r="B235" s="74"/>
      <c r="C235" s="75">
        <f>A235*datos!$C$63</f>
        <v>140360</v>
      </c>
      <c r="D235" s="75" t="s">
        <v>133</v>
      </c>
      <c r="E235" s="76">
        <f t="shared" si="8"/>
        <v>9.8000000000000004E-2</v>
      </c>
      <c r="F235" s="305">
        <f t="shared" si="9"/>
        <v>13755.28</v>
      </c>
    </row>
    <row r="236" spans="1:6" s="60" customFormat="1">
      <c r="A236" s="304">
        <v>233</v>
      </c>
      <c r="B236" s="74"/>
      <c r="C236" s="75">
        <f>A236*datos!$C$63</f>
        <v>140965</v>
      </c>
      <c r="D236" s="75" t="s">
        <v>133</v>
      </c>
      <c r="E236" s="76">
        <f t="shared" si="8"/>
        <v>9.8000000000000004E-2</v>
      </c>
      <c r="F236" s="305">
        <f t="shared" si="9"/>
        <v>13814.57</v>
      </c>
    </row>
    <row r="237" spans="1:6" s="60" customFormat="1">
      <c r="A237" s="304">
        <v>234</v>
      </c>
      <c r="B237" s="74"/>
      <c r="C237" s="75">
        <f>A237*datos!$C$63</f>
        <v>141570</v>
      </c>
      <c r="D237" s="75" t="s">
        <v>133</v>
      </c>
      <c r="E237" s="76">
        <f t="shared" si="8"/>
        <v>9.8000000000000004E-2</v>
      </c>
      <c r="F237" s="305">
        <f t="shared" si="9"/>
        <v>13873.86</v>
      </c>
    </row>
    <row r="238" spans="1:6" s="60" customFormat="1">
      <c r="A238" s="304">
        <v>235</v>
      </c>
      <c r="B238" s="74"/>
      <c r="C238" s="75">
        <f>A238*datos!$C$63</f>
        <v>142175</v>
      </c>
      <c r="D238" s="75" t="s">
        <v>133</v>
      </c>
      <c r="E238" s="76">
        <f t="shared" si="8"/>
        <v>9.8000000000000004E-2</v>
      </c>
      <c r="F238" s="305">
        <f t="shared" si="9"/>
        <v>13933.15</v>
      </c>
    </row>
    <row r="239" spans="1:6" s="60" customFormat="1">
      <c r="A239" s="304">
        <v>236</v>
      </c>
      <c r="B239" s="74"/>
      <c r="C239" s="75">
        <f>A239*datos!$C$63</f>
        <v>142780</v>
      </c>
      <c r="D239" s="75" t="s">
        <v>133</v>
      </c>
      <c r="E239" s="76">
        <f t="shared" si="8"/>
        <v>9.8000000000000004E-2</v>
      </c>
      <c r="F239" s="305">
        <f t="shared" si="9"/>
        <v>13992.44</v>
      </c>
    </row>
    <row r="240" spans="1:6" s="60" customFormat="1">
      <c r="A240" s="304">
        <v>237</v>
      </c>
      <c r="B240" s="74"/>
      <c r="C240" s="75">
        <f>A240*datos!$C$63</f>
        <v>143385</v>
      </c>
      <c r="D240" s="75" t="s">
        <v>133</v>
      </c>
      <c r="E240" s="76">
        <f t="shared" si="8"/>
        <v>9.8000000000000004E-2</v>
      </c>
      <c r="F240" s="305">
        <f t="shared" si="9"/>
        <v>14051.730000000001</v>
      </c>
    </row>
    <row r="241" spans="1:6" s="60" customFormat="1">
      <c r="A241" s="304">
        <v>238</v>
      </c>
      <c r="B241" s="74"/>
      <c r="C241" s="75">
        <f>A241*datos!$C$63</f>
        <v>143990</v>
      </c>
      <c r="D241" s="75" t="s">
        <v>133</v>
      </c>
      <c r="E241" s="76">
        <f t="shared" si="8"/>
        <v>9.8000000000000004E-2</v>
      </c>
      <c r="F241" s="305">
        <f t="shared" si="9"/>
        <v>14111.02</v>
      </c>
    </row>
    <row r="242" spans="1:6" s="60" customFormat="1">
      <c r="A242" s="304">
        <v>239</v>
      </c>
      <c r="B242" s="74"/>
      <c r="C242" s="75">
        <f>A242*datos!$C$63</f>
        <v>144595</v>
      </c>
      <c r="D242" s="75" t="s">
        <v>133</v>
      </c>
      <c r="E242" s="76">
        <f t="shared" si="8"/>
        <v>9.8000000000000004E-2</v>
      </c>
      <c r="F242" s="305">
        <f t="shared" si="9"/>
        <v>14170.310000000001</v>
      </c>
    </row>
    <row r="243" spans="1:6" s="60" customFormat="1">
      <c r="A243" s="304">
        <v>240</v>
      </c>
      <c r="B243" s="74"/>
      <c r="C243" s="75">
        <f>A243*datos!$C$63</f>
        <v>145200</v>
      </c>
      <c r="D243" s="75" t="s">
        <v>133</v>
      </c>
      <c r="E243" s="76">
        <f t="shared" si="8"/>
        <v>9.8000000000000004E-2</v>
      </c>
      <c r="F243" s="305">
        <f t="shared" si="9"/>
        <v>14229.6</v>
      </c>
    </row>
    <row r="244" spans="1:6" s="60" customFormat="1">
      <c r="A244" s="304">
        <v>241</v>
      </c>
      <c r="B244" s="74"/>
      <c r="C244" s="75">
        <f>A244*datos!$C$63</f>
        <v>145805</v>
      </c>
      <c r="D244" s="75" t="s">
        <v>133</v>
      </c>
      <c r="E244" s="76">
        <f t="shared" si="8"/>
        <v>9.8000000000000004E-2</v>
      </c>
      <c r="F244" s="305">
        <f t="shared" si="9"/>
        <v>14288.890000000001</v>
      </c>
    </row>
    <row r="245" spans="1:6" s="60" customFormat="1">
      <c r="A245" s="304">
        <v>242</v>
      </c>
      <c r="B245" s="74"/>
      <c r="C245" s="75">
        <f>A245*datos!$C$63</f>
        <v>146410</v>
      </c>
      <c r="D245" s="75" t="s">
        <v>133</v>
      </c>
      <c r="E245" s="76">
        <f t="shared" si="8"/>
        <v>9.8000000000000004E-2</v>
      </c>
      <c r="F245" s="305">
        <f t="shared" si="9"/>
        <v>14348.18</v>
      </c>
    </row>
    <row r="246" spans="1:6" s="60" customFormat="1">
      <c r="A246" s="304">
        <v>243</v>
      </c>
      <c r="B246" s="74"/>
      <c r="C246" s="75">
        <f>A246*datos!$C$63</f>
        <v>147015</v>
      </c>
      <c r="D246" s="75" t="s">
        <v>133</v>
      </c>
      <c r="E246" s="76">
        <f t="shared" si="8"/>
        <v>9.8000000000000004E-2</v>
      </c>
      <c r="F246" s="305">
        <f t="shared" si="9"/>
        <v>14407.470000000001</v>
      </c>
    </row>
    <row r="247" spans="1:6" s="60" customFormat="1">
      <c r="A247" s="304">
        <v>244</v>
      </c>
      <c r="B247" s="74"/>
      <c r="C247" s="75">
        <f>A247*datos!$C$63</f>
        <v>147620</v>
      </c>
      <c r="D247" s="75" t="s">
        <v>133</v>
      </c>
      <c r="E247" s="76">
        <f t="shared" si="8"/>
        <v>9.8000000000000004E-2</v>
      </c>
      <c r="F247" s="305">
        <f t="shared" si="9"/>
        <v>14466.76</v>
      </c>
    </row>
    <row r="248" spans="1:6" s="60" customFormat="1">
      <c r="A248" s="304">
        <v>245</v>
      </c>
      <c r="B248" s="74"/>
      <c r="C248" s="75">
        <f>A248*datos!$C$63</f>
        <v>148225</v>
      </c>
      <c r="D248" s="75" t="s">
        <v>133</v>
      </c>
      <c r="E248" s="76">
        <f t="shared" si="8"/>
        <v>9.8000000000000004E-2</v>
      </c>
      <c r="F248" s="305">
        <f t="shared" si="9"/>
        <v>14526.050000000001</v>
      </c>
    </row>
    <row r="249" spans="1:6" s="60" customFormat="1">
      <c r="A249" s="304">
        <v>246</v>
      </c>
      <c r="B249" s="74"/>
      <c r="C249" s="75">
        <f>A249*datos!$C$63</f>
        <v>148830</v>
      </c>
      <c r="D249" s="75" t="s">
        <v>133</v>
      </c>
      <c r="E249" s="76">
        <f t="shared" si="8"/>
        <v>9.8000000000000004E-2</v>
      </c>
      <c r="F249" s="305">
        <f t="shared" si="9"/>
        <v>14585.34</v>
      </c>
    </row>
    <row r="250" spans="1:6" s="60" customFormat="1">
      <c r="A250" s="304">
        <v>247</v>
      </c>
      <c r="B250" s="74"/>
      <c r="C250" s="75">
        <f>A250*datos!$C$63</f>
        <v>149435</v>
      </c>
      <c r="D250" s="75" t="s">
        <v>133</v>
      </c>
      <c r="E250" s="76">
        <f t="shared" si="8"/>
        <v>9.8000000000000004E-2</v>
      </c>
      <c r="F250" s="305">
        <f t="shared" si="9"/>
        <v>14644.630000000001</v>
      </c>
    </row>
    <row r="251" spans="1:6" s="60" customFormat="1">
      <c r="A251" s="304">
        <v>248</v>
      </c>
      <c r="B251" s="74"/>
      <c r="C251" s="75">
        <f>A251*datos!$C$63</f>
        <v>150040</v>
      </c>
      <c r="D251" s="75" t="s">
        <v>133</v>
      </c>
      <c r="E251" s="76">
        <f t="shared" si="8"/>
        <v>9.8000000000000004E-2</v>
      </c>
      <c r="F251" s="305">
        <f t="shared" si="9"/>
        <v>14703.92</v>
      </c>
    </row>
    <row r="252" spans="1:6" s="60" customFormat="1">
      <c r="A252" s="304">
        <v>249</v>
      </c>
      <c r="B252" s="74"/>
      <c r="C252" s="75">
        <f>A252*datos!$C$63</f>
        <v>150645</v>
      </c>
      <c r="D252" s="75" t="s">
        <v>133</v>
      </c>
      <c r="E252" s="76">
        <f t="shared" si="8"/>
        <v>9.8000000000000004E-2</v>
      </c>
      <c r="F252" s="305">
        <f t="shared" si="9"/>
        <v>14763.210000000001</v>
      </c>
    </row>
    <row r="253" spans="1:6" s="60" customFormat="1">
      <c r="A253" s="304">
        <v>250</v>
      </c>
      <c r="B253" s="74"/>
      <c r="C253" s="75">
        <f>A253*datos!$C$63</f>
        <v>151250</v>
      </c>
      <c r="D253" s="75" t="s">
        <v>133</v>
      </c>
      <c r="E253" s="76">
        <f t="shared" si="8"/>
        <v>9.8000000000000004E-2</v>
      </c>
      <c r="F253" s="305">
        <f t="shared" si="9"/>
        <v>14822.5</v>
      </c>
    </row>
    <row r="254" spans="1:6" s="60" customFormat="1">
      <c r="A254" s="304">
        <v>251</v>
      </c>
      <c r="B254" s="74"/>
      <c r="C254" s="75">
        <f>A254*datos!$C$63</f>
        <v>151855</v>
      </c>
      <c r="D254" s="75" t="s">
        <v>133</v>
      </c>
      <c r="E254" s="76">
        <f t="shared" si="8"/>
        <v>9.8000000000000004E-2</v>
      </c>
      <c r="F254" s="305">
        <f t="shared" si="9"/>
        <v>14881.79</v>
      </c>
    </row>
    <row r="255" spans="1:6" s="60" customFormat="1">
      <c r="A255" s="304">
        <v>252</v>
      </c>
      <c r="B255" s="74"/>
      <c r="C255" s="75">
        <f>A255*datos!$C$63</f>
        <v>152460</v>
      </c>
      <c r="D255" s="75" t="s">
        <v>133</v>
      </c>
      <c r="E255" s="76">
        <f t="shared" si="8"/>
        <v>9.8000000000000004E-2</v>
      </c>
      <c r="F255" s="305">
        <f t="shared" si="9"/>
        <v>14941.08</v>
      </c>
    </row>
    <row r="256" spans="1:6" s="60" customFormat="1">
      <c r="A256" s="304">
        <v>253</v>
      </c>
      <c r="B256" s="74"/>
      <c r="C256" s="75">
        <f>A256*datos!$C$63</f>
        <v>153065</v>
      </c>
      <c r="D256" s="75" t="s">
        <v>133</v>
      </c>
      <c r="E256" s="76">
        <f t="shared" si="8"/>
        <v>9.8000000000000004E-2</v>
      </c>
      <c r="F256" s="305">
        <f t="shared" si="9"/>
        <v>15000.37</v>
      </c>
    </row>
    <row r="257" spans="1:6" s="60" customFormat="1">
      <c r="A257" s="304">
        <v>254</v>
      </c>
      <c r="B257" s="74"/>
      <c r="C257" s="75">
        <f>A257*datos!$C$63</f>
        <v>153670</v>
      </c>
      <c r="D257" s="75" t="s">
        <v>133</v>
      </c>
      <c r="E257" s="76">
        <f t="shared" si="8"/>
        <v>9.8000000000000004E-2</v>
      </c>
      <c r="F257" s="305">
        <f t="shared" si="9"/>
        <v>15059.66</v>
      </c>
    </row>
    <row r="258" spans="1:6" s="60" customFormat="1">
      <c r="A258" s="304">
        <v>255</v>
      </c>
      <c r="B258" s="74"/>
      <c r="C258" s="75">
        <f>A258*datos!$C$63</f>
        <v>154275</v>
      </c>
      <c r="D258" s="75" t="s">
        <v>133</v>
      </c>
      <c r="E258" s="76">
        <f t="shared" si="8"/>
        <v>9.8000000000000004E-2</v>
      </c>
      <c r="F258" s="305">
        <f t="shared" si="9"/>
        <v>15118.95</v>
      </c>
    </row>
    <row r="259" spans="1:6" s="60" customFormat="1">
      <c r="A259" s="304">
        <v>256</v>
      </c>
      <c r="B259" s="74"/>
      <c r="C259" s="75">
        <f>A259*datos!$C$63</f>
        <v>154880</v>
      </c>
      <c r="D259" s="75" t="s">
        <v>133</v>
      </c>
      <c r="E259" s="76">
        <f t="shared" si="8"/>
        <v>9.8000000000000004E-2</v>
      </c>
      <c r="F259" s="305">
        <f t="shared" si="9"/>
        <v>15178.24</v>
      </c>
    </row>
    <row r="260" spans="1:6" s="60" customFormat="1">
      <c r="A260" s="304">
        <v>257</v>
      </c>
      <c r="B260" s="74"/>
      <c r="C260" s="75">
        <f>A260*datos!$C$63</f>
        <v>155485</v>
      </c>
      <c r="D260" s="75" t="s">
        <v>133</v>
      </c>
      <c r="E260" s="76">
        <f t="shared" si="8"/>
        <v>9.8000000000000004E-2</v>
      </c>
      <c r="F260" s="305">
        <f t="shared" si="9"/>
        <v>15237.53</v>
      </c>
    </row>
    <row r="261" spans="1:6" s="60" customFormat="1">
      <c r="A261" s="304">
        <v>258</v>
      </c>
      <c r="B261" s="74"/>
      <c r="C261" s="75">
        <f>A261*datos!$C$63</f>
        <v>156090</v>
      </c>
      <c r="D261" s="75" t="s">
        <v>133</v>
      </c>
      <c r="E261" s="76">
        <f t="shared" si="8"/>
        <v>9.8000000000000004E-2</v>
      </c>
      <c r="F261" s="305">
        <f t="shared" si="9"/>
        <v>15296.82</v>
      </c>
    </row>
    <row r="262" spans="1:6" s="60" customFormat="1">
      <c r="A262" s="304">
        <v>259</v>
      </c>
      <c r="B262" s="74"/>
      <c r="C262" s="75">
        <f>A262*datos!$C$63</f>
        <v>156695</v>
      </c>
      <c r="D262" s="75" t="s">
        <v>133</v>
      </c>
      <c r="E262" s="76">
        <f t="shared" si="8"/>
        <v>9.8000000000000004E-2</v>
      </c>
      <c r="F262" s="305">
        <f t="shared" si="9"/>
        <v>15356.11</v>
      </c>
    </row>
    <row r="263" spans="1:6" s="60" customFormat="1">
      <c r="A263" s="304">
        <v>260</v>
      </c>
      <c r="B263" s="74"/>
      <c r="C263" s="75">
        <f>A263*datos!$C$63</f>
        <v>157300</v>
      </c>
      <c r="D263" s="75" t="s">
        <v>133</v>
      </c>
      <c r="E263" s="76">
        <f t="shared" ref="E263" si="10">F263/C263</f>
        <v>9.8000000000000004E-2</v>
      </c>
      <c r="F263" s="305">
        <f t="shared" ref="F263" si="11">IF(C263&lt;=3000,850,
IF(C263&lt;=3500,900,
IF(C263&lt;=4000,1050,
IF(C263&lt;=5000,1250,
IF(C263&lt;=6000,1350,
IF(C263&lt;=7000,1400,
IF(C263&lt;=8000,1450,
IF(C263&lt;=9000,1500,
IF(C263&lt;=10000,1600,
IF(C263&lt;=11000,1700,
IF(C263&lt;=12000,1800,
IF(C263&lt;=13000,1850,
IF(C263&lt;=14000,1900,
IF(C263&lt;=15000,1950,
IF(C263&lt;=16000,2000,
IF(C263&lt;=17000,2100,
IF(C263&lt;=18000,2200,
IF(C263&lt;=19000,2300,
IF(C263&lt;=20000,C263*0.118,
IF(C263&lt;=30000,C263*0.116,
IF(C263&lt;=40000,C263*0.114,
IF(C263&lt;=50000,C263*0.112,
IF(C263&lt;=60000,C263*0.11,
IF(C263&lt;=70000,C263*0.108,
IF(C263&lt;=80000,C263*0.106,
IF(C263&lt;=90000,C263*0.104,
IF(C263&lt;=100000,C263*0.102,
IF(C263&lt;=110000,C263*0.1,
IF(C263&lt;=120000,C263*0.098,
IF(C263&lt;=130000,C263*0.098,
IF(C263&lt;=140000,C263*0.098,
IF(C263&lt;=150000,C263*0.098,
IF(C263&lt;=160000,C263*0.098,
)))))))))))))))))))))))))))))))))</f>
        <v>15415.400000000001</v>
      </c>
    </row>
  </sheetData>
  <sheetProtection selectLockedCells="1" selectUnlockedCells="1"/>
  <mergeCells count="1">
    <mergeCell ref="A1:F1"/>
  </mergeCells>
  <pageMargins left="0.7" right="0.7" top="0.75" bottom="0.75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EE72-EAEE-4549-9CA6-3F241496CD44}">
  <sheetPr codeName="Hoja23">
    <tabColor theme="1" tint="0.249977111117893"/>
  </sheetPr>
  <dimension ref="A1:C263"/>
  <sheetViews>
    <sheetView showGridLines="0" zoomScaleNormal="100" workbookViewId="0">
      <selection activeCell="D25" sqref="D25"/>
    </sheetView>
  </sheetViews>
  <sheetFormatPr baseColWidth="10" defaultColWidth="11.5546875" defaultRowHeight="15.6"/>
  <cols>
    <col min="1" max="1" width="24.109375" style="41" customWidth="1"/>
    <col min="2" max="3" width="28.44140625" style="41" customWidth="1"/>
    <col min="4" max="4" width="19.77734375" style="41" customWidth="1"/>
    <col min="5" max="16384" width="11.5546875" style="41"/>
  </cols>
  <sheetData>
    <row r="1" spans="1:3" ht="24.6" customHeight="1">
      <c r="A1" s="448" t="s">
        <v>289</v>
      </c>
      <c r="B1" s="449"/>
      <c r="C1" s="449"/>
    </row>
    <row r="2" spans="1:3" s="60" customFormat="1" ht="36" customHeight="1">
      <c r="A2" s="209" t="s">
        <v>1</v>
      </c>
      <c r="B2" s="209" t="s">
        <v>97</v>
      </c>
      <c r="C2" s="209" t="s">
        <v>182</v>
      </c>
    </row>
    <row r="3" spans="1:3" s="60" customFormat="1">
      <c r="A3" s="73">
        <v>0</v>
      </c>
      <c r="B3" s="75">
        <f t="shared" ref="B3:B5" si="0">A3*p_mod</f>
        <v>0</v>
      </c>
      <c r="C3" s="210">
        <f t="shared" ref="C3:C5" si="1">IF(B3&lt;=3000,0.4,
IF(B3&lt;=3000,0.4,
IF(B3&lt;=4000,0.39,
IF(B3&lt;=5000,0.38,
IF(B3&lt;=10000,0.37,
IF(B3&lt;=20000,0.36,
IF(B3&lt;=30000,0.35,
IF(B3&lt;=40000,0.34,
IF(B3&lt;=50000,0.33,
IF(B3&lt;=60000,0.32,
IF(B3&lt;=70000,0.31,
IF(B3&lt;=80000,0.3,
IF(B3&lt;=90000,0.295,
IF(B3&lt;=100000,0.29,
IF(B3&lt;=110000,0.285,
IF(B3&lt;=120000,0.28,
IF(B3&lt;=130000,0.28,
IF(B3&lt;=140000,0.28,
IF(B3&lt;=150000,0.28,
)))))))))))))))))))</f>
        <v>0.4</v>
      </c>
    </row>
    <row r="4" spans="1:3" s="60" customFormat="1">
      <c r="A4" s="73">
        <v>1</v>
      </c>
      <c r="B4" s="75">
        <f t="shared" si="0"/>
        <v>605</v>
      </c>
      <c r="C4" s="210">
        <f t="shared" si="1"/>
        <v>0.4</v>
      </c>
    </row>
    <row r="5" spans="1:3" s="60" customFormat="1">
      <c r="A5" s="73">
        <v>2</v>
      </c>
      <c r="B5" s="75">
        <f t="shared" si="0"/>
        <v>1210</v>
      </c>
      <c r="C5" s="210">
        <f t="shared" si="1"/>
        <v>0.4</v>
      </c>
    </row>
    <row r="6" spans="1:3" s="60" customFormat="1">
      <c r="A6" s="73">
        <v>3</v>
      </c>
      <c r="B6" s="75">
        <f t="shared" ref="B6:B69" si="2">A6*p_mod</f>
        <v>1815</v>
      </c>
      <c r="C6" s="210">
        <f>IF(B6&lt;=3000,0.4,
IF(B6&lt;=3000,0.4,
IF(B6&lt;=4000,0.39,
IF(B6&lt;=5000,0.38,
IF(B6&lt;=10000,0.37,
IF(B6&lt;=20000,0.36,
IF(B6&lt;=30000,0.35,
IF(B6&lt;=40000,0.34,
IF(B6&lt;=50000,0.33,
IF(B6&lt;=60000,0.32,
IF(B6&lt;=70000,0.31,
IF(B6&lt;=80000,0.3,
IF(B6&lt;=90000,0.295,
IF(B6&lt;=100000,0.29,
IF(B6&lt;=110000,0.285,
IF(B6&lt;=120000,0.28,
IF(B6&lt;=130000,0.28,
IF(B6&lt;=140000,0.28,
IF(B6&lt;=150000,0.28,
)))))))))))))))))))</f>
        <v>0.4</v>
      </c>
    </row>
    <row r="7" spans="1:3" s="60" customFormat="1">
      <c r="A7" s="73">
        <v>4</v>
      </c>
      <c r="B7" s="75">
        <f t="shared" si="2"/>
        <v>2420</v>
      </c>
      <c r="C7" s="210">
        <f t="shared" ref="C7:C70" si="3">IF(B7&lt;=3000,0.4,
IF(B7&lt;=3000,0.4,
IF(B7&lt;=4000,0.39,
IF(B7&lt;=5000,0.38,
IF(B7&lt;=10000,0.37,
IF(B7&lt;=20000,0.36,
IF(B7&lt;=30000,0.35,
IF(B7&lt;=40000,0.34,
IF(B7&lt;=50000,0.33,
IF(B7&lt;=60000,0.32,
IF(B7&lt;=70000,0.31,
IF(B7&lt;=80000,0.3,
IF(B7&lt;=90000,0.295,
IF(B7&lt;=100000,0.29,
IF(B7&lt;=110000,0.285,
IF(B7&lt;=120000,0.28,
IF(B7&lt;=130000,0.28,
IF(B7&lt;=140000,0.28,
IF(B7&lt;=150000,0.28,
)))))))))))))))))))</f>
        <v>0.4</v>
      </c>
    </row>
    <row r="8" spans="1:3" s="60" customFormat="1">
      <c r="A8" s="73">
        <v>5</v>
      </c>
      <c r="B8" s="75">
        <f t="shared" si="2"/>
        <v>3025</v>
      </c>
      <c r="C8" s="210">
        <f t="shared" si="3"/>
        <v>0.39</v>
      </c>
    </row>
    <row r="9" spans="1:3" s="60" customFormat="1">
      <c r="A9" s="73">
        <v>6</v>
      </c>
      <c r="B9" s="75">
        <f t="shared" si="2"/>
        <v>3630</v>
      </c>
      <c r="C9" s="210">
        <f t="shared" si="3"/>
        <v>0.39</v>
      </c>
    </row>
    <row r="10" spans="1:3" s="60" customFormat="1">
      <c r="A10" s="73">
        <v>7</v>
      </c>
      <c r="B10" s="75">
        <f t="shared" si="2"/>
        <v>4235</v>
      </c>
      <c r="C10" s="210">
        <f t="shared" si="3"/>
        <v>0.38</v>
      </c>
    </row>
    <row r="11" spans="1:3" s="60" customFormat="1">
      <c r="A11" s="73">
        <v>8</v>
      </c>
      <c r="B11" s="75">
        <f t="shared" si="2"/>
        <v>4840</v>
      </c>
      <c r="C11" s="210">
        <f t="shared" si="3"/>
        <v>0.38</v>
      </c>
    </row>
    <row r="12" spans="1:3" s="60" customFormat="1">
      <c r="A12" s="73">
        <v>9</v>
      </c>
      <c r="B12" s="75">
        <f t="shared" si="2"/>
        <v>5445</v>
      </c>
      <c r="C12" s="210">
        <f t="shared" si="3"/>
        <v>0.37</v>
      </c>
    </row>
    <row r="13" spans="1:3" s="60" customFormat="1">
      <c r="A13" s="73">
        <v>10</v>
      </c>
      <c r="B13" s="75">
        <f t="shared" si="2"/>
        <v>6050</v>
      </c>
      <c r="C13" s="210">
        <f t="shared" si="3"/>
        <v>0.37</v>
      </c>
    </row>
    <row r="14" spans="1:3" s="60" customFormat="1">
      <c r="A14" s="73">
        <v>11</v>
      </c>
      <c r="B14" s="75">
        <f t="shared" si="2"/>
        <v>6655</v>
      </c>
      <c r="C14" s="210">
        <f t="shared" si="3"/>
        <v>0.37</v>
      </c>
    </row>
    <row r="15" spans="1:3" s="60" customFormat="1">
      <c r="A15" s="73">
        <v>12</v>
      </c>
      <c r="B15" s="75">
        <f t="shared" si="2"/>
        <v>7260</v>
      </c>
      <c r="C15" s="210">
        <f t="shared" si="3"/>
        <v>0.37</v>
      </c>
    </row>
    <row r="16" spans="1:3" s="60" customFormat="1">
      <c r="A16" s="73">
        <v>13</v>
      </c>
      <c r="B16" s="75">
        <f t="shared" si="2"/>
        <v>7865</v>
      </c>
      <c r="C16" s="210">
        <f t="shared" si="3"/>
        <v>0.37</v>
      </c>
    </row>
    <row r="17" spans="1:3" s="60" customFormat="1">
      <c r="A17" s="73">
        <v>14</v>
      </c>
      <c r="B17" s="75">
        <f t="shared" si="2"/>
        <v>8470</v>
      </c>
      <c r="C17" s="210">
        <f t="shared" si="3"/>
        <v>0.37</v>
      </c>
    </row>
    <row r="18" spans="1:3" s="60" customFormat="1">
      <c r="A18" s="73">
        <v>15</v>
      </c>
      <c r="B18" s="75">
        <f t="shared" si="2"/>
        <v>9075</v>
      </c>
      <c r="C18" s="210">
        <f t="shared" si="3"/>
        <v>0.37</v>
      </c>
    </row>
    <row r="19" spans="1:3" s="60" customFormat="1">
      <c r="A19" s="73">
        <v>16</v>
      </c>
      <c r="B19" s="75">
        <f t="shared" si="2"/>
        <v>9680</v>
      </c>
      <c r="C19" s="210">
        <f t="shared" si="3"/>
        <v>0.37</v>
      </c>
    </row>
    <row r="20" spans="1:3" s="60" customFormat="1">
      <c r="A20" s="73">
        <v>17</v>
      </c>
      <c r="B20" s="75">
        <f t="shared" si="2"/>
        <v>10285</v>
      </c>
      <c r="C20" s="210">
        <f t="shared" si="3"/>
        <v>0.36</v>
      </c>
    </row>
    <row r="21" spans="1:3" s="60" customFormat="1">
      <c r="A21" s="73">
        <v>18</v>
      </c>
      <c r="B21" s="75">
        <f t="shared" si="2"/>
        <v>10890</v>
      </c>
      <c r="C21" s="210">
        <f t="shared" si="3"/>
        <v>0.36</v>
      </c>
    </row>
    <row r="22" spans="1:3" s="60" customFormat="1">
      <c r="A22" s="73">
        <v>19</v>
      </c>
      <c r="B22" s="75">
        <f t="shared" si="2"/>
        <v>11495</v>
      </c>
      <c r="C22" s="210">
        <f t="shared" si="3"/>
        <v>0.36</v>
      </c>
    </row>
    <row r="23" spans="1:3" s="60" customFormat="1">
      <c r="A23" s="73">
        <v>20</v>
      </c>
      <c r="B23" s="75">
        <f t="shared" si="2"/>
        <v>12100</v>
      </c>
      <c r="C23" s="210">
        <f t="shared" si="3"/>
        <v>0.36</v>
      </c>
    </row>
    <row r="24" spans="1:3" s="60" customFormat="1">
      <c r="A24" s="73">
        <v>21</v>
      </c>
      <c r="B24" s="75">
        <f t="shared" si="2"/>
        <v>12705</v>
      </c>
      <c r="C24" s="210">
        <f t="shared" si="3"/>
        <v>0.36</v>
      </c>
    </row>
    <row r="25" spans="1:3" s="60" customFormat="1">
      <c r="A25" s="73">
        <v>22</v>
      </c>
      <c r="B25" s="75">
        <f t="shared" si="2"/>
        <v>13310</v>
      </c>
      <c r="C25" s="210">
        <f t="shared" si="3"/>
        <v>0.36</v>
      </c>
    </row>
    <row r="26" spans="1:3" s="60" customFormat="1">
      <c r="A26" s="73">
        <v>23</v>
      </c>
      <c r="B26" s="75">
        <f t="shared" si="2"/>
        <v>13915</v>
      </c>
      <c r="C26" s="210">
        <f t="shared" si="3"/>
        <v>0.36</v>
      </c>
    </row>
    <row r="27" spans="1:3" s="60" customFormat="1">
      <c r="A27" s="73">
        <v>24</v>
      </c>
      <c r="B27" s="75">
        <f t="shared" si="2"/>
        <v>14520</v>
      </c>
      <c r="C27" s="210">
        <f t="shared" si="3"/>
        <v>0.36</v>
      </c>
    </row>
    <row r="28" spans="1:3" s="60" customFormat="1">
      <c r="A28" s="73">
        <v>25</v>
      </c>
      <c r="B28" s="75">
        <f t="shared" si="2"/>
        <v>15125</v>
      </c>
      <c r="C28" s="210">
        <f t="shared" si="3"/>
        <v>0.36</v>
      </c>
    </row>
    <row r="29" spans="1:3" s="60" customFormat="1">
      <c r="A29" s="73">
        <v>26</v>
      </c>
      <c r="B29" s="75">
        <f t="shared" si="2"/>
        <v>15730</v>
      </c>
      <c r="C29" s="210">
        <f t="shared" si="3"/>
        <v>0.36</v>
      </c>
    </row>
    <row r="30" spans="1:3" s="60" customFormat="1">
      <c r="A30" s="73">
        <v>27</v>
      </c>
      <c r="B30" s="75">
        <f t="shared" si="2"/>
        <v>16335</v>
      </c>
      <c r="C30" s="210">
        <f t="shared" si="3"/>
        <v>0.36</v>
      </c>
    </row>
    <row r="31" spans="1:3" s="60" customFormat="1">
      <c r="A31" s="73">
        <v>28</v>
      </c>
      <c r="B31" s="75">
        <f t="shared" si="2"/>
        <v>16940</v>
      </c>
      <c r="C31" s="210">
        <f t="shared" si="3"/>
        <v>0.36</v>
      </c>
    </row>
    <row r="32" spans="1:3" s="60" customFormat="1">
      <c r="A32" s="73">
        <v>29</v>
      </c>
      <c r="B32" s="75">
        <f t="shared" si="2"/>
        <v>17545</v>
      </c>
      <c r="C32" s="210">
        <f t="shared" si="3"/>
        <v>0.36</v>
      </c>
    </row>
    <row r="33" spans="1:3" s="60" customFormat="1">
      <c r="A33" s="73">
        <v>30</v>
      </c>
      <c r="B33" s="75">
        <f t="shared" si="2"/>
        <v>18150</v>
      </c>
      <c r="C33" s="210">
        <f t="shared" si="3"/>
        <v>0.36</v>
      </c>
    </row>
    <row r="34" spans="1:3" s="60" customFormat="1">
      <c r="A34" s="73">
        <v>31</v>
      </c>
      <c r="B34" s="75">
        <f t="shared" si="2"/>
        <v>18755</v>
      </c>
      <c r="C34" s="210">
        <f t="shared" si="3"/>
        <v>0.36</v>
      </c>
    </row>
    <row r="35" spans="1:3" s="60" customFormat="1">
      <c r="A35" s="73">
        <v>32</v>
      </c>
      <c r="B35" s="75">
        <f t="shared" si="2"/>
        <v>19360</v>
      </c>
      <c r="C35" s="210">
        <f t="shared" si="3"/>
        <v>0.36</v>
      </c>
    </row>
    <row r="36" spans="1:3" s="60" customFormat="1">
      <c r="A36" s="73">
        <v>33</v>
      </c>
      <c r="B36" s="75">
        <f t="shared" si="2"/>
        <v>19965</v>
      </c>
      <c r="C36" s="210">
        <f t="shared" si="3"/>
        <v>0.36</v>
      </c>
    </row>
    <row r="37" spans="1:3" s="60" customFormat="1">
      <c r="A37" s="73">
        <v>34</v>
      </c>
      <c r="B37" s="75">
        <f t="shared" si="2"/>
        <v>20570</v>
      </c>
      <c r="C37" s="210">
        <f t="shared" si="3"/>
        <v>0.35</v>
      </c>
    </row>
    <row r="38" spans="1:3" s="60" customFormat="1">
      <c r="A38" s="73">
        <v>35</v>
      </c>
      <c r="B38" s="75">
        <f t="shared" si="2"/>
        <v>21175</v>
      </c>
      <c r="C38" s="210">
        <f t="shared" si="3"/>
        <v>0.35</v>
      </c>
    </row>
    <row r="39" spans="1:3" s="60" customFormat="1">
      <c r="A39" s="73">
        <v>36</v>
      </c>
      <c r="B39" s="75">
        <f t="shared" si="2"/>
        <v>21780</v>
      </c>
      <c r="C39" s="210">
        <f t="shared" si="3"/>
        <v>0.35</v>
      </c>
    </row>
    <row r="40" spans="1:3" s="60" customFormat="1">
      <c r="A40" s="73">
        <v>37</v>
      </c>
      <c r="B40" s="75">
        <f t="shared" si="2"/>
        <v>22385</v>
      </c>
      <c r="C40" s="210">
        <f t="shared" si="3"/>
        <v>0.35</v>
      </c>
    </row>
    <row r="41" spans="1:3" s="60" customFormat="1">
      <c r="A41" s="73">
        <v>38</v>
      </c>
      <c r="B41" s="75">
        <f t="shared" si="2"/>
        <v>22990</v>
      </c>
      <c r="C41" s="210">
        <f t="shared" si="3"/>
        <v>0.35</v>
      </c>
    </row>
    <row r="42" spans="1:3" s="60" customFormat="1">
      <c r="A42" s="73">
        <v>39</v>
      </c>
      <c r="B42" s="75">
        <f t="shared" si="2"/>
        <v>23595</v>
      </c>
      <c r="C42" s="210">
        <f t="shared" si="3"/>
        <v>0.35</v>
      </c>
    </row>
    <row r="43" spans="1:3" s="60" customFormat="1">
      <c r="A43" s="73">
        <v>40</v>
      </c>
      <c r="B43" s="75">
        <f t="shared" si="2"/>
        <v>24200</v>
      </c>
      <c r="C43" s="210">
        <f t="shared" si="3"/>
        <v>0.35</v>
      </c>
    </row>
    <row r="44" spans="1:3" s="60" customFormat="1">
      <c r="A44" s="73">
        <v>41</v>
      </c>
      <c r="B44" s="75">
        <f t="shared" si="2"/>
        <v>24805</v>
      </c>
      <c r="C44" s="210">
        <f t="shared" si="3"/>
        <v>0.35</v>
      </c>
    </row>
    <row r="45" spans="1:3" s="60" customFormat="1">
      <c r="A45" s="73">
        <v>42</v>
      </c>
      <c r="B45" s="75">
        <f t="shared" si="2"/>
        <v>25410</v>
      </c>
      <c r="C45" s="210">
        <f t="shared" si="3"/>
        <v>0.35</v>
      </c>
    </row>
    <row r="46" spans="1:3" s="60" customFormat="1">
      <c r="A46" s="73">
        <v>43</v>
      </c>
      <c r="B46" s="75">
        <f t="shared" si="2"/>
        <v>26015</v>
      </c>
      <c r="C46" s="210">
        <f t="shared" si="3"/>
        <v>0.35</v>
      </c>
    </row>
    <row r="47" spans="1:3" s="60" customFormat="1">
      <c r="A47" s="73">
        <v>44</v>
      </c>
      <c r="B47" s="75">
        <f t="shared" si="2"/>
        <v>26620</v>
      </c>
      <c r="C47" s="210">
        <f t="shared" si="3"/>
        <v>0.35</v>
      </c>
    </row>
    <row r="48" spans="1:3" s="60" customFormat="1">
      <c r="A48" s="73">
        <v>45</v>
      </c>
      <c r="B48" s="75">
        <f t="shared" si="2"/>
        <v>27225</v>
      </c>
      <c r="C48" s="210">
        <f t="shared" si="3"/>
        <v>0.35</v>
      </c>
    </row>
    <row r="49" spans="1:3" s="60" customFormat="1">
      <c r="A49" s="73">
        <v>46</v>
      </c>
      <c r="B49" s="75">
        <f t="shared" si="2"/>
        <v>27830</v>
      </c>
      <c r="C49" s="210">
        <f t="shared" si="3"/>
        <v>0.35</v>
      </c>
    </row>
    <row r="50" spans="1:3" s="60" customFormat="1">
      <c r="A50" s="73">
        <v>47</v>
      </c>
      <c r="B50" s="75">
        <f t="shared" si="2"/>
        <v>28435</v>
      </c>
      <c r="C50" s="210">
        <f t="shared" si="3"/>
        <v>0.35</v>
      </c>
    </row>
    <row r="51" spans="1:3" s="60" customFormat="1">
      <c r="A51" s="73">
        <v>48</v>
      </c>
      <c r="B51" s="75">
        <f t="shared" si="2"/>
        <v>29040</v>
      </c>
      <c r="C51" s="210">
        <f t="shared" si="3"/>
        <v>0.35</v>
      </c>
    </row>
    <row r="52" spans="1:3" s="60" customFormat="1">
      <c r="A52" s="73">
        <v>49</v>
      </c>
      <c r="B52" s="75">
        <f t="shared" si="2"/>
        <v>29645</v>
      </c>
      <c r="C52" s="210">
        <f t="shared" si="3"/>
        <v>0.35</v>
      </c>
    </row>
    <row r="53" spans="1:3" s="60" customFormat="1">
      <c r="A53" s="73">
        <v>50</v>
      </c>
      <c r="B53" s="75">
        <f t="shared" si="2"/>
        <v>30250</v>
      </c>
      <c r="C53" s="210">
        <f t="shared" si="3"/>
        <v>0.34</v>
      </c>
    </row>
    <row r="54" spans="1:3" s="60" customFormat="1">
      <c r="A54" s="73">
        <v>51</v>
      </c>
      <c r="B54" s="75">
        <f t="shared" si="2"/>
        <v>30855</v>
      </c>
      <c r="C54" s="210">
        <f t="shared" si="3"/>
        <v>0.34</v>
      </c>
    </row>
    <row r="55" spans="1:3" s="60" customFormat="1">
      <c r="A55" s="73">
        <v>52</v>
      </c>
      <c r="B55" s="75">
        <f t="shared" si="2"/>
        <v>31460</v>
      </c>
      <c r="C55" s="210">
        <f t="shared" si="3"/>
        <v>0.34</v>
      </c>
    </row>
    <row r="56" spans="1:3" s="60" customFormat="1">
      <c r="A56" s="73">
        <v>53</v>
      </c>
      <c r="B56" s="75">
        <f t="shared" si="2"/>
        <v>32065</v>
      </c>
      <c r="C56" s="210">
        <f t="shared" si="3"/>
        <v>0.34</v>
      </c>
    </row>
    <row r="57" spans="1:3" s="60" customFormat="1">
      <c r="A57" s="73">
        <v>54</v>
      </c>
      <c r="B57" s="75">
        <f t="shared" si="2"/>
        <v>32670</v>
      </c>
      <c r="C57" s="210">
        <f t="shared" si="3"/>
        <v>0.34</v>
      </c>
    </row>
    <row r="58" spans="1:3" s="60" customFormat="1">
      <c r="A58" s="73">
        <v>55</v>
      </c>
      <c r="B58" s="75">
        <f t="shared" si="2"/>
        <v>33275</v>
      </c>
      <c r="C58" s="210">
        <f t="shared" si="3"/>
        <v>0.34</v>
      </c>
    </row>
    <row r="59" spans="1:3" s="60" customFormat="1">
      <c r="A59" s="73">
        <v>56</v>
      </c>
      <c r="B59" s="75">
        <f t="shared" si="2"/>
        <v>33880</v>
      </c>
      <c r="C59" s="210">
        <f t="shared" si="3"/>
        <v>0.34</v>
      </c>
    </row>
    <row r="60" spans="1:3" s="60" customFormat="1">
      <c r="A60" s="73">
        <v>57</v>
      </c>
      <c r="B60" s="75">
        <f t="shared" si="2"/>
        <v>34485</v>
      </c>
      <c r="C60" s="210">
        <f t="shared" si="3"/>
        <v>0.34</v>
      </c>
    </row>
    <row r="61" spans="1:3" s="60" customFormat="1">
      <c r="A61" s="73">
        <v>58</v>
      </c>
      <c r="B61" s="75">
        <f t="shared" si="2"/>
        <v>35090</v>
      </c>
      <c r="C61" s="210">
        <f t="shared" si="3"/>
        <v>0.34</v>
      </c>
    </row>
    <row r="62" spans="1:3" s="60" customFormat="1">
      <c r="A62" s="73">
        <v>59</v>
      </c>
      <c r="B62" s="75">
        <f t="shared" si="2"/>
        <v>35695</v>
      </c>
      <c r="C62" s="210">
        <f t="shared" si="3"/>
        <v>0.34</v>
      </c>
    </row>
    <row r="63" spans="1:3" s="60" customFormat="1">
      <c r="A63" s="73">
        <v>60</v>
      </c>
      <c r="B63" s="75">
        <f t="shared" si="2"/>
        <v>36300</v>
      </c>
      <c r="C63" s="210">
        <f t="shared" si="3"/>
        <v>0.34</v>
      </c>
    </row>
    <row r="64" spans="1:3" s="60" customFormat="1">
      <c r="A64" s="73">
        <v>61</v>
      </c>
      <c r="B64" s="75">
        <f t="shared" si="2"/>
        <v>36905</v>
      </c>
      <c r="C64" s="210">
        <f t="shared" si="3"/>
        <v>0.34</v>
      </c>
    </row>
    <row r="65" spans="1:3" s="60" customFormat="1">
      <c r="A65" s="73">
        <v>62</v>
      </c>
      <c r="B65" s="75">
        <f t="shared" si="2"/>
        <v>37510</v>
      </c>
      <c r="C65" s="210">
        <f t="shared" si="3"/>
        <v>0.34</v>
      </c>
    </row>
    <row r="66" spans="1:3" s="60" customFormat="1">
      <c r="A66" s="73">
        <v>63</v>
      </c>
      <c r="B66" s="75">
        <f t="shared" si="2"/>
        <v>38115</v>
      </c>
      <c r="C66" s="210">
        <f t="shared" si="3"/>
        <v>0.34</v>
      </c>
    </row>
    <row r="67" spans="1:3" s="60" customFormat="1">
      <c r="A67" s="73">
        <v>64</v>
      </c>
      <c r="B67" s="75">
        <f t="shared" si="2"/>
        <v>38720</v>
      </c>
      <c r="C67" s="210">
        <f t="shared" si="3"/>
        <v>0.34</v>
      </c>
    </row>
    <row r="68" spans="1:3" s="60" customFormat="1">
      <c r="A68" s="73">
        <v>65</v>
      </c>
      <c r="B68" s="75">
        <f t="shared" si="2"/>
        <v>39325</v>
      </c>
      <c r="C68" s="210">
        <f t="shared" si="3"/>
        <v>0.34</v>
      </c>
    </row>
    <row r="69" spans="1:3" s="60" customFormat="1">
      <c r="A69" s="73">
        <v>66</v>
      </c>
      <c r="B69" s="75">
        <f t="shared" si="2"/>
        <v>39930</v>
      </c>
      <c r="C69" s="210">
        <f t="shared" si="3"/>
        <v>0.34</v>
      </c>
    </row>
    <row r="70" spans="1:3" s="60" customFormat="1">
      <c r="A70" s="73">
        <v>67</v>
      </c>
      <c r="B70" s="75">
        <f t="shared" ref="B70:B133" si="4">A70*p_mod</f>
        <v>40535</v>
      </c>
      <c r="C70" s="210">
        <f t="shared" si="3"/>
        <v>0.33</v>
      </c>
    </row>
    <row r="71" spans="1:3" s="60" customFormat="1">
      <c r="A71" s="73">
        <v>68</v>
      </c>
      <c r="B71" s="75">
        <f t="shared" si="4"/>
        <v>41140</v>
      </c>
      <c r="C71" s="210">
        <f t="shared" ref="C71:C134" si="5">IF(B71&lt;=3000,0.4,
IF(B71&lt;=3000,0.4,
IF(B71&lt;=4000,0.39,
IF(B71&lt;=5000,0.38,
IF(B71&lt;=10000,0.37,
IF(B71&lt;=20000,0.36,
IF(B71&lt;=30000,0.35,
IF(B71&lt;=40000,0.34,
IF(B71&lt;=50000,0.33,
IF(B71&lt;=60000,0.32,
IF(B71&lt;=70000,0.31,
IF(B71&lt;=80000,0.3,
IF(B71&lt;=90000,0.295,
IF(B71&lt;=100000,0.29,
IF(B71&lt;=110000,0.285,
IF(B71&lt;=120000,0.28,
IF(B71&lt;=130000,0.28,
IF(B71&lt;=140000,0.28,
IF(B71&lt;=150000,0.28,
)))))))))))))))))))</f>
        <v>0.33</v>
      </c>
    </row>
    <row r="72" spans="1:3" s="60" customFormat="1">
      <c r="A72" s="73">
        <v>69</v>
      </c>
      <c r="B72" s="75">
        <f t="shared" si="4"/>
        <v>41745</v>
      </c>
      <c r="C72" s="210">
        <f t="shared" si="5"/>
        <v>0.33</v>
      </c>
    </row>
    <row r="73" spans="1:3" s="60" customFormat="1">
      <c r="A73" s="73">
        <v>70</v>
      </c>
      <c r="B73" s="75">
        <f t="shared" si="4"/>
        <v>42350</v>
      </c>
      <c r="C73" s="210">
        <f t="shared" si="5"/>
        <v>0.33</v>
      </c>
    </row>
    <row r="74" spans="1:3" s="60" customFormat="1">
      <c r="A74" s="73">
        <v>71</v>
      </c>
      <c r="B74" s="75">
        <f t="shared" si="4"/>
        <v>42955</v>
      </c>
      <c r="C74" s="210">
        <f t="shared" si="5"/>
        <v>0.33</v>
      </c>
    </row>
    <row r="75" spans="1:3" s="60" customFormat="1">
      <c r="A75" s="73">
        <v>72</v>
      </c>
      <c r="B75" s="75">
        <f t="shared" si="4"/>
        <v>43560</v>
      </c>
      <c r="C75" s="210">
        <f t="shared" si="5"/>
        <v>0.33</v>
      </c>
    </row>
    <row r="76" spans="1:3" s="60" customFormat="1">
      <c r="A76" s="73">
        <v>73</v>
      </c>
      <c r="B76" s="75">
        <f t="shared" si="4"/>
        <v>44165</v>
      </c>
      <c r="C76" s="210">
        <f t="shared" si="5"/>
        <v>0.33</v>
      </c>
    </row>
    <row r="77" spans="1:3" s="60" customFormat="1">
      <c r="A77" s="73">
        <v>74</v>
      </c>
      <c r="B77" s="75">
        <f t="shared" si="4"/>
        <v>44770</v>
      </c>
      <c r="C77" s="210">
        <f t="shared" si="5"/>
        <v>0.33</v>
      </c>
    </row>
    <row r="78" spans="1:3" s="60" customFormat="1">
      <c r="A78" s="73">
        <v>75</v>
      </c>
      <c r="B78" s="75">
        <f t="shared" si="4"/>
        <v>45375</v>
      </c>
      <c r="C78" s="210">
        <f t="shared" si="5"/>
        <v>0.33</v>
      </c>
    </row>
    <row r="79" spans="1:3" s="60" customFormat="1">
      <c r="A79" s="73">
        <v>76</v>
      </c>
      <c r="B79" s="75">
        <f t="shared" si="4"/>
        <v>45980</v>
      </c>
      <c r="C79" s="210">
        <f t="shared" si="5"/>
        <v>0.33</v>
      </c>
    </row>
    <row r="80" spans="1:3" s="60" customFormat="1">
      <c r="A80" s="73">
        <v>77</v>
      </c>
      <c r="B80" s="75">
        <f t="shared" si="4"/>
        <v>46585</v>
      </c>
      <c r="C80" s="210">
        <f t="shared" si="5"/>
        <v>0.33</v>
      </c>
    </row>
    <row r="81" spans="1:3" s="60" customFormat="1">
      <c r="A81" s="73">
        <v>78</v>
      </c>
      <c r="B81" s="75">
        <f t="shared" si="4"/>
        <v>47190</v>
      </c>
      <c r="C81" s="210">
        <f t="shared" si="5"/>
        <v>0.33</v>
      </c>
    </row>
    <row r="82" spans="1:3" s="60" customFormat="1">
      <c r="A82" s="73">
        <v>79</v>
      </c>
      <c r="B82" s="75">
        <f t="shared" si="4"/>
        <v>47795</v>
      </c>
      <c r="C82" s="210">
        <f t="shared" si="5"/>
        <v>0.33</v>
      </c>
    </row>
    <row r="83" spans="1:3" s="60" customFormat="1">
      <c r="A83" s="73">
        <v>80</v>
      </c>
      <c r="B83" s="75">
        <f t="shared" si="4"/>
        <v>48400</v>
      </c>
      <c r="C83" s="210">
        <f t="shared" si="5"/>
        <v>0.33</v>
      </c>
    </row>
    <row r="84" spans="1:3" s="60" customFormat="1">
      <c r="A84" s="73">
        <v>81</v>
      </c>
      <c r="B84" s="75">
        <f t="shared" si="4"/>
        <v>49005</v>
      </c>
      <c r="C84" s="210">
        <f t="shared" si="5"/>
        <v>0.33</v>
      </c>
    </row>
    <row r="85" spans="1:3" s="60" customFormat="1">
      <c r="A85" s="73">
        <v>82</v>
      </c>
      <c r="B85" s="75">
        <f t="shared" si="4"/>
        <v>49610</v>
      </c>
      <c r="C85" s="210">
        <f t="shared" si="5"/>
        <v>0.33</v>
      </c>
    </row>
    <row r="86" spans="1:3" s="60" customFormat="1">
      <c r="A86" s="73">
        <v>83</v>
      </c>
      <c r="B86" s="75">
        <f t="shared" si="4"/>
        <v>50215</v>
      </c>
      <c r="C86" s="210">
        <f t="shared" si="5"/>
        <v>0.32</v>
      </c>
    </row>
    <row r="87" spans="1:3" s="60" customFormat="1">
      <c r="A87" s="73">
        <v>84</v>
      </c>
      <c r="B87" s="75">
        <f t="shared" si="4"/>
        <v>50820</v>
      </c>
      <c r="C87" s="210">
        <f t="shared" si="5"/>
        <v>0.32</v>
      </c>
    </row>
    <row r="88" spans="1:3" s="60" customFormat="1">
      <c r="A88" s="73">
        <v>85</v>
      </c>
      <c r="B88" s="75">
        <f t="shared" si="4"/>
        <v>51425</v>
      </c>
      <c r="C88" s="210">
        <f t="shared" si="5"/>
        <v>0.32</v>
      </c>
    </row>
    <row r="89" spans="1:3" s="60" customFormat="1">
      <c r="A89" s="73">
        <v>86</v>
      </c>
      <c r="B89" s="75">
        <f t="shared" si="4"/>
        <v>52030</v>
      </c>
      <c r="C89" s="210">
        <f t="shared" si="5"/>
        <v>0.32</v>
      </c>
    </row>
    <row r="90" spans="1:3" s="60" customFormat="1">
      <c r="A90" s="73">
        <v>87</v>
      </c>
      <c r="B90" s="75">
        <f t="shared" si="4"/>
        <v>52635</v>
      </c>
      <c r="C90" s="210">
        <f t="shared" si="5"/>
        <v>0.32</v>
      </c>
    </row>
    <row r="91" spans="1:3" s="60" customFormat="1">
      <c r="A91" s="73">
        <v>88</v>
      </c>
      <c r="B91" s="75">
        <f t="shared" si="4"/>
        <v>53240</v>
      </c>
      <c r="C91" s="210">
        <f t="shared" si="5"/>
        <v>0.32</v>
      </c>
    </row>
    <row r="92" spans="1:3" s="60" customFormat="1">
      <c r="A92" s="73">
        <v>89</v>
      </c>
      <c r="B92" s="75">
        <f t="shared" si="4"/>
        <v>53845</v>
      </c>
      <c r="C92" s="210">
        <f t="shared" si="5"/>
        <v>0.32</v>
      </c>
    </row>
    <row r="93" spans="1:3" s="60" customFormat="1">
      <c r="A93" s="73">
        <v>90</v>
      </c>
      <c r="B93" s="75">
        <f t="shared" si="4"/>
        <v>54450</v>
      </c>
      <c r="C93" s="210">
        <f t="shared" si="5"/>
        <v>0.32</v>
      </c>
    </row>
    <row r="94" spans="1:3" s="60" customFormat="1">
      <c r="A94" s="73">
        <v>91</v>
      </c>
      <c r="B94" s="75">
        <f t="shared" si="4"/>
        <v>55055</v>
      </c>
      <c r="C94" s="210">
        <f t="shared" si="5"/>
        <v>0.32</v>
      </c>
    </row>
    <row r="95" spans="1:3" s="60" customFormat="1">
      <c r="A95" s="73">
        <v>92</v>
      </c>
      <c r="B95" s="75">
        <f t="shared" si="4"/>
        <v>55660</v>
      </c>
      <c r="C95" s="210">
        <f t="shared" si="5"/>
        <v>0.32</v>
      </c>
    </row>
    <row r="96" spans="1:3" s="60" customFormat="1">
      <c r="A96" s="73">
        <v>93</v>
      </c>
      <c r="B96" s="75">
        <f t="shared" si="4"/>
        <v>56265</v>
      </c>
      <c r="C96" s="210">
        <f t="shared" si="5"/>
        <v>0.32</v>
      </c>
    </row>
    <row r="97" spans="1:3" s="60" customFormat="1">
      <c r="A97" s="73">
        <v>94</v>
      </c>
      <c r="B97" s="75">
        <f t="shared" si="4"/>
        <v>56870</v>
      </c>
      <c r="C97" s="210">
        <f t="shared" si="5"/>
        <v>0.32</v>
      </c>
    </row>
    <row r="98" spans="1:3" s="60" customFormat="1">
      <c r="A98" s="73">
        <v>95</v>
      </c>
      <c r="B98" s="75">
        <f t="shared" si="4"/>
        <v>57475</v>
      </c>
      <c r="C98" s="210">
        <f t="shared" si="5"/>
        <v>0.32</v>
      </c>
    </row>
    <row r="99" spans="1:3" s="60" customFormat="1">
      <c r="A99" s="73">
        <v>96</v>
      </c>
      <c r="B99" s="75">
        <f t="shared" si="4"/>
        <v>58080</v>
      </c>
      <c r="C99" s="210">
        <f t="shared" si="5"/>
        <v>0.32</v>
      </c>
    </row>
    <row r="100" spans="1:3" s="60" customFormat="1">
      <c r="A100" s="73">
        <v>97</v>
      </c>
      <c r="B100" s="75">
        <f t="shared" si="4"/>
        <v>58685</v>
      </c>
      <c r="C100" s="210">
        <f t="shared" si="5"/>
        <v>0.32</v>
      </c>
    </row>
    <row r="101" spans="1:3" s="60" customFormat="1">
      <c r="A101" s="73">
        <v>98</v>
      </c>
      <c r="B101" s="75">
        <f t="shared" si="4"/>
        <v>59290</v>
      </c>
      <c r="C101" s="210">
        <f t="shared" si="5"/>
        <v>0.32</v>
      </c>
    </row>
    <row r="102" spans="1:3" s="60" customFormat="1">
      <c r="A102" s="73">
        <v>99</v>
      </c>
      <c r="B102" s="75">
        <f t="shared" si="4"/>
        <v>59895</v>
      </c>
      <c r="C102" s="210">
        <f t="shared" si="5"/>
        <v>0.32</v>
      </c>
    </row>
    <row r="103" spans="1:3" s="60" customFormat="1">
      <c r="A103" s="73">
        <v>100</v>
      </c>
      <c r="B103" s="75">
        <f t="shared" si="4"/>
        <v>60500</v>
      </c>
      <c r="C103" s="210">
        <f t="shared" si="5"/>
        <v>0.31</v>
      </c>
    </row>
    <row r="104" spans="1:3" s="60" customFormat="1">
      <c r="A104" s="73">
        <v>101</v>
      </c>
      <c r="B104" s="75">
        <f t="shared" si="4"/>
        <v>61105</v>
      </c>
      <c r="C104" s="210">
        <f t="shared" si="5"/>
        <v>0.31</v>
      </c>
    </row>
    <row r="105" spans="1:3" s="60" customFormat="1">
      <c r="A105" s="73">
        <v>102</v>
      </c>
      <c r="B105" s="75">
        <f t="shared" si="4"/>
        <v>61710</v>
      </c>
      <c r="C105" s="210">
        <f t="shared" si="5"/>
        <v>0.31</v>
      </c>
    </row>
    <row r="106" spans="1:3" s="60" customFormat="1">
      <c r="A106" s="73">
        <v>103</v>
      </c>
      <c r="B106" s="75">
        <f t="shared" si="4"/>
        <v>62315</v>
      </c>
      <c r="C106" s="210">
        <f t="shared" si="5"/>
        <v>0.31</v>
      </c>
    </row>
    <row r="107" spans="1:3" s="60" customFormat="1">
      <c r="A107" s="73">
        <v>104</v>
      </c>
      <c r="B107" s="75">
        <f t="shared" si="4"/>
        <v>62920</v>
      </c>
      <c r="C107" s="210">
        <f t="shared" si="5"/>
        <v>0.31</v>
      </c>
    </row>
    <row r="108" spans="1:3" s="60" customFormat="1">
      <c r="A108" s="73">
        <v>105</v>
      </c>
      <c r="B108" s="75">
        <f t="shared" si="4"/>
        <v>63525</v>
      </c>
      <c r="C108" s="210">
        <f t="shared" si="5"/>
        <v>0.31</v>
      </c>
    </row>
    <row r="109" spans="1:3" s="60" customFormat="1">
      <c r="A109" s="73">
        <v>106</v>
      </c>
      <c r="B109" s="75">
        <f t="shared" si="4"/>
        <v>64130</v>
      </c>
      <c r="C109" s="210">
        <f t="shared" si="5"/>
        <v>0.31</v>
      </c>
    </row>
    <row r="110" spans="1:3" s="60" customFormat="1">
      <c r="A110" s="73">
        <v>107</v>
      </c>
      <c r="B110" s="75">
        <f t="shared" si="4"/>
        <v>64735</v>
      </c>
      <c r="C110" s="210">
        <f t="shared" si="5"/>
        <v>0.31</v>
      </c>
    </row>
    <row r="111" spans="1:3" s="60" customFormat="1">
      <c r="A111" s="73">
        <v>108</v>
      </c>
      <c r="B111" s="75">
        <f t="shared" si="4"/>
        <v>65340</v>
      </c>
      <c r="C111" s="210">
        <f t="shared" si="5"/>
        <v>0.31</v>
      </c>
    </row>
    <row r="112" spans="1:3" s="60" customFormat="1">
      <c r="A112" s="73">
        <v>109</v>
      </c>
      <c r="B112" s="75">
        <f t="shared" si="4"/>
        <v>65945</v>
      </c>
      <c r="C112" s="210">
        <f t="shared" si="5"/>
        <v>0.31</v>
      </c>
    </row>
    <row r="113" spans="1:3" s="60" customFormat="1">
      <c r="A113" s="73">
        <v>110</v>
      </c>
      <c r="B113" s="75">
        <f t="shared" si="4"/>
        <v>66550</v>
      </c>
      <c r="C113" s="210">
        <f t="shared" si="5"/>
        <v>0.31</v>
      </c>
    </row>
    <row r="114" spans="1:3" s="60" customFormat="1">
      <c r="A114" s="73">
        <v>111</v>
      </c>
      <c r="B114" s="75">
        <f t="shared" si="4"/>
        <v>67155</v>
      </c>
      <c r="C114" s="210">
        <f t="shared" si="5"/>
        <v>0.31</v>
      </c>
    </row>
    <row r="115" spans="1:3" s="60" customFormat="1">
      <c r="A115" s="73">
        <v>112</v>
      </c>
      <c r="B115" s="75">
        <f t="shared" si="4"/>
        <v>67760</v>
      </c>
      <c r="C115" s="210">
        <f t="shared" si="5"/>
        <v>0.31</v>
      </c>
    </row>
    <row r="116" spans="1:3" s="60" customFormat="1">
      <c r="A116" s="73">
        <v>113</v>
      </c>
      <c r="B116" s="75">
        <f t="shared" si="4"/>
        <v>68365</v>
      </c>
      <c r="C116" s="210">
        <f t="shared" si="5"/>
        <v>0.31</v>
      </c>
    </row>
    <row r="117" spans="1:3" s="60" customFormat="1">
      <c r="A117" s="73">
        <v>114</v>
      </c>
      <c r="B117" s="75">
        <f t="shared" si="4"/>
        <v>68970</v>
      </c>
      <c r="C117" s="210">
        <f t="shared" si="5"/>
        <v>0.31</v>
      </c>
    </row>
    <row r="118" spans="1:3" s="60" customFormat="1">
      <c r="A118" s="73">
        <v>115</v>
      </c>
      <c r="B118" s="75">
        <f t="shared" si="4"/>
        <v>69575</v>
      </c>
      <c r="C118" s="210">
        <f t="shared" si="5"/>
        <v>0.31</v>
      </c>
    </row>
    <row r="119" spans="1:3" s="60" customFormat="1">
      <c r="A119" s="73">
        <v>116</v>
      </c>
      <c r="B119" s="75">
        <f t="shared" si="4"/>
        <v>70180</v>
      </c>
      <c r="C119" s="210">
        <f t="shared" si="5"/>
        <v>0.3</v>
      </c>
    </row>
    <row r="120" spans="1:3" s="60" customFormat="1">
      <c r="A120" s="73">
        <v>117</v>
      </c>
      <c r="B120" s="75">
        <f t="shared" si="4"/>
        <v>70785</v>
      </c>
      <c r="C120" s="210">
        <f t="shared" si="5"/>
        <v>0.3</v>
      </c>
    </row>
    <row r="121" spans="1:3" s="60" customFormat="1">
      <c r="A121" s="73">
        <v>118</v>
      </c>
      <c r="B121" s="75">
        <f t="shared" si="4"/>
        <v>71390</v>
      </c>
      <c r="C121" s="210">
        <f t="shared" si="5"/>
        <v>0.3</v>
      </c>
    </row>
    <row r="122" spans="1:3" s="60" customFormat="1">
      <c r="A122" s="73">
        <v>119</v>
      </c>
      <c r="B122" s="75">
        <f t="shared" si="4"/>
        <v>71995</v>
      </c>
      <c r="C122" s="210">
        <f t="shared" si="5"/>
        <v>0.3</v>
      </c>
    </row>
    <row r="123" spans="1:3" s="60" customFormat="1">
      <c r="A123" s="73">
        <v>120</v>
      </c>
      <c r="B123" s="75">
        <f t="shared" si="4"/>
        <v>72600</v>
      </c>
      <c r="C123" s="210">
        <f t="shared" si="5"/>
        <v>0.3</v>
      </c>
    </row>
    <row r="124" spans="1:3" s="60" customFormat="1">
      <c r="A124" s="73">
        <v>121</v>
      </c>
      <c r="B124" s="75">
        <f t="shared" si="4"/>
        <v>73205</v>
      </c>
      <c r="C124" s="210">
        <f t="shared" si="5"/>
        <v>0.3</v>
      </c>
    </row>
    <row r="125" spans="1:3" s="60" customFormat="1">
      <c r="A125" s="73">
        <v>122</v>
      </c>
      <c r="B125" s="75">
        <f t="shared" si="4"/>
        <v>73810</v>
      </c>
      <c r="C125" s="210">
        <f t="shared" si="5"/>
        <v>0.3</v>
      </c>
    </row>
    <row r="126" spans="1:3" s="60" customFormat="1">
      <c r="A126" s="73">
        <v>123</v>
      </c>
      <c r="B126" s="75">
        <f t="shared" si="4"/>
        <v>74415</v>
      </c>
      <c r="C126" s="210">
        <f t="shared" si="5"/>
        <v>0.3</v>
      </c>
    </row>
    <row r="127" spans="1:3" s="60" customFormat="1">
      <c r="A127" s="73">
        <v>124</v>
      </c>
      <c r="B127" s="75">
        <f t="shared" si="4"/>
        <v>75020</v>
      </c>
      <c r="C127" s="210">
        <f t="shared" si="5"/>
        <v>0.3</v>
      </c>
    </row>
    <row r="128" spans="1:3" s="60" customFormat="1">
      <c r="A128" s="73">
        <v>125</v>
      </c>
      <c r="B128" s="75">
        <f t="shared" si="4"/>
        <v>75625</v>
      </c>
      <c r="C128" s="210">
        <f t="shared" si="5"/>
        <v>0.3</v>
      </c>
    </row>
    <row r="129" spans="1:3" s="60" customFormat="1">
      <c r="A129" s="73">
        <v>126</v>
      </c>
      <c r="B129" s="75">
        <f t="shared" si="4"/>
        <v>76230</v>
      </c>
      <c r="C129" s="210">
        <f t="shared" si="5"/>
        <v>0.3</v>
      </c>
    </row>
    <row r="130" spans="1:3" s="60" customFormat="1">
      <c r="A130" s="73">
        <v>127</v>
      </c>
      <c r="B130" s="75">
        <f t="shared" si="4"/>
        <v>76835</v>
      </c>
      <c r="C130" s="210">
        <f t="shared" si="5"/>
        <v>0.3</v>
      </c>
    </row>
    <row r="131" spans="1:3" s="60" customFormat="1">
      <c r="A131" s="73">
        <v>128</v>
      </c>
      <c r="B131" s="75">
        <f t="shared" si="4"/>
        <v>77440</v>
      </c>
      <c r="C131" s="210">
        <f t="shared" si="5"/>
        <v>0.3</v>
      </c>
    </row>
    <row r="132" spans="1:3" s="60" customFormat="1">
      <c r="A132" s="73">
        <v>129</v>
      </c>
      <c r="B132" s="75">
        <f t="shared" si="4"/>
        <v>78045</v>
      </c>
      <c r="C132" s="210">
        <f t="shared" si="5"/>
        <v>0.3</v>
      </c>
    </row>
    <row r="133" spans="1:3" s="60" customFormat="1">
      <c r="A133" s="73">
        <v>130</v>
      </c>
      <c r="B133" s="75">
        <f t="shared" si="4"/>
        <v>78650</v>
      </c>
      <c r="C133" s="210">
        <f t="shared" si="5"/>
        <v>0.3</v>
      </c>
    </row>
    <row r="134" spans="1:3" s="60" customFormat="1">
      <c r="A134" s="73">
        <v>131</v>
      </c>
      <c r="B134" s="75">
        <f t="shared" ref="B134:B197" si="6">A134*p_mod</f>
        <v>79255</v>
      </c>
      <c r="C134" s="210">
        <f t="shared" si="5"/>
        <v>0.3</v>
      </c>
    </row>
    <row r="135" spans="1:3" s="60" customFormat="1">
      <c r="A135" s="73">
        <v>132</v>
      </c>
      <c r="B135" s="75">
        <f t="shared" si="6"/>
        <v>79860</v>
      </c>
      <c r="C135" s="210">
        <f t="shared" ref="C135:C198" si="7">IF(B135&lt;=3000,0.4,
IF(B135&lt;=3000,0.4,
IF(B135&lt;=4000,0.39,
IF(B135&lt;=5000,0.38,
IF(B135&lt;=10000,0.37,
IF(B135&lt;=20000,0.36,
IF(B135&lt;=30000,0.35,
IF(B135&lt;=40000,0.34,
IF(B135&lt;=50000,0.33,
IF(B135&lt;=60000,0.32,
IF(B135&lt;=70000,0.31,
IF(B135&lt;=80000,0.3,
IF(B135&lt;=90000,0.295,
IF(B135&lt;=100000,0.29,
IF(B135&lt;=110000,0.285,
IF(B135&lt;=120000,0.28,
IF(B135&lt;=130000,0.28,
IF(B135&lt;=140000,0.28,
IF(B135&lt;=150000,0.28,
)))))))))))))))))))</f>
        <v>0.3</v>
      </c>
    </row>
    <row r="136" spans="1:3" s="60" customFormat="1">
      <c r="A136" s="73">
        <v>133</v>
      </c>
      <c r="B136" s="75">
        <f t="shared" si="6"/>
        <v>80465</v>
      </c>
      <c r="C136" s="210">
        <f t="shared" si="7"/>
        <v>0.29499999999999998</v>
      </c>
    </row>
    <row r="137" spans="1:3" s="60" customFormat="1">
      <c r="A137" s="73">
        <v>134</v>
      </c>
      <c r="B137" s="75">
        <f t="shared" si="6"/>
        <v>81070</v>
      </c>
      <c r="C137" s="210">
        <f t="shared" si="7"/>
        <v>0.29499999999999998</v>
      </c>
    </row>
    <row r="138" spans="1:3" s="60" customFormat="1">
      <c r="A138" s="73">
        <v>135</v>
      </c>
      <c r="B138" s="75">
        <f t="shared" si="6"/>
        <v>81675</v>
      </c>
      <c r="C138" s="210">
        <f t="shared" si="7"/>
        <v>0.29499999999999998</v>
      </c>
    </row>
    <row r="139" spans="1:3" s="60" customFormat="1">
      <c r="A139" s="73">
        <v>136</v>
      </c>
      <c r="B139" s="75">
        <f t="shared" si="6"/>
        <v>82280</v>
      </c>
      <c r="C139" s="210">
        <f t="shared" si="7"/>
        <v>0.29499999999999998</v>
      </c>
    </row>
    <row r="140" spans="1:3" s="60" customFormat="1">
      <c r="A140" s="73">
        <v>137</v>
      </c>
      <c r="B140" s="75">
        <f t="shared" si="6"/>
        <v>82885</v>
      </c>
      <c r="C140" s="210">
        <f t="shared" si="7"/>
        <v>0.29499999999999998</v>
      </c>
    </row>
    <row r="141" spans="1:3" s="60" customFormat="1">
      <c r="A141" s="73">
        <v>138</v>
      </c>
      <c r="B141" s="75">
        <f t="shared" si="6"/>
        <v>83490</v>
      </c>
      <c r="C141" s="210">
        <f t="shared" si="7"/>
        <v>0.29499999999999998</v>
      </c>
    </row>
    <row r="142" spans="1:3" s="60" customFormat="1">
      <c r="A142" s="73">
        <v>139</v>
      </c>
      <c r="B142" s="75">
        <f t="shared" si="6"/>
        <v>84095</v>
      </c>
      <c r="C142" s="210">
        <f t="shared" si="7"/>
        <v>0.29499999999999998</v>
      </c>
    </row>
    <row r="143" spans="1:3" s="60" customFormat="1">
      <c r="A143" s="73">
        <v>140</v>
      </c>
      <c r="B143" s="75">
        <f t="shared" si="6"/>
        <v>84700</v>
      </c>
      <c r="C143" s="210">
        <f t="shared" si="7"/>
        <v>0.29499999999999998</v>
      </c>
    </row>
    <row r="144" spans="1:3" s="60" customFormat="1">
      <c r="A144" s="73">
        <v>141</v>
      </c>
      <c r="B144" s="75">
        <f t="shared" si="6"/>
        <v>85305</v>
      </c>
      <c r="C144" s="210">
        <f t="shared" si="7"/>
        <v>0.29499999999999998</v>
      </c>
    </row>
    <row r="145" spans="1:3" s="60" customFormat="1">
      <c r="A145" s="73">
        <v>142</v>
      </c>
      <c r="B145" s="75">
        <f t="shared" si="6"/>
        <v>85910</v>
      </c>
      <c r="C145" s="210">
        <f t="shared" si="7"/>
        <v>0.29499999999999998</v>
      </c>
    </row>
    <row r="146" spans="1:3" s="60" customFormat="1">
      <c r="A146" s="73">
        <v>143</v>
      </c>
      <c r="B146" s="75">
        <f t="shared" si="6"/>
        <v>86515</v>
      </c>
      <c r="C146" s="210">
        <f t="shared" si="7"/>
        <v>0.29499999999999998</v>
      </c>
    </row>
    <row r="147" spans="1:3" s="60" customFormat="1">
      <c r="A147" s="73">
        <v>144</v>
      </c>
      <c r="B147" s="75">
        <f t="shared" si="6"/>
        <v>87120</v>
      </c>
      <c r="C147" s="210">
        <f t="shared" si="7"/>
        <v>0.29499999999999998</v>
      </c>
    </row>
    <row r="148" spans="1:3" s="60" customFormat="1">
      <c r="A148" s="73">
        <v>145</v>
      </c>
      <c r="B148" s="75">
        <f t="shared" si="6"/>
        <v>87725</v>
      </c>
      <c r="C148" s="210">
        <f t="shared" si="7"/>
        <v>0.29499999999999998</v>
      </c>
    </row>
    <row r="149" spans="1:3" s="60" customFormat="1">
      <c r="A149" s="73">
        <v>146</v>
      </c>
      <c r="B149" s="75">
        <f t="shared" si="6"/>
        <v>88330</v>
      </c>
      <c r="C149" s="210">
        <f t="shared" si="7"/>
        <v>0.29499999999999998</v>
      </c>
    </row>
    <row r="150" spans="1:3" s="60" customFormat="1">
      <c r="A150" s="73">
        <v>147</v>
      </c>
      <c r="B150" s="75">
        <f t="shared" si="6"/>
        <v>88935</v>
      </c>
      <c r="C150" s="210">
        <f t="shared" si="7"/>
        <v>0.29499999999999998</v>
      </c>
    </row>
    <row r="151" spans="1:3" s="60" customFormat="1">
      <c r="A151" s="73">
        <v>148</v>
      </c>
      <c r="B151" s="75">
        <f t="shared" si="6"/>
        <v>89540</v>
      </c>
      <c r="C151" s="210">
        <f t="shared" si="7"/>
        <v>0.29499999999999998</v>
      </c>
    </row>
    <row r="152" spans="1:3" s="60" customFormat="1">
      <c r="A152" s="73">
        <v>149</v>
      </c>
      <c r="B152" s="75">
        <f t="shared" si="6"/>
        <v>90145</v>
      </c>
      <c r="C152" s="210">
        <f t="shared" si="7"/>
        <v>0.28999999999999998</v>
      </c>
    </row>
    <row r="153" spans="1:3" s="60" customFormat="1">
      <c r="A153" s="73">
        <v>150</v>
      </c>
      <c r="B153" s="75">
        <f t="shared" si="6"/>
        <v>90750</v>
      </c>
      <c r="C153" s="210">
        <f t="shared" si="7"/>
        <v>0.28999999999999998</v>
      </c>
    </row>
    <row r="154" spans="1:3" s="60" customFormat="1">
      <c r="A154" s="73">
        <v>151</v>
      </c>
      <c r="B154" s="75">
        <f t="shared" si="6"/>
        <v>91355</v>
      </c>
      <c r="C154" s="210">
        <f t="shared" si="7"/>
        <v>0.28999999999999998</v>
      </c>
    </row>
    <row r="155" spans="1:3" s="60" customFormat="1">
      <c r="A155" s="73">
        <v>152</v>
      </c>
      <c r="B155" s="75">
        <f t="shared" si="6"/>
        <v>91960</v>
      </c>
      <c r="C155" s="210">
        <f t="shared" si="7"/>
        <v>0.28999999999999998</v>
      </c>
    </row>
    <row r="156" spans="1:3" s="60" customFormat="1">
      <c r="A156" s="73">
        <v>153</v>
      </c>
      <c r="B156" s="75">
        <f t="shared" si="6"/>
        <v>92565</v>
      </c>
      <c r="C156" s="210">
        <f t="shared" si="7"/>
        <v>0.28999999999999998</v>
      </c>
    </row>
    <row r="157" spans="1:3" s="60" customFormat="1">
      <c r="A157" s="73">
        <v>154</v>
      </c>
      <c r="B157" s="75">
        <f t="shared" si="6"/>
        <v>93170</v>
      </c>
      <c r="C157" s="210">
        <f t="shared" si="7"/>
        <v>0.28999999999999998</v>
      </c>
    </row>
    <row r="158" spans="1:3" s="60" customFormat="1">
      <c r="A158" s="73">
        <v>155</v>
      </c>
      <c r="B158" s="75">
        <f t="shared" si="6"/>
        <v>93775</v>
      </c>
      <c r="C158" s="210">
        <f t="shared" si="7"/>
        <v>0.28999999999999998</v>
      </c>
    </row>
    <row r="159" spans="1:3" s="60" customFormat="1">
      <c r="A159" s="73">
        <v>156</v>
      </c>
      <c r="B159" s="75">
        <f t="shared" si="6"/>
        <v>94380</v>
      </c>
      <c r="C159" s="210">
        <f t="shared" si="7"/>
        <v>0.28999999999999998</v>
      </c>
    </row>
    <row r="160" spans="1:3" s="60" customFormat="1">
      <c r="A160" s="73">
        <v>157</v>
      </c>
      <c r="B160" s="75">
        <f t="shared" si="6"/>
        <v>94985</v>
      </c>
      <c r="C160" s="210">
        <f t="shared" si="7"/>
        <v>0.28999999999999998</v>
      </c>
    </row>
    <row r="161" spans="1:3" s="60" customFormat="1">
      <c r="A161" s="73">
        <v>158</v>
      </c>
      <c r="B161" s="75">
        <f t="shared" si="6"/>
        <v>95590</v>
      </c>
      <c r="C161" s="210">
        <f t="shared" si="7"/>
        <v>0.28999999999999998</v>
      </c>
    </row>
    <row r="162" spans="1:3" s="60" customFormat="1">
      <c r="A162" s="73">
        <v>159</v>
      </c>
      <c r="B162" s="75">
        <f t="shared" si="6"/>
        <v>96195</v>
      </c>
      <c r="C162" s="210">
        <f t="shared" si="7"/>
        <v>0.28999999999999998</v>
      </c>
    </row>
    <row r="163" spans="1:3" s="60" customFormat="1">
      <c r="A163" s="73">
        <v>160</v>
      </c>
      <c r="B163" s="75">
        <f t="shared" si="6"/>
        <v>96800</v>
      </c>
      <c r="C163" s="210">
        <f t="shared" si="7"/>
        <v>0.28999999999999998</v>
      </c>
    </row>
    <row r="164" spans="1:3" s="60" customFormat="1">
      <c r="A164" s="73">
        <v>161</v>
      </c>
      <c r="B164" s="75">
        <f t="shared" si="6"/>
        <v>97405</v>
      </c>
      <c r="C164" s="210">
        <f t="shared" si="7"/>
        <v>0.28999999999999998</v>
      </c>
    </row>
    <row r="165" spans="1:3" s="60" customFormat="1">
      <c r="A165" s="73">
        <v>162</v>
      </c>
      <c r="B165" s="75">
        <f t="shared" si="6"/>
        <v>98010</v>
      </c>
      <c r="C165" s="210">
        <f t="shared" si="7"/>
        <v>0.28999999999999998</v>
      </c>
    </row>
    <row r="166" spans="1:3" s="60" customFormat="1">
      <c r="A166" s="73">
        <v>163</v>
      </c>
      <c r="B166" s="75">
        <f t="shared" si="6"/>
        <v>98615</v>
      </c>
      <c r="C166" s="210">
        <f t="shared" si="7"/>
        <v>0.28999999999999998</v>
      </c>
    </row>
    <row r="167" spans="1:3" s="60" customFormat="1">
      <c r="A167" s="73">
        <v>164</v>
      </c>
      <c r="B167" s="75">
        <f t="shared" si="6"/>
        <v>99220</v>
      </c>
      <c r="C167" s="210">
        <f t="shared" si="7"/>
        <v>0.28999999999999998</v>
      </c>
    </row>
    <row r="168" spans="1:3" s="60" customFormat="1">
      <c r="A168" s="73">
        <v>165</v>
      </c>
      <c r="B168" s="75">
        <f t="shared" si="6"/>
        <v>99825</v>
      </c>
      <c r="C168" s="210">
        <f t="shared" si="7"/>
        <v>0.28999999999999998</v>
      </c>
    </row>
    <row r="169" spans="1:3" s="60" customFormat="1">
      <c r="A169" s="73">
        <v>166</v>
      </c>
      <c r="B169" s="75">
        <f t="shared" si="6"/>
        <v>100430</v>
      </c>
      <c r="C169" s="210">
        <f t="shared" si="7"/>
        <v>0.28499999999999998</v>
      </c>
    </row>
    <row r="170" spans="1:3" s="60" customFormat="1">
      <c r="A170" s="73">
        <v>167</v>
      </c>
      <c r="B170" s="75">
        <f t="shared" si="6"/>
        <v>101035</v>
      </c>
      <c r="C170" s="210">
        <f t="shared" si="7"/>
        <v>0.28499999999999998</v>
      </c>
    </row>
    <row r="171" spans="1:3" s="60" customFormat="1">
      <c r="A171" s="73">
        <v>168</v>
      </c>
      <c r="B171" s="75">
        <f t="shared" si="6"/>
        <v>101640</v>
      </c>
      <c r="C171" s="210">
        <f t="shared" si="7"/>
        <v>0.28499999999999998</v>
      </c>
    </row>
    <row r="172" spans="1:3" s="60" customFormat="1">
      <c r="A172" s="73">
        <v>169</v>
      </c>
      <c r="B172" s="75">
        <f t="shared" si="6"/>
        <v>102245</v>
      </c>
      <c r="C172" s="210">
        <f t="shared" si="7"/>
        <v>0.28499999999999998</v>
      </c>
    </row>
    <row r="173" spans="1:3" s="60" customFormat="1">
      <c r="A173" s="73">
        <v>170</v>
      </c>
      <c r="B173" s="75">
        <f t="shared" si="6"/>
        <v>102850</v>
      </c>
      <c r="C173" s="210">
        <f t="shared" si="7"/>
        <v>0.28499999999999998</v>
      </c>
    </row>
    <row r="174" spans="1:3" s="60" customFormat="1">
      <c r="A174" s="73">
        <v>171</v>
      </c>
      <c r="B174" s="75">
        <f t="shared" si="6"/>
        <v>103455</v>
      </c>
      <c r="C174" s="210">
        <f t="shared" si="7"/>
        <v>0.28499999999999998</v>
      </c>
    </row>
    <row r="175" spans="1:3" s="60" customFormat="1">
      <c r="A175" s="73">
        <v>172</v>
      </c>
      <c r="B175" s="75">
        <f t="shared" si="6"/>
        <v>104060</v>
      </c>
      <c r="C175" s="210">
        <f t="shared" si="7"/>
        <v>0.28499999999999998</v>
      </c>
    </row>
    <row r="176" spans="1:3" s="60" customFormat="1">
      <c r="A176" s="73">
        <v>173</v>
      </c>
      <c r="B176" s="75">
        <f t="shared" si="6"/>
        <v>104665</v>
      </c>
      <c r="C176" s="210">
        <f t="shared" si="7"/>
        <v>0.28499999999999998</v>
      </c>
    </row>
    <row r="177" spans="1:3" s="60" customFormat="1">
      <c r="A177" s="73">
        <v>174</v>
      </c>
      <c r="B177" s="75">
        <f t="shared" si="6"/>
        <v>105270</v>
      </c>
      <c r="C177" s="210">
        <f t="shared" si="7"/>
        <v>0.28499999999999998</v>
      </c>
    </row>
    <row r="178" spans="1:3" s="60" customFormat="1">
      <c r="A178" s="73">
        <v>175</v>
      </c>
      <c r="B178" s="75">
        <f t="shared" si="6"/>
        <v>105875</v>
      </c>
      <c r="C178" s="210">
        <f t="shared" si="7"/>
        <v>0.28499999999999998</v>
      </c>
    </row>
    <row r="179" spans="1:3" s="60" customFormat="1">
      <c r="A179" s="73">
        <v>176</v>
      </c>
      <c r="B179" s="75">
        <f t="shared" si="6"/>
        <v>106480</v>
      </c>
      <c r="C179" s="210">
        <f t="shared" si="7"/>
        <v>0.28499999999999998</v>
      </c>
    </row>
    <row r="180" spans="1:3" s="60" customFormat="1">
      <c r="A180" s="73">
        <v>177</v>
      </c>
      <c r="B180" s="75">
        <f t="shared" si="6"/>
        <v>107085</v>
      </c>
      <c r="C180" s="210">
        <f t="shared" si="7"/>
        <v>0.28499999999999998</v>
      </c>
    </row>
    <row r="181" spans="1:3" s="60" customFormat="1">
      <c r="A181" s="73">
        <v>178</v>
      </c>
      <c r="B181" s="75">
        <f t="shared" si="6"/>
        <v>107690</v>
      </c>
      <c r="C181" s="210">
        <f t="shared" si="7"/>
        <v>0.28499999999999998</v>
      </c>
    </row>
    <row r="182" spans="1:3" s="60" customFormat="1">
      <c r="A182" s="73">
        <v>179</v>
      </c>
      <c r="B182" s="75">
        <f t="shared" si="6"/>
        <v>108295</v>
      </c>
      <c r="C182" s="210">
        <f t="shared" si="7"/>
        <v>0.28499999999999998</v>
      </c>
    </row>
    <row r="183" spans="1:3" s="60" customFormat="1">
      <c r="A183" s="73">
        <v>180</v>
      </c>
      <c r="B183" s="75">
        <f t="shared" si="6"/>
        <v>108900</v>
      </c>
      <c r="C183" s="210">
        <f t="shared" si="7"/>
        <v>0.28499999999999998</v>
      </c>
    </row>
    <row r="184" spans="1:3" s="60" customFormat="1">
      <c r="A184" s="73">
        <v>181</v>
      </c>
      <c r="B184" s="75">
        <f t="shared" si="6"/>
        <v>109505</v>
      </c>
      <c r="C184" s="210">
        <f t="shared" si="7"/>
        <v>0.28499999999999998</v>
      </c>
    </row>
    <row r="185" spans="1:3" s="60" customFormat="1">
      <c r="A185" s="73">
        <v>182</v>
      </c>
      <c r="B185" s="75">
        <f t="shared" si="6"/>
        <v>110110</v>
      </c>
      <c r="C185" s="210">
        <f t="shared" si="7"/>
        <v>0.28000000000000003</v>
      </c>
    </row>
    <row r="186" spans="1:3" s="60" customFormat="1">
      <c r="A186" s="73">
        <v>183</v>
      </c>
      <c r="B186" s="75">
        <f t="shared" si="6"/>
        <v>110715</v>
      </c>
      <c r="C186" s="210">
        <f t="shared" si="7"/>
        <v>0.28000000000000003</v>
      </c>
    </row>
    <row r="187" spans="1:3" s="60" customFormat="1">
      <c r="A187" s="73">
        <v>184</v>
      </c>
      <c r="B187" s="75">
        <f t="shared" si="6"/>
        <v>111320</v>
      </c>
      <c r="C187" s="210">
        <f t="shared" si="7"/>
        <v>0.28000000000000003</v>
      </c>
    </row>
    <row r="188" spans="1:3" s="60" customFormat="1">
      <c r="A188" s="73">
        <v>185</v>
      </c>
      <c r="B188" s="75">
        <f t="shared" si="6"/>
        <v>111925</v>
      </c>
      <c r="C188" s="210">
        <f t="shared" si="7"/>
        <v>0.28000000000000003</v>
      </c>
    </row>
    <row r="189" spans="1:3" s="60" customFormat="1">
      <c r="A189" s="73">
        <v>186</v>
      </c>
      <c r="B189" s="75">
        <f t="shared" si="6"/>
        <v>112530</v>
      </c>
      <c r="C189" s="210">
        <f t="shared" si="7"/>
        <v>0.28000000000000003</v>
      </c>
    </row>
    <row r="190" spans="1:3" s="60" customFormat="1">
      <c r="A190" s="73">
        <v>187</v>
      </c>
      <c r="B190" s="75">
        <f t="shared" si="6"/>
        <v>113135</v>
      </c>
      <c r="C190" s="210">
        <f t="shared" si="7"/>
        <v>0.28000000000000003</v>
      </c>
    </row>
    <row r="191" spans="1:3" s="60" customFormat="1">
      <c r="A191" s="73">
        <v>188</v>
      </c>
      <c r="B191" s="75">
        <f t="shared" si="6"/>
        <v>113740</v>
      </c>
      <c r="C191" s="210">
        <f t="shared" si="7"/>
        <v>0.28000000000000003</v>
      </c>
    </row>
    <row r="192" spans="1:3" s="60" customFormat="1">
      <c r="A192" s="73">
        <v>189</v>
      </c>
      <c r="B192" s="75">
        <f t="shared" si="6"/>
        <v>114345</v>
      </c>
      <c r="C192" s="210">
        <f t="shared" si="7"/>
        <v>0.28000000000000003</v>
      </c>
    </row>
    <row r="193" spans="1:3" s="60" customFormat="1">
      <c r="A193" s="73">
        <v>190</v>
      </c>
      <c r="B193" s="75">
        <f t="shared" si="6"/>
        <v>114950</v>
      </c>
      <c r="C193" s="210">
        <f t="shared" si="7"/>
        <v>0.28000000000000003</v>
      </c>
    </row>
    <row r="194" spans="1:3" s="60" customFormat="1">
      <c r="A194" s="73">
        <v>191</v>
      </c>
      <c r="B194" s="75">
        <f t="shared" si="6"/>
        <v>115555</v>
      </c>
      <c r="C194" s="210">
        <f t="shared" si="7"/>
        <v>0.28000000000000003</v>
      </c>
    </row>
    <row r="195" spans="1:3" s="60" customFormat="1">
      <c r="A195" s="73">
        <v>192</v>
      </c>
      <c r="B195" s="75">
        <f t="shared" si="6"/>
        <v>116160</v>
      </c>
      <c r="C195" s="210">
        <f t="shared" si="7"/>
        <v>0.28000000000000003</v>
      </c>
    </row>
    <row r="196" spans="1:3" s="60" customFormat="1">
      <c r="A196" s="73">
        <v>193</v>
      </c>
      <c r="B196" s="75">
        <f t="shared" si="6"/>
        <v>116765</v>
      </c>
      <c r="C196" s="210">
        <f t="shared" si="7"/>
        <v>0.28000000000000003</v>
      </c>
    </row>
    <row r="197" spans="1:3" s="60" customFormat="1">
      <c r="A197" s="73">
        <v>194</v>
      </c>
      <c r="B197" s="75">
        <f t="shared" si="6"/>
        <v>117370</v>
      </c>
      <c r="C197" s="210">
        <f t="shared" si="7"/>
        <v>0.28000000000000003</v>
      </c>
    </row>
    <row r="198" spans="1:3" s="60" customFormat="1">
      <c r="A198" s="73">
        <v>195</v>
      </c>
      <c r="B198" s="75">
        <f t="shared" ref="B198:B261" si="8">A198*p_mod</f>
        <v>117975</v>
      </c>
      <c r="C198" s="210">
        <f t="shared" si="7"/>
        <v>0.28000000000000003</v>
      </c>
    </row>
    <row r="199" spans="1:3" s="60" customFormat="1">
      <c r="A199" s="73">
        <v>196</v>
      </c>
      <c r="B199" s="75">
        <f t="shared" si="8"/>
        <v>118580</v>
      </c>
      <c r="C199" s="210">
        <f t="shared" ref="C199:C262" si="9">IF(B199&lt;=3000,0.4,
IF(B199&lt;=3000,0.4,
IF(B199&lt;=4000,0.39,
IF(B199&lt;=5000,0.38,
IF(B199&lt;=10000,0.37,
IF(B199&lt;=20000,0.36,
IF(B199&lt;=30000,0.35,
IF(B199&lt;=40000,0.34,
IF(B199&lt;=50000,0.33,
IF(B199&lt;=60000,0.32,
IF(B199&lt;=70000,0.31,
IF(B199&lt;=80000,0.3,
IF(B199&lt;=90000,0.295,
IF(B199&lt;=100000,0.29,
IF(B199&lt;=110000,0.285,
IF(B199&lt;=120000,0.28,
IF(B199&lt;=130000,0.28,
IF(B199&lt;=140000,0.28,
IF(B199&lt;=150000,0.28,
)))))))))))))))))))</f>
        <v>0.28000000000000003</v>
      </c>
    </row>
    <row r="200" spans="1:3" s="60" customFormat="1">
      <c r="A200" s="73">
        <v>197</v>
      </c>
      <c r="B200" s="75">
        <f t="shared" si="8"/>
        <v>119185</v>
      </c>
      <c r="C200" s="210">
        <f t="shared" si="9"/>
        <v>0.28000000000000003</v>
      </c>
    </row>
    <row r="201" spans="1:3" s="60" customFormat="1">
      <c r="A201" s="73">
        <v>198</v>
      </c>
      <c r="B201" s="75">
        <f t="shared" si="8"/>
        <v>119790</v>
      </c>
      <c r="C201" s="210">
        <f t="shared" si="9"/>
        <v>0.28000000000000003</v>
      </c>
    </row>
    <row r="202" spans="1:3" s="60" customFormat="1">
      <c r="A202" s="73">
        <v>199</v>
      </c>
      <c r="B202" s="75">
        <f t="shared" si="8"/>
        <v>120395</v>
      </c>
      <c r="C202" s="210">
        <f t="shared" si="9"/>
        <v>0.28000000000000003</v>
      </c>
    </row>
    <row r="203" spans="1:3" s="60" customFormat="1">
      <c r="A203" s="73">
        <v>200</v>
      </c>
      <c r="B203" s="75">
        <f t="shared" si="8"/>
        <v>121000</v>
      </c>
      <c r="C203" s="210">
        <f t="shared" si="9"/>
        <v>0.28000000000000003</v>
      </c>
    </row>
    <row r="204" spans="1:3" s="60" customFormat="1">
      <c r="A204" s="73">
        <v>201</v>
      </c>
      <c r="B204" s="75">
        <f t="shared" si="8"/>
        <v>121605</v>
      </c>
      <c r="C204" s="210">
        <f t="shared" si="9"/>
        <v>0.28000000000000003</v>
      </c>
    </row>
    <row r="205" spans="1:3" s="60" customFormat="1">
      <c r="A205" s="73">
        <v>202</v>
      </c>
      <c r="B205" s="75">
        <f t="shared" si="8"/>
        <v>122210</v>
      </c>
      <c r="C205" s="210">
        <f t="shared" si="9"/>
        <v>0.28000000000000003</v>
      </c>
    </row>
    <row r="206" spans="1:3" s="60" customFormat="1">
      <c r="A206" s="73">
        <v>203</v>
      </c>
      <c r="B206" s="75">
        <f t="shared" si="8"/>
        <v>122815</v>
      </c>
      <c r="C206" s="210">
        <f t="shared" si="9"/>
        <v>0.28000000000000003</v>
      </c>
    </row>
    <row r="207" spans="1:3" s="60" customFormat="1">
      <c r="A207" s="73">
        <v>204</v>
      </c>
      <c r="B207" s="75">
        <f t="shared" si="8"/>
        <v>123420</v>
      </c>
      <c r="C207" s="210">
        <f t="shared" si="9"/>
        <v>0.28000000000000003</v>
      </c>
    </row>
    <row r="208" spans="1:3" s="60" customFormat="1">
      <c r="A208" s="73">
        <v>205</v>
      </c>
      <c r="B208" s="75">
        <f t="shared" si="8"/>
        <v>124025</v>
      </c>
      <c r="C208" s="210">
        <f t="shared" si="9"/>
        <v>0.28000000000000003</v>
      </c>
    </row>
    <row r="209" spans="1:3" s="60" customFormat="1">
      <c r="A209" s="73">
        <v>206</v>
      </c>
      <c r="B209" s="75">
        <f t="shared" si="8"/>
        <v>124630</v>
      </c>
      <c r="C209" s="210">
        <f t="shared" si="9"/>
        <v>0.28000000000000003</v>
      </c>
    </row>
    <row r="210" spans="1:3" s="60" customFormat="1">
      <c r="A210" s="73">
        <v>207</v>
      </c>
      <c r="B210" s="75">
        <f t="shared" si="8"/>
        <v>125235</v>
      </c>
      <c r="C210" s="210">
        <f t="shared" si="9"/>
        <v>0.28000000000000003</v>
      </c>
    </row>
    <row r="211" spans="1:3" s="60" customFormat="1">
      <c r="A211" s="73">
        <v>208</v>
      </c>
      <c r="B211" s="75">
        <f t="shared" si="8"/>
        <v>125840</v>
      </c>
      <c r="C211" s="210">
        <f t="shared" si="9"/>
        <v>0.28000000000000003</v>
      </c>
    </row>
    <row r="212" spans="1:3" s="60" customFormat="1">
      <c r="A212" s="73">
        <v>209</v>
      </c>
      <c r="B212" s="75">
        <f t="shared" si="8"/>
        <v>126445</v>
      </c>
      <c r="C212" s="210">
        <f t="shared" si="9"/>
        <v>0.28000000000000003</v>
      </c>
    </row>
    <row r="213" spans="1:3" s="60" customFormat="1">
      <c r="A213" s="73">
        <v>210</v>
      </c>
      <c r="B213" s="75">
        <f t="shared" si="8"/>
        <v>127050</v>
      </c>
      <c r="C213" s="210">
        <f t="shared" si="9"/>
        <v>0.28000000000000003</v>
      </c>
    </row>
    <row r="214" spans="1:3" s="60" customFormat="1">
      <c r="A214" s="73">
        <v>211</v>
      </c>
      <c r="B214" s="75">
        <f t="shared" si="8"/>
        <v>127655</v>
      </c>
      <c r="C214" s="210">
        <f t="shared" si="9"/>
        <v>0.28000000000000003</v>
      </c>
    </row>
    <row r="215" spans="1:3" s="60" customFormat="1">
      <c r="A215" s="73">
        <v>212</v>
      </c>
      <c r="B215" s="75">
        <f t="shared" si="8"/>
        <v>128260</v>
      </c>
      <c r="C215" s="210">
        <f t="shared" si="9"/>
        <v>0.28000000000000003</v>
      </c>
    </row>
    <row r="216" spans="1:3" s="60" customFormat="1">
      <c r="A216" s="73">
        <v>213</v>
      </c>
      <c r="B216" s="75">
        <f t="shared" si="8"/>
        <v>128865</v>
      </c>
      <c r="C216" s="210">
        <f t="shared" si="9"/>
        <v>0.28000000000000003</v>
      </c>
    </row>
    <row r="217" spans="1:3" s="60" customFormat="1">
      <c r="A217" s="73">
        <v>214</v>
      </c>
      <c r="B217" s="75">
        <f t="shared" si="8"/>
        <v>129470</v>
      </c>
      <c r="C217" s="210">
        <f t="shared" si="9"/>
        <v>0.28000000000000003</v>
      </c>
    </row>
    <row r="218" spans="1:3" s="60" customFormat="1">
      <c r="A218" s="73">
        <v>215</v>
      </c>
      <c r="B218" s="75">
        <f t="shared" si="8"/>
        <v>130075</v>
      </c>
      <c r="C218" s="210">
        <f t="shared" si="9"/>
        <v>0.28000000000000003</v>
      </c>
    </row>
    <row r="219" spans="1:3" s="60" customFormat="1">
      <c r="A219" s="73">
        <v>216</v>
      </c>
      <c r="B219" s="75">
        <f t="shared" si="8"/>
        <v>130680</v>
      </c>
      <c r="C219" s="210">
        <f t="shared" si="9"/>
        <v>0.28000000000000003</v>
      </c>
    </row>
    <row r="220" spans="1:3" s="60" customFormat="1">
      <c r="A220" s="73">
        <v>217</v>
      </c>
      <c r="B220" s="75">
        <f t="shared" si="8"/>
        <v>131285</v>
      </c>
      <c r="C220" s="210">
        <f t="shared" si="9"/>
        <v>0.28000000000000003</v>
      </c>
    </row>
    <row r="221" spans="1:3" s="60" customFormat="1">
      <c r="A221" s="73">
        <v>218</v>
      </c>
      <c r="B221" s="75">
        <f t="shared" si="8"/>
        <v>131890</v>
      </c>
      <c r="C221" s="210">
        <f t="shared" si="9"/>
        <v>0.28000000000000003</v>
      </c>
    </row>
    <row r="222" spans="1:3" s="60" customFormat="1">
      <c r="A222" s="73">
        <v>219</v>
      </c>
      <c r="B222" s="75">
        <f t="shared" si="8"/>
        <v>132495</v>
      </c>
      <c r="C222" s="210">
        <f t="shared" si="9"/>
        <v>0.28000000000000003</v>
      </c>
    </row>
    <row r="223" spans="1:3" s="60" customFormat="1">
      <c r="A223" s="73">
        <v>220</v>
      </c>
      <c r="B223" s="75">
        <f t="shared" si="8"/>
        <v>133100</v>
      </c>
      <c r="C223" s="210">
        <f t="shared" si="9"/>
        <v>0.28000000000000003</v>
      </c>
    </row>
    <row r="224" spans="1:3" s="60" customFormat="1">
      <c r="A224" s="73">
        <v>221</v>
      </c>
      <c r="B224" s="75">
        <f t="shared" si="8"/>
        <v>133705</v>
      </c>
      <c r="C224" s="210">
        <f t="shared" si="9"/>
        <v>0.28000000000000003</v>
      </c>
    </row>
    <row r="225" spans="1:3" s="60" customFormat="1">
      <c r="A225" s="73">
        <v>222</v>
      </c>
      <c r="B225" s="75">
        <f t="shared" si="8"/>
        <v>134310</v>
      </c>
      <c r="C225" s="210">
        <f t="shared" si="9"/>
        <v>0.28000000000000003</v>
      </c>
    </row>
    <row r="226" spans="1:3" s="60" customFormat="1">
      <c r="A226" s="73">
        <v>223</v>
      </c>
      <c r="B226" s="75">
        <f t="shared" si="8"/>
        <v>134915</v>
      </c>
      <c r="C226" s="210">
        <f t="shared" si="9"/>
        <v>0.28000000000000003</v>
      </c>
    </row>
    <row r="227" spans="1:3" s="60" customFormat="1">
      <c r="A227" s="73">
        <v>224</v>
      </c>
      <c r="B227" s="75">
        <f t="shared" si="8"/>
        <v>135520</v>
      </c>
      <c r="C227" s="210">
        <f t="shared" si="9"/>
        <v>0.28000000000000003</v>
      </c>
    </row>
    <row r="228" spans="1:3" s="60" customFormat="1">
      <c r="A228" s="73">
        <v>225</v>
      </c>
      <c r="B228" s="75">
        <f t="shared" si="8"/>
        <v>136125</v>
      </c>
      <c r="C228" s="210">
        <f t="shared" si="9"/>
        <v>0.28000000000000003</v>
      </c>
    </row>
    <row r="229" spans="1:3" s="60" customFormat="1">
      <c r="A229" s="73">
        <v>226</v>
      </c>
      <c r="B229" s="75">
        <f t="shared" si="8"/>
        <v>136730</v>
      </c>
      <c r="C229" s="210">
        <f t="shared" si="9"/>
        <v>0.28000000000000003</v>
      </c>
    </row>
    <row r="230" spans="1:3" s="60" customFormat="1">
      <c r="A230" s="73">
        <v>227</v>
      </c>
      <c r="B230" s="75">
        <f t="shared" si="8"/>
        <v>137335</v>
      </c>
      <c r="C230" s="210">
        <f t="shared" si="9"/>
        <v>0.28000000000000003</v>
      </c>
    </row>
    <row r="231" spans="1:3" s="60" customFormat="1">
      <c r="A231" s="73">
        <v>228</v>
      </c>
      <c r="B231" s="75">
        <f t="shared" si="8"/>
        <v>137940</v>
      </c>
      <c r="C231" s="210">
        <f t="shared" si="9"/>
        <v>0.28000000000000003</v>
      </c>
    </row>
    <row r="232" spans="1:3" s="60" customFormat="1">
      <c r="A232" s="73">
        <v>229</v>
      </c>
      <c r="B232" s="75">
        <f t="shared" si="8"/>
        <v>138545</v>
      </c>
      <c r="C232" s="210">
        <f t="shared" si="9"/>
        <v>0.28000000000000003</v>
      </c>
    </row>
    <row r="233" spans="1:3" s="60" customFormat="1">
      <c r="A233" s="73">
        <v>230</v>
      </c>
      <c r="B233" s="75">
        <f t="shared" si="8"/>
        <v>139150</v>
      </c>
      <c r="C233" s="210">
        <f t="shared" si="9"/>
        <v>0.28000000000000003</v>
      </c>
    </row>
    <row r="234" spans="1:3" s="60" customFormat="1">
      <c r="A234" s="73">
        <v>231</v>
      </c>
      <c r="B234" s="75">
        <f t="shared" si="8"/>
        <v>139755</v>
      </c>
      <c r="C234" s="210">
        <f t="shared" si="9"/>
        <v>0.28000000000000003</v>
      </c>
    </row>
    <row r="235" spans="1:3" s="60" customFormat="1">
      <c r="A235" s="73">
        <v>232</v>
      </c>
      <c r="B235" s="75">
        <f t="shared" si="8"/>
        <v>140360</v>
      </c>
      <c r="C235" s="210">
        <f t="shared" si="9"/>
        <v>0.28000000000000003</v>
      </c>
    </row>
    <row r="236" spans="1:3" s="60" customFormat="1">
      <c r="A236" s="73">
        <v>233</v>
      </c>
      <c r="B236" s="75">
        <f t="shared" si="8"/>
        <v>140965</v>
      </c>
      <c r="C236" s="210">
        <f t="shared" si="9"/>
        <v>0.28000000000000003</v>
      </c>
    </row>
    <row r="237" spans="1:3" s="60" customFormat="1">
      <c r="A237" s="73">
        <v>234</v>
      </c>
      <c r="B237" s="75">
        <f t="shared" si="8"/>
        <v>141570</v>
      </c>
      <c r="C237" s="210">
        <f t="shared" si="9"/>
        <v>0.28000000000000003</v>
      </c>
    </row>
    <row r="238" spans="1:3" s="60" customFormat="1">
      <c r="A238" s="73">
        <v>235</v>
      </c>
      <c r="B238" s="75">
        <f t="shared" si="8"/>
        <v>142175</v>
      </c>
      <c r="C238" s="210">
        <f t="shared" si="9"/>
        <v>0.28000000000000003</v>
      </c>
    </row>
    <row r="239" spans="1:3" s="60" customFormat="1">
      <c r="A239" s="73">
        <v>236</v>
      </c>
      <c r="B239" s="75">
        <f t="shared" si="8"/>
        <v>142780</v>
      </c>
      <c r="C239" s="210">
        <f t="shared" si="9"/>
        <v>0.28000000000000003</v>
      </c>
    </row>
    <row r="240" spans="1:3" s="60" customFormat="1">
      <c r="A240" s="73">
        <v>237</v>
      </c>
      <c r="B240" s="75">
        <f t="shared" si="8"/>
        <v>143385</v>
      </c>
      <c r="C240" s="210">
        <f t="shared" si="9"/>
        <v>0.28000000000000003</v>
      </c>
    </row>
    <row r="241" spans="1:3" s="60" customFormat="1">
      <c r="A241" s="73">
        <v>238</v>
      </c>
      <c r="B241" s="75">
        <f t="shared" si="8"/>
        <v>143990</v>
      </c>
      <c r="C241" s="210">
        <f t="shared" si="9"/>
        <v>0.28000000000000003</v>
      </c>
    </row>
    <row r="242" spans="1:3" s="60" customFormat="1">
      <c r="A242" s="73">
        <v>239</v>
      </c>
      <c r="B242" s="75">
        <f t="shared" si="8"/>
        <v>144595</v>
      </c>
      <c r="C242" s="210">
        <f t="shared" si="9"/>
        <v>0.28000000000000003</v>
      </c>
    </row>
    <row r="243" spans="1:3" s="60" customFormat="1">
      <c r="A243" s="73">
        <v>240</v>
      </c>
      <c r="B243" s="75">
        <f t="shared" si="8"/>
        <v>145200</v>
      </c>
      <c r="C243" s="210">
        <f t="shared" si="9"/>
        <v>0.28000000000000003</v>
      </c>
    </row>
    <row r="244" spans="1:3" s="60" customFormat="1">
      <c r="A244" s="73">
        <v>241</v>
      </c>
      <c r="B244" s="75">
        <f t="shared" si="8"/>
        <v>145805</v>
      </c>
      <c r="C244" s="210">
        <f t="shared" si="9"/>
        <v>0.28000000000000003</v>
      </c>
    </row>
    <row r="245" spans="1:3" s="60" customFormat="1">
      <c r="A245" s="73">
        <v>242</v>
      </c>
      <c r="B245" s="75">
        <f t="shared" si="8"/>
        <v>146410</v>
      </c>
      <c r="C245" s="210">
        <f t="shared" si="9"/>
        <v>0.28000000000000003</v>
      </c>
    </row>
    <row r="246" spans="1:3" s="60" customFormat="1">
      <c r="A246" s="73">
        <v>243</v>
      </c>
      <c r="B246" s="75">
        <f t="shared" si="8"/>
        <v>147015</v>
      </c>
      <c r="C246" s="210">
        <f t="shared" si="9"/>
        <v>0.28000000000000003</v>
      </c>
    </row>
    <row r="247" spans="1:3" s="60" customFormat="1">
      <c r="A247" s="73">
        <v>244</v>
      </c>
      <c r="B247" s="75">
        <f t="shared" si="8"/>
        <v>147620</v>
      </c>
      <c r="C247" s="210">
        <f t="shared" si="9"/>
        <v>0.28000000000000003</v>
      </c>
    </row>
    <row r="248" spans="1:3" s="60" customFormat="1">
      <c r="A248" s="73">
        <v>245</v>
      </c>
      <c r="B248" s="75">
        <f t="shared" si="8"/>
        <v>148225</v>
      </c>
      <c r="C248" s="210">
        <f t="shared" si="9"/>
        <v>0.28000000000000003</v>
      </c>
    </row>
    <row r="249" spans="1:3" s="60" customFormat="1">
      <c r="A249" s="73">
        <v>246</v>
      </c>
      <c r="B249" s="75">
        <f t="shared" si="8"/>
        <v>148830</v>
      </c>
      <c r="C249" s="210">
        <f t="shared" si="9"/>
        <v>0.28000000000000003</v>
      </c>
    </row>
    <row r="250" spans="1:3" s="60" customFormat="1">
      <c r="A250" s="73">
        <v>247</v>
      </c>
      <c r="B250" s="75">
        <f t="shared" si="8"/>
        <v>149435</v>
      </c>
      <c r="C250" s="210">
        <f t="shared" si="9"/>
        <v>0.28000000000000003</v>
      </c>
    </row>
    <row r="251" spans="1:3" s="60" customFormat="1">
      <c r="A251" s="73">
        <v>248</v>
      </c>
      <c r="B251" s="75">
        <f t="shared" si="8"/>
        <v>150040</v>
      </c>
      <c r="C251" s="210">
        <f t="shared" si="9"/>
        <v>0</v>
      </c>
    </row>
    <row r="252" spans="1:3" s="60" customFormat="1">
      <c r="A252" s="73">
        <v>249</v>
      </c>
      <c r="B252" s="75">
        <f t="shared" si="8"/>
        <v>150645</v>
      </c>
      <c r="C252" s="210">
        <f t="shared" si="9"/>
        <v>0</v>
      </c>
    </row>
    <row r="253" spans="1:3" s="60" customFormat="1">
      <c r="A253" s="73">
        <v>250</v>
      </c>
      <c r="B253" s="75">
        <f t="shared" si="8"/>
        <v>151250</v>
      </c>
      <c r="C253" s="210">
        <f t="shared" si="9"/>
        <v>0</v>
      </c>
    </row>
    <row r="254" spans="1:3" s="60" customFormat="1">
      <c r="A254" s="73">
        <v>251</v>
      </c>
      <c r="B254" s="75">
        <f t="shared" si="8"/>
        <v>151855</v>
      </c>
      <c r="C254" s="210">
        <f t="shared" si="9"/>
        <v>0</v>
      </c>
    </row>
    <row r="255" spans="1:3" s="60" customFormat="1">
      <c r="A255" s="73">
        <v>252</v>
      </c>
      <c r="B255" s="75">
        <f t="shared" si="8"/>
        <v>152460</v>
      </c>
      <c r="C255" s="210">
        <f t="shared" si="9"/>
        <v>0</v>
      </c>
    </row>
    <row r="256" spans="1:3" s="60" customFormat="1">
      <c r="A256" s="73">
        <v>253</v>
      </c>
      <c r="B256" s="75">
        <f t="shared" si="8"/>
        <v>153065</v>
      </c>
      <c r="C256" s="210">
        <f t="shared" si="9"/>
        <v>0</v>
      </c>
    </row>
    <row r="257" spans="1:3" s="60" customFormat="1">
      <c r="A257" s="73">
        <v>254</v>
      </c>
      <c r="B257" s="75">
        <f t="shared" si="8"/>
        <v>153670</v>
      </c>
      <c r="C257" s="210">
        <f t="shared" si="9"/>
        <v>0</v>
      </c>
    </row>
    <row r="258" spans="1:3" s="60" customFormat="1">
      <c r="A258" s="73">
        <v>255</v>
      </c>
      <c r="B258" s="75">
        <f t="shared" si="8"/>
        <v>154275</v>
      </c>
      <c r="C258" s="210">
        <f t="shared" si="9"/>
        <v>0</v>
      </c>
    </row>
    <row r="259" spans="1:3" s="60" customFormat="1">
      <c r="A259" s="73">
        <v>256</v>
      </c>
      <c r="B259" s="75">
        <f t="shared" si="8"/>
        <v>154880</v>
      </c>
      <c r="C259" s="210">
        <f t="shared" si="9"/>
        <v>0</v>
      </c>
    </row>
    <row r="260" spans="1:3" s="60" customFormat="1">
      <c r="A260" s="73">
        <v>257</v>
      </c>
      <c r="B260" s="75">
        <f t="shared" si="8"/>
        <v>155485</v>
      </c>
      <c r="C260" s="210">
        <f t="shared" si="9"/>
        <v>0</v>
      </c>
    </row>
    <row r="261" spans="1:3" s="60" customFormat="1">
      <c r="A261" s="73">
        <v>258</v>
      </c>
      <c r="B261" s="75">
        <f t="shared" si="8"/>
        <v>156090</v>
      </c>
      <c r="C261" s="210">
        <f t="shared" si="9"/>
        <v>0</v>
      </c>
    </row>
    <row r="262" spans="1:3" s="60" customFormat="1">
      <c r="A262" s="73">
        <v>259</v>
      </c>
      <c r="B262" s="75">
        <f t="shared" ref="B262:B263" si="10">A262*p_mod</f>
        <v>156695</v>
      </c>
      <c r="C262" s="210">
        <f t="shared" si="9"/>
        <v>0</v>
      </c>
    </row>
    <row r="263" spans="1:3" s="60" customFormat="1">
      <c r="A263" s="73">
        <v>260</v>
      </c>
      <c r="B263" s="75">
        <f t="shared" si="10"/>
        <v>157300</v>
      </c>
      <c r="C263" s="210">
        <f t="shared" ref="C263" si="11">IF(B263&lt;=3000,0.4,
IF(B263&lt;=3000,0.4,
IF(B263&lt;=4000,0.39,
IF(B263&lt;=5000,0.38,
IF(B263&lt;=10000,0.37,
IF(B263&lt;=20000,0.36,
IF(B263&lt;=30000,0.35,
IF(B263&lt;=40000,0.34,
IF(B263&lt;=50000,0.33,
IF(B263&lt;=60000,0.32,
IF(B263&lt;=70000,0.31,
IF(B263&lt;=80000,0.3,
IF(B263&lt;=90000,0.295,
IF(B263&lt;=100000,0.29,
IF(B263&lt;=110000,0.285,
IF(B263&lt;=120000,0.28,
IF(B263&lt;=130000,0.28,
IF(B263&lt;=140000,0.28,
IF(B263&lt;=150000,0.28,
)))))))))))))))))))</f>
        <v>0</v>
      </c>
    </row>
  </sheetData>
  <sheetProtection selectLockedCells="1" selectUnlockedCells="1"/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4638-F3BA-4AA7-8476-1C7D172E53F5}">
  <sheetPr codeName="Hoja24">
    <tabColor theme="1" tint="0.249977111117893"/>
  </sheetPr>
  <dimension ref="A1:F263"/>
  <sheetViews>
    <sheetView showGridLines="0" zoomScale="85" zoomScaleNormal="85" workbookViewId="0">
      <selection activeCell="D2" sqref="D2"/>
    </sheetView>
  </sheetViews>
  <sheetFormatPr baseColWidth="10" defaultColWidth="11.5546875" defaultRowHeight="15.6"/>
  <cols>
    <col min="1" max="1" width="33.88671875" style="41" customWidth="1"/>
    <col min="2" max="2" width="29.77734375" style="41" customWidth="1"/>
    <col min="3" max="3" width="36.88671875" style="41" customWidth="1"/>
    <col min="4" max="4" width="28.33203125" style="41" customWidth="1"/>
    <col min="5" max="5" width="28.44140625" style="41" customWidth="1"/>
    <col min="6" max="6" width="39.44140625" style="41" customWidth="1"/>
    <col min="7" max="7" width="19.77734375" style="41" customWidth="1"/>
    <col min="8" max="16384" width="11.5546875" style="41"/>
  </cols>
  <sheetData>
    <row r="1" spans="1:6" ht="25.2" customHeight="1">
      <c r="A1" s="470" t="s">
        <v>586</v>
      </c>
      <c r="B1" s="470"/>
      <c r="C1" s="470"/>
      <c r="D1" s="470"/>
      <c r="E1" s="470"/>
      <c r="F1" s="470"/>
    </row>
    <row r="2" spans="1:6" s="60" customFormat="1" ht="38.4" customHeight="1">
      <c r="A2" s="82" t="s">
        <v>1</v>
      </c>
      <c r="B2" s="83"/>
      <c r="C2" s="83" t="s">
        <v>97</v>
      </c>
      <c r="D2" s="83"/>
      <c r="E2" s="84" t="s">
        <v>180</v>
      </c>
    </row>
    <row r="3" spans="1:6" s="60" customFormat="1">
      <c r="A3" s="73">
        <v>0</v>
      </c>
      <c r="B3" s="74"/>
      <c r="C3" s="75">
        <f>A3*datos!$C$63</f>
        <v>0</v>
      </c>
      <c r="D3" s="75"/>
      <c r="E3" s="77">
        <f>IF(C3&lt;=3000,700,
IF(C3&lt;=4000,800,
IF(C3&lt;=5000,850,
IF(C3&lt;=6000,900,
IF(C3&lt;=7000,950,
IF(C3&lt;=8000,1000,
IF(C3&lt;=9000,1100,
IF(C3&lt;=10000,1200,
IF(C3&lt;=15000,1300,
IF(C3&lt;=20000,1400,
IF(C3&lt;=25000,1500,
IF(C3&lt;=30000,1600,
IF(C3&lt;=35000,1700,
IF(C3&lt;=40000,1800,
IF(C3&lt;=45000,1900,
IF(C3&lt;=50000,2100,
IF(C3&lt;=55000,2200,
IF(C3&lt;=60000,2300,
IF(C3&lt;=65000,2400,
IF(C3&lt;=70000,2500,
IF(C3&lt;=75000,2750,
IF(C3&lt;=80000,3000,
IF(C3&lt;=85000,3250,
IF(C3&lt;=90000,3500,
IF(C3&lt;=95000,3750,
IF(C3&lt;=100000,4000,
IF(C3&lt;=105000,4250,
IF(C3&lt;=110000,4500,
IF(C3&lt;=115000,4750,
IF(C3&lt;=120000,5000,
))))))))))))))))))))))))))))))</f>
        <v>700</v>
      </c>
    </row>
    <row r="4" spans="1:6" s="60" customFormat="1">
      <c r="A4" s="73">
        <v>1</v>
      </c>
      <c r="B4" s="74"/>
      <c r="C4" s="75">
        <f>A4*datos!$C$63</f>
        <v>605</v>
      </c>
      <c r="D4" s="75"/>
      <c r="E4" s="77">
        <f>IF(C4&lt;=3000,700,
IF(C4&lt;=4000,800,
IF(C4&lt;=5000,850,
IF(C4&lt;=6000,900,
IF(C4&lt;=7000,950,
IF(C4&lt;=8000,1000,
IF(C4&lt;=9000,1100,
IF(C4&lt;=10000,1200,
IF(C4&lt;=15000,1300,
IF(C4&lt;=20000,1400,
IF(C4&lt;=25000,1500,
IF(C4&lt;=30000,1600,
IF(C4&lt;=35000,1700,
IF(C4&lt;=40000,1800,
IF(C4&lt;=45000,1900,
IF(C4&lt;=50000,2100,
IF(C4&lt;=55000,2200,
IF(C4&lt;=60000,2300,
IF(C4&lt;=65000,2400,
IF(C4&lt;=70000,2500,
IF(C4&lt;=75000,2750,
IF(C4&lt;=80000,3000,
IF(C4&lt;=85000,3250,
IF(C4&lt;=90000,3500,
IF(C4&lt;=95000,3750,
IF(C4&lt;=100000,4000,
IF(C4&lt;=105000,4250,
IF(C4&lt;=110000,4500,
IF(C4&lt;=115000,4750,
IF(C4&lt;=120000,5000,
))))))))))))))))))))))))))))))</f>
        <v>700</v>
      </c>
    </row>
    <row r="5" spans="1:6" s="60" customFormat="1">
      <c r="A5" s="73">
        <v>2</v>
      </c>
      <c r="B5" s="74"/>
      <c r="C5" s="75">
        <f>A5*datos!$C$63</f>
        <v>1210</v>
      </c>
      <c r="D5" s="75"/>
      <c r="E5" s="77">
        <f>IF(C5&lt;=3000,700,
IF(C5&lt;=4000,800,
IF(C5&lt;=5000,850,
IF(C5&lt;=6000,900,
IF(C5&lt;=7000,950,
IF(C5&lt;=8000,1000,
IF(C5&lt;=9000,1100,
IF(C5&lt;=10000,1200,
IF(C5&lt;=15000,1300,
IF(C5&lt;=20000,1400,
IF(C5&lt;=25000,1500,
IF(C5&lt;=30000,1600,
IF(C5&lt;=35000,1700,
IF(C5&lt;=40000,1800,
IF(C5&lt;=45000,1900,
IF(C5&lt;=50000,2100,
IF(C5&lt;=55000,2200,
IF(C5&lt;=60000,2300,
IF(C5&lt;=65000,2400,
IF(C5&lt;=70000,2500,
IF(C5&lt;=75000,2750,
IF(C5&lt;=80000,3000,
IF(C5&lt;=85000,3250,
IF(C5&lt;=90000,3500,
IF(C5&lt;=95000,3750,
IF(C5&lt;=100000,4000,
IF(C5&lt;=105000,4250,
IF(C5&lt;=110000,4500,
IF(C5&lt;=115000,4750,
IF(C5&lt;=120000,5000,
))))))))))))))))))))))))))))))</f>
        <v>700</v>
      </c>
    </row>
    <row r="6" spans="1:6" s="60" customFormat="1">
      <c r="A6" s="73">
        <v>3</v>
      </c>
      <c r="B6" s="74"/>
      <c r="C6" s="75">
        <f>A6*datos!$C$63</f>
        <v>1815</v>
      </c>
      <c r="D6" s="75"/>
      <c r="E6" s="77">
        <f>IF(C6&lt;=3000,700,
IF(C6&lt;=4000,800,
IF(C6&lt;=5000,850,
IF(C6&lt;=6000,900,
IF(C6&lt;=7000,950,
IF(C6&lt;=8000,1000,
IF(C6&lt;=9000,1100,
IF(C6&lt;=10000,1200,
IF(C6&lt;=15000,1300,
IF(C6&lt;=20000,1400,
IF(C6&lt;=25000,1500,
IF(C6&lt;=30000,1600,
IF(C6&lt;=35000,1700,
IF(C6&lt;=40000,1800,
IF(C6&lt;=45000,1900,
IF(C6&lt;=50000,2100,
IF(C6&lt;=55000,2200,
IF(C6&lt;=60000,2300,
IF(C6&lt;=65000,2400,
IF(C6&lt;=70000,2500,
IF(C6&lt;=75000,2750,
IF(C6&lt;=80000,3000,
IF(C6&lt;=85000,3250,
IF(C6&lt;=90000,3500,
IF(C6&lt;=95000,3750,
IF(C6&lt;=100000,4000,
IF(C6&lt;=105000,4250,
IF(C6&lt;=110000,4500,
IF(C6&lt;=115000,4750,
IF(C6&lt;=120000,5000,
))))))))))))))))))))))))))))))</f>
        <v>700</v>
      </c>
    </row>
    <row r="7" spans="1:6" s="60" customFormat="1">
      <c r="A7" s="73">
        <v>4</v>
      </c>
      <c r="B7" s="74"/>
      <c r="C7" s="75">
        <f>A7*datos!$C$63</f>
        <v>2420</v>
      </c>
      <c r="D7" s="75"/>
      <c r="E7" s="77">
        <f t="shared" ref="E7:E70" si="0">IF(C7&lt;=3000,700,
IF(C7&lt;=4000,800,
IF(C7&lt;=5000,850,
IF(C7&lt;=6000,900,
IF(C7&lt;=7000,950,
IF(C7&lt;=8000,1000,
IF(C7&lt;=9000,1100,
IF(C7&lt;=10000,1200,
IF(C7&lt;=15000,1300,
IF(C7&lt;=20000,1400,
IF(C7&lt;=25000,1500,
IF(C7&lt;=30000,1600,
IF(C7&lt;=35000,1700,
IF(C7&lt;=40000,1800,
IF(C7&lt;=45000,1900,
IF(C7&lt;=50000,2100,
IF(C7&lt;=55000,2200,
IF(C7&lt;=60000,2300,
IF(C7&lt;=65000,2400,
IF(C7&lt;=70000,2500,
IF(C7&lt;=75000,2750,
IF(C7&lt;=80000,3000,
IF(C7&lt;=85000,3250,
IF(C7&lt;=90000,3500,
IF(C7&lt;=95000,3750,
IF(C7&lt;=100000,4000,
IF(C7&lt;=105000,4250,
IF(C7&lt;=110000,4500,
IF(C7&lt;=115000,4750,
IF(C7&lt;=120000,5000,
))))))))))))))))))))))))))))))</f>
        <v>700</v>
      </c>
    </row>
    <row r="8" spans="1:6" s="60" customFormat="1">
      <c r="A8" s="73">
        <v>5</v>
      </c>
      <c r="B8" s="74"/>
      <c r="C8" s="75">
        <f>A8*datos!$C$63</f>
        <v>3025</v>
      </c>
      <c r="D8" s="75"/>
      <c r="E8" s="77">
        <f t="shared" si="0"/>
        <v>800</v>
      </c>
    </row>
    <row r="9" spans="1:6" s="60" customFormat="1">
      <c r="A9" s="73">
        <v>6</v>
      </c>
      <c r="B9" s="74"/>
      <c r="C9" s="75">
        <f>A9*datos!$C$63</f>
        <v>3630</v>
      </c>
      <c r="D9" s="75"/>
      <c r="E9" s="77">
        <f t="shared" si="0"/>
        <v>800</v>
      </c>
    </row>
    <row r="10" spans="1:6" s="60" customFormat="1">
      <c r="A10" s="73">
        <v>7</v>
      </c>
      <c r="B10" s="74"/>
      <c r="C10" s="75">
        <f>A10*datos!$C$63</f>
        <v>4235</v>
      </c>
      <c r="D10" s="75"/>
      <c r="E10" s="77">
        <f t="shared" si="0"/>
        <v>850</v>
      </c>
    </row>
    <row r="11" spans="1:6" s="60" customFormat="1">
      <c r="A11" s="73">
        <v>8</v>
      </c>
      <c r="B11" s="74"/>
      <c r="C11" s="75">
        <f>A11*datos!$C$63</f>
        <v>4840</v>
      </c>
      <c r="D11" s="75"/>
      <c r="E11" s="77">
        <f t="shared" si="0"/>
        <v>850</v>
      </c>
    </row>
    <row r="12" spans="1:6" s="60" customFormat="1">
      <c r="A12" s="73">
        <v>9</v>
      </c>
      <c r="B12" s="74"/>
      <c r="C12" s="75">
        <f>A12*datos!$C$63</f>
        <v>5445</v>
      </c>
      <c r="D12" s="75"/>
      <c r="E12" s="77">
        <f t="shared" si="0"/>
        <v>900</v>
      </c>
    </row>
    <row r="13" spans="1:6" s="60" customFormat="1">
      <c r="A13" s="73">
        <v>10</v>
      </c>
      <c r="B13" s="74"/>
      <c r="C13" s="75">
        <f>A13*datos!$C$63</f>
        <v>6050</v>
      </c>
      <c r="D13" s="75"/>
      <c r="E13" s="77">
        <f t="shared" si="0"/>
        <v>950</v>
      </c>
    </row>
    <row r="14" spans="1:6" s="60" customFormat="1">
      <c r="A14" s="73">
        <v>11</v>
      </c>
      <c r="B14" s="74"/>
      <c r="C14" s="75">
        <f>A14*datos!$C$63</f>
        <v>6655</v>
      </c>
      <c r="D14" s="75"/>
      <c r="E14" s="77">
        <f t="shared" si="0"/>
        <v>950</v>
      </c>
    </row>
    <row r="15" spans="1:6" s="60" customFormat="1">
      <c r="A15" s="73">
        <v>12</v>
      </c>
      <c r="B15" s="74"/>
      <c r="C15" s="75">
        <f>A15*datos!$C$63</f>
        <v>7260</v>
      </c>
      <c r="D15" s="75"/>
      <c r="E15" s="77">
        <f t="shared" si="0"/>
        <v>1000</v>
      </c>
    </row>
    <row r="16" spans="1:6" s="60" customFormat="1">
      <c r="A16" s="73">
        <v>13</v>
      </c>
      <c r="B16" s="74"/>
      <c r="C16" s="75">
        <f>A16*datos!$C$63</f>
        <v>7865</v>
      </c>
      <c r="D16" s="75"/>
      <c r="E16" s="77">
        <f t="shared" si="0"/>
        <v>1000</v>
      </c>
    </row>
    <row r="17" spans="1:5" s="60" customFormat="1">
      <c r="A17" s="73">
        <v>14</v>
      </c>
      <c r="B17" s="74"/>
      <c r="C17" s="75">
        <f>A17*datos!$C$63</f>
        <v>8470</v>
      </c>
      <c r="D17" s="75"/>
      <c r="E17" s="77">
        <f t="shared" si="0"/>
        <v>1100</v>
      </c>
    </row>
    <row r="18" spans="1:5" s="60" customFormat="1">
      <c r="A18" s="73">
        <v>15</v>
      </c>
      <c r="B18" s="74"/>
      <c r="C18" s="75">
        <f>A18*datos!$C$63</f>
        <v>9075</v>
      </c>
      <c r="D18" s="75"/>
      <c r="E18" s="77">
        <f t="shared" si="0"/>
        <v>1200</v>
      </c>
    </row>
    <row r="19" spans="1:5" s="60" customFormat="1">
      <c r="A19" s="73">
        <v>16</v>
      </c>
      <c r="B19" s="74"/>
      <c r="C19" s="75">
        <f>A19*datos!$C$63</f>
        <v>9680</v>
      </c>
      <c r="D19" s="75"/>
      <c r="E19" s="77">
        <f t="shared" si="0"/>
        <v>1200</v>
      </c>
    </row>
    <row r="20" spans="1:5" s="60" customFormat="1">
      <c r="A20" s="73">
        <v>17</v>
      </c>
      <c r="B20" s="74"/>
      <c r="C20" s="75">
        <f>A20*datos!$C$63</f>
        <v>10285</v>
      </c>
      <c r="D20" s="75"/>
      <c r="E20" s="77">
        <f t="shared" si="0"/>
        <v>1300</v>
      </c>
    </row>
    <row r="21" spans="1:5" s="60" customFormat="1">
      <c r="A21" s="73">
        <v>18</v>
      </c>
      <c r="B21" s="74"/>
      <c r="C21" s="75">
        <f>A21*datos!$C$63</f>
        <v>10890</v>
      </c>
      <c r="D21" s="75"/>
      <c r="E21" s="77">
        <f t="shared" si="0"/>
        <v>1300</v>
      </c>
    </row>
    <row r="22" spans="1:5" s="60" customFormat="1">
      <c r="A22" s="73">
        <v>19</v>
      </c>
      <c r="B22" s="74"/>
      <c r="C22" s="75">
        <f>A22*datos!$C$63</f>
        <v>11495</v>
      </c>
      <c r="D22" s="75"/>
      <c r="E22" s="77">
        <f t="shared" si="0"/>
        <v>1300</v>
      </c>
    </row>
    <row r="23" spans="1:5" s="60" customFormat="1">
      <c r="A23" s="73">
        <v>20</v>
      </c>
      <c r="B23" s="74"/>
      <c r="C23" s="75">
        <f>A23*datos!$C$63</f>
        <v>12100</v>
      </c>
      <c r="D23" s="75"/>
      <c r="E23" s="77">
        <f t="shared" si="0"/>
        <v>1300</v>
      </c>
    </row>
    <row r="24" spans="1:5" s="60" customFormat="1">
      <c r="A24" s="73">
        <v>21</v>
      </c>
      <c r="B24" s="74"/>
      <c r="C24" s="75">
        <f>A24*datos!$C$63</f>
        <v>12705</v>
      </c>
      <c r="D24" s="75"/>
      <c r="E24" s="77">
        <f t="shared" si="0"/>
        <v>1300</v>
      </c>
    </row>
    <row r="25" spans="1:5" s="60" customFormat="1">
      <c r="A25" s="73">
        <v>22</v>
      </c>
      <c r="B25" s="74"/>
      <c r="C25" s="75">
        <f>A25*datos!$C$63</f>
        <v>13310</v>
      </c>
      <c r="D25" s="75"/>
      <c r="E25" s="77">
        <f t="shared" si="0"/>
        <v>1300</v>
      </c>
    </row>
    <row r="26" spans="1:5" s="60" customFormat="1">
      <c r="A26" s="73">
        <v>23</v>
      </c>
      <c r="B26" s="74"/>
      <c r="C26" s="75">
        <f>A26*datos!$C$63</f>
        <v>13915</v>
      </c>
      <c r="D26" s="75"/>
      <c r="E26" s="77">
        <f t="shared" si="0"/>
        <v>1300</v>
      </c>
    </row>
    <row r="27" spans="1:5" s="60" customFormat="1">
      <c r="A27" s="73">
        <v>24</v>
      </c>
      <c r="B27" s="74"/>
      <c r="C27" s="75">
        <f>A27*datos!$C$63</f>
        <v>14520</v>
      </c>
      <c r="D27" s="75"/>
      <c r="E27" s="77">
        <f t="shared" si="0"/>
        <v>1300</v>
      </c>
    </row>
    <row r="28" spans="1:5" s="60" customFormat="1">
      <c r="A28" s="73">
        <v>25</v>
      </c>
      <c r="B28" s="74"/>
      <c r="C28" s="75">
        <f>A28*datos!$C$63</f>
        <v>15125</v>
      </c>
      <c r="D28" s="75"/>
      <c r="E28" s="77">
        <f t="shared" si="0"/>
        <v>1400</v>
      </c>
    </row>
    <row r="29" spans="1:5" s="60" customFormat="1">
      <c r="A29" s="73">
        <v>26</v>
      </c>
      <c r="B29" s="74"/>
      <c r="C29" s="75">
        <f>A29*datos!$C$63</f>
        <v>15730</v>
      </c>
      <c r="D29" s="75"/>
      <c r="E29" s="77">
        <f t="shared" si="0"/>
        <v>1400</v>
      </c>
    </row>
    <row r="30" spans="1:5" s="60" customFormat="1">
      <c r="A30" s="73">
        <v>27</v>
      </c>
      <c r="B30" s="74"/>
      <c r="C30" s="75">
        <f>A30*datos!$C$63</f>
        <v>16335</v>
      </c>
      <c r="D30" s="75"/>
      <c r="E30" s="77">
        <f t="shared" si="0"/>
        <v>1400</v>
      </c>
    </row>
    <row r="31" spans="1:5" s="60" customFormat="1">
      <c r="A31" s="73">
        <v>28</v>
      </c>
      <c r="B31" s="74"/>
      <c r="C31" s="75">
        <f>A31*datos!$C$63</f>
        <v>16940</v>
      </c>
      <c r="D31" s="75"/>
      <c r="E31" s="77">
        <f t="shared" si="0"/>
        <v>1400</v>
      </c>
    </row>
    <row r="32" spans="1:5" s="60" customFormat="1">
      <c r="A32" s="73">
        <v>29</v>
      </c>
      <c r="B32" s="74"/>
      <c r="C32" s="75">
        <f>A32*datos!$C$63</f>
        <v>17545</v>
      </c>
      <c r="D32" s="75"/>
      <c r="E32" s="77">
        <f t="shared" si="0"/>
        <v>1400</v>
      </c>
    </row>
    <row r="33" spans="1:5" s="60" customFormat="1">
      <c r="A33" s="73">
        <v>30</v>
      </c>
      <c r="B33" s="74"/>
      <c r="C33" s="75">
        <f>A33*datos!$C$63</f>
        <v>18150</v>
      </c>
      <c r="D33" s="75"/>
      <c r="E33" s="77">
        <f t="shared" si="0"/>
        <v>1400</v>
      </c>
    </row>
    <row r="34" spans="1:5" s="60" customFormat="1">
      <c r="A34" s="73">
        <v>31</v>
      </c>
      <c r="B34" s="74"/>
      <c r="C34" s="75">
        <f>A34*datos!$C$63</f>
        <v>18755</v>
      </c>
      <c r="D34" s="75"/>
      <c r="E34" s="77">
        <f t="shared" si="0"/>
        <v>1400</v>
      </c>
    </row>
    <row r="35" spans="1:5" s="60" customFormat="1">
      <c r="A35" s="73">
        <v>32</v>
      </c>
      <c r="B35" s="74"/>
      <c r="C35" s="75">
        <f>A35*datos!$C$63</f>
        <v>19360</v>
      </c>
      <c r="D35" s="75"/>
      <c r="E35" s="77">
        <f t="shared" si="0"/>
        <v>1400</v>
      </c>
    </row>
    <row r="36" spans="1:5" s="60" customFormat="1">
      <c r="A36" s="73">
        <v>33</v>
      </c>
      <c r="B36" s="74"/>
      <c r="C36" s="75">
        <f>A36*datos!$C$63</f>
        <v>19965</v>
      </c>
      <c r="D36" s="75"/>
      <c r="E36" s="77">
        <f t="shared" si="0"/>
        <v>1400</v>
      </c>
    </row>
    <row r="37" spans="1:5" s="60" customFormat="1">
      <c r="A37" s="73">
        <v>34</v>
      </c>
      <c r="B37" s="74"/>
      <c r="C37" s="75">
        <f>A37*datos!$C$63</f>
        <v>20570</v>
      </c>
      <c r="D37" s="75"/>
      <c r="E37" s="77">
        <f t="shared" si="0"/>
        <v>1500</v>
      </c>
    </row>
    <row r="38" spans="1:5" s="60" customFormat="1">
      <c r="A38" s="73">
        <v>35</v>
      </c>
      <c r="B38" s="74"/>
      <c r="C38" s="75">
        <f>A38*datos!$C$63</f>
        <v>21175</v>
      </c>
      <c r="D38" s="75"/>
      <c r="E38" s="77">
        <f t="shared" si="0"/>
        <v>1500</v>
      </c>
    </row>
    <row r="39" spans="1:5" s="60" customFormat="1">
      <c r="A39" s="73">
        <v>36</v>
      </c>
      <c r="B39" s="74"/>
      <c r="C39" s="75">
        <f>A39*datos!$C$63</f>
        <v>21780</v>
      </c>
      <c r="D39" s="75"/>
      <c r="E39" s="77">
        <f t="shared" si="0"/>
        <v>1500</v>
      </c>
    </row>
    <row r="40" spans="1:5" s="60" customFormat="1">
      <c r="A40" s="73">
        <v>37</v>
      </c>
      <c r="B40" s="74"/>
      <c r="C40" s="75">
        <f>A40*datos!$C$63</f>
        <v>22385</v>
      </c>
      <c r="D40" s="75"/>
      <c r="E40" s="77">
        <f t="shared" si="0"/>
        <v>1500</v>
      </c>
    </row>
    <row r="41" spans="1:5" s="60" customFormat="1">
      <c r="A41" s="73">
        <v>38</v>
      </c>
      <c r="B41" s="74"/>
      <c r="C41" s="75">
        <f>A41*datos!$C$63</f>
        <v>22990</v>
      </c>
      <c r="D41" s="75"/>
      <c r="E41" s="77">
        <f t="shared" si="0"/>
        <v>1500</v>
      </c>
    </row>
    <row r="42" spans="1:5" s="60" customFormat="1">
      <c r="A42" s="73">
        <v>39</v>
      </c>
      <c r="B42" s="74"/>
      <c r="C42" s="75">
        <f>A42*datos!$C$63</f>
        <v>23595</v>
      </c>
      <c r="D42" s="75"/>
      <c r="E42" s="77">
        <f t="shared" si="0"/>
        <v>1500</v>
      </c>
    </row>
    <row r="43" spans="1:5" s="60" customFormat="1">
      <c r="A43" s="73">
        <v>40</v>
      </c>
      <c r="B43" s="74"/>
      <c r="C43" s="75">
        <f>A43*datos!$C$63</f>
        <v>24200</v>
      </c>
      <c r="D43" s="75"/>
      <c r="E43" s="77">
        <f t="shared" si="0"/>
        <v>1500</v>
      </c>
    </row>
    <row r="44" spans="1:5" s="60" customFormat="1">
      <c r="A44" s="73">
        <v>41</v>
      </c>
      <c r="B44" s="74"/>
      <c r="C44" s="75">
        <f>A44*datos!$C$63</f>
        <v>24805</v>
      </c>
      <c r="D44" s="75"/>
      <c r="E44" s="77">
        <f t="shared" si="0"/>
        <v>1500</v>
      </c>
    </row>
    <row r="45" spans="1:5" s="60" customFormat="1">
      <c r="A45" s="73">
        <v>42</v>
      </c>
      <c r="B45" s="74"/>
      <c r="C45" s="75">
        <f>A45*datos!$C$63</f>
        <v>25410</v>
      </c>
      <c r="D45" s="75"/>
      <c r="E45" s="77">
        <f t="shared" si="0"/>
        <v>1600</v>
      </c>
    </row>
    <row r="46" spans="1:5" s="60" customFormat="1">
      <c r="A46" s="73">
        <v>43</v>
      </c>
      <c r="B46" s="74"/>
      <c r="C46" s="75">
        <f>A46*datos!$C$63</f>
        <v>26015</v>
      </c>
      <c r="D46" s="75"/>
      <c r="E46" s="77">
        <f t="shared" si="0"/>
        <v>1600</v>
      </c>
    </row>
    <row r="47" spans="1:5" s="60" customFormat="1">
      <c r="A47" s="73">
        <v>44</v>
      </c>
      <c r="B47" s="74"/>
      <c r="C47" s="75">
        <f>A47*datos!$C$63</f>
        <v>26620</v>
      </c>
      <c r="D47" s="75"/>
      <c r="E47" s="77">
        <f t="shared" si="0"/>
        <v>1600</v>
      </c>
    </row>
    <row r="48" spans="1:5" s="60" customFormat="1">
      <c r="A48" s="73">
        <v>45</v>
      </c>
      <c r="B48" s="74"/>
      <c r="C48" s="75">
        <f>A48*datos!$C$63</f>
        <v>27225</v>
      </c>
      <c r="D48" s="75"/>
      <c r="E48" s="77">
        <f t="shared" si="0"/>
        <v>1600</v>
      </c>
    </row>
    <row r="49" spans="1:5" s="60" customFormat="1">
      <c r="A49" s="73">
        <v>46</v>
      </c>
      <c r="B49" s="74"/>
      <c r="C49" s="75">
        <f>A49*datos!$C$63</f>
        <v>27830</v>
      </c>
      <c r="D49" s="75"/>
      <c r="E49" s="77">
        <f t="shared" si="0"/>
        <v>1600</v>
      </c>
    </row>
    <row r="50" spans="1:5" s="60" customFormat="1">
      <c r="A50" s="73">
        <v>47</v>
      </c>
      <c r="B50" s="74"/>
      <c r="C50" s="75">
        <f>A50*datos!$C$63</f>
        <v>28435</v>
      </c>
      <c r="D50" s="75"/>
      <c r="E50" s="77">
        <f t="shared" si="0"/>
        <v>1600</v>
      </c>
    </row>
    <row r="51" spans="1:5" s="60" customFormat="1">
      <c r="A51" s="73">
        <v>48</v>
      </c>
      <c r="B51" s="74"/>
      <c r="C51" s="75">
        <f>A51*datos!$C$63</f>
        <v>29040</v>
      </c>
      <c r="D51" s="75"/>
      <c r="E51" s="77">
        <f t="shared" si="0"/>
        <v>1600</v>
      </c>
    </row>
    <row r="52" spans="1:5" s="60" customFormat="1">
      <c r="A52" s="73">
        <v>49</v>
      </c>
      <c r="B52" s="74"/>
      <c r="C52" s="75">
        <f>A52*datos!$C$63</f>
        <v>29645</v>
      </c>
      <c r="D52" s="75"/>
      <c r="E52" s="77">
        <f t="shared" si="0"/>
        <v>1600</v>
      </c>
    </row>
    <row r="53" spans="1:5" s="60" customFormat="1">
      <c r="A53" s="73">
        <v>50</v>
      </c>
      <c r="B53" s="74"/>
      <c r="C53" s="75">
        <f>A53*datos!$C$63</f>
        <v>30250</v>
      </c>
      <c r="D53" s="75"/>
      <c r="E53" s="77">
        <f t="shared" si="0"/>
        <v>1700</v>
      </c>
    </row>
    <row r="54" spans="1:5" s="60" customFormat="1">
      <c r="A54" s="73">
        <v>51</v>
      </c>
      <c r="B54" s="74"/>
      <c r="C54" s="75">
        <f>A54*datos!$C$63</f>
        <v>30855</v>
      </c>
      <c r="D54" s="75"/>
      <c r="E54" s="77">
        <f t="shared" si="0"/>
        <v>1700</v>
      </c>
    </row>
    <row r="55" spans="1:5" s="60" customFormat="1">
      <c r="A55" s="73">
        <v>52</v>
      </c>
      <c r="B55" s="74"/>
      <c r="C55" s="75">
        <f>A55*datos!$C$63</f>
        <v>31460</v>
      </c>
      <c r="D55" s="75"/>
      <c r="E55" s="77">
        <f t="shared" si="0"/>
        <v>1700</v>
      </c>
    </row>
    <row r="56" spans="1:5" s="60" customFormat="1">
      <c r="A56" s="73">
        <v>53</v>
      </c>
      <c r="B56" s="74"/>
      <c r="C56" s="75">
        <f>A56*datos!$C$63</f>
        <v>32065</v>
      </c>
      <c r="D56" s="75"/>
      <c r="E56" s="77">
        <f t="shared" si="0"/>
        <v>1700</v>
      </c>
    </row>
    <row r="57" spans="1:5" s="60" customFormat="1">
      <c r="A57" s="73">
        <v>54</v>
      </c>
      <c r="B57" s="74"/>
      <c r="C57" s="75">
        <f>A57*datos!$C$63</f>
        <v>32670</v>
      </c>
      <c r="D57" s="75"/>
      <c r="E57" s="77">
        <f t="shared" si="0"/>
        <v>1700</v>
      </c>
    </row>
    <row r="58" spans="1:5" s="60" customFormat="1">
      <c r="A58" s="73">
        <v>55</v>
      </c>
      <c r="B58" s="74"/>
      <c r="C58" s="75">
        <f>A58*datos!$C$63</f>
        <v>33275</v>
      </c>
      <c r="D58" s="75"/>
      <c r="E58" s="77">
        <f t="shared" si="0"/>
        <v>1700</v>
      </c>
    </row>
    <row r="59" spans="1:5" s="60" customFormat="1">
      <c r="A59" s="73">
        <v>56</v>
      </c>
      <c r="B59" s="74"/>
      <c r="C59" s="75">
        <f>A59*datos!$C$63</f>
        <v>33880</v>
      </c>
      <c r="D59" s="75"/>
      <c r="E59" s="77">
        <f t="shared" si="0"/>
        <v>1700</v>
      </c>
    </row>
    <row r="60" spans="1:5" s="60" customFormat="1">
      <c r="A60" s="73">
        <v>57</v>
      </c>
      <c r="B60" s="74"/>
      <c r="C60" s="75">
        <f>A60*datos!$C$63</f>
        <v>34485</v>
      </c>
      <c r="D60" s="75"/>
      <c r="E60" s="77">
        <f t="shared" si="0"/>
        <v>1700</v>
      </c>
    </row>
    <row r="61" spans="1:5" s="60" customFormat="1">
      <c r="A61" s="73">
        <v>58</v>
      </c>
      <c r="B61" s="74"/>
      <c r="C61" s="75">
        <f>A61*datos!$C$63</f>
        <v>35090</v>
      </c>
      <c r="D61" s="75"/>
      <c r="E61" s="77">
        <f t="shared" si="0"/>
        <v>1800</v>
      </c>
    </row>
    <row r="62" spans="1:5" s="60" customFormat="1">
      <c r="A62" s="73">
        <v>59</v>
      </c>
      <c r="B62" s="74"/>
      <c r="C62" s="75">
        <f>A62*datos!$C$63</f>
        <v>35695</v>
      </c>
      <c r="D62" s="75"/>
      <c r="E62" s="77">
        <f t="shared" si="0"/>
        <v>1800</v>
      </c>
    </row>
    <row r="63" spans="1:5" s="60" customFormat="1">
      <c r="A63" s="73">
        <v>60</v>
      </c>
      <c r="B63" s="74"/>
      <c r="C63" s="75">
        <f>A63*datos!$C$63</f>
        <v>36300</v>
      </c>
      <c r="D63" s="75"/>
      <c r="E63" s="77">
        <f t="shared" si="0"/>
        <v>1800</v>
      </c>
    </row>
    <row r="64" spans="1:5" s="60" customFormat="1">
      <c r="A64" s="73">
        <v>61</v>
      </c>
      <c r="B64" s="74"/>
      <c r="C64" s="75">
        <f>A64*datos!$C$63</f>
        <v>36905</v>
      </c>
      <c r="D64" s="75"/>
      <c r="E64" s="77">
        <f t="shared" si="0"/>
        <v>1800</v>
      </c>
    </row>
    <row r="65" spans="1:5" s="60" customFormat="1">
      <c r="A65" s="73">
        <v>62</v>
      </c>
      <c r="B65" s="74"/>
      <c r="C65" s="75">
        <f>A65*datos!$C$63</f>
        <v>37510</v>
      </c>
      <c r="D65" s="75"/>
      <c r="E65" s="77">
        <f t="shared" si="0"/>
        <v>1800</v>
      </c>
    </row>
    <row r="66" spans="1:5" s="60" customFormat="1">
      <c r="A66" s="73">
        <v>63</v>
      </c>
      <c r="B66" s="74"/>
      <c r="C66" s="75">
        <f>A66*datos!$C$63</f>
        <v>38115</v>
      </c>
      <c r="D66" s="75"/>
      <c r="E66" s="77">
        <f t="shared" si="0"/>
        <v>1800</v>
      </c>
    </row>
    <row r="67" spans="1:5" s="60" customFormat="1">
      <c r="A67" s="73">
        <v>64</v>
      </c>
      <c r="B67" s="74"/>
      <c r="C67" s="75">
        <f>A67*datos!$C$63</f>
        <v>38720</v>
      </c>
      <c r="D67" s="75"/>
      <c r="E67" s="77">
        <f t="shared" si="0"/>
        <v>1800</v>
      </c>
    </row>
    <row r="68" spans="1:5" s="60" customFormat="1">
      <c r="A68" s="73">
        <v>65</v>
      </c>
      <c r="B68" s="74"/>
      <c r="C68" s="75">
        <f>A68*datos!$C$63</f>
        <v>39325</v>
      </c>
      <c r="D68" s="75"/>
      <c r="E68" s="77">
        <f t="shared" si="0"/>
        <v>1800</v>
      </c>
    </row>
    <row r="69" spans="1:5" s="60" customFormat="1">
      <c r="A69" s="73">
        <v>66</v>
      </c>
      <c r="B69" s="74"/>
      <c r="C69" s="75">
        <f>A69*datos!$C$63</f>
        <v>39930</v>
      </c>
      <c r="D69" s="75"/>
      <c r="E69" s="77">
        <f t="shared" si="0"/>
        <v>1800</v>
      </c>
    </row>
    <row r="70" spans="1:5" s="60" customFormat="1">
      <c r="A70" s="73">
        <v>67</v>
      </c>
      <c r="B70" s="74"/>
      <c r="C70" s="75">
        <f>A70*datos!$C$63</f>
        <v>40535</v>
      </c>
      <c r="D70" s="75"/>
      <c r="E70" s="77">
        <f t="shared" si="0"/>
        <v>1900</v>
      </c>
    </row>
    <row r="71" spans="1:5" s="60" customFormat="1">
      <c r="A71" s="73">
        <v>68</v>
      </c>
      <c r="B71" s="74"/>
      <c r="C71" s="75">
        <f>A71*datos!$C$63</f>
        <v>41140</v>
      </c>
      <c r="D71" s="75"/>
      <c r="E71" s="77">
        <f t="shared" ref="E71:E134" si="1">IF(C71&lt;=3000,700,
IF(C71&lt;=4000,800,
IF(C71&lt;=5000,850,
IF(C71&lt;=6000,900,
IF(C71&lt;=7000,950,
IF(C71&lt;=8000,1000,
IF(C71&lt;=9000,1100,
IF(C71&lt;=10000,1200,
IF(C71&lt;=15000,1300,
IF(C71&lt;=20000,1400,
IF(C71&lt;=25000,1500,
IF(C71&lt;=30000,1600,
IF(C71&lt;=35000,1700,
IF(C71&lt;=40000,1800,
IF(C71&lt;=45000,1900,
IF(C71&lt;=50000,2100,
IF(C71&lt;=55000,2200,
IF(C71&lt;=60000,2300,
IF(C71&lt;=65000,2400,
IF(C71&lt;=70000,2500,
IF(C71&lt;=75000,2750,
IF(C71&lt;=80000,3000,
IF(C71&lt;=85000,3250,
IF(C71&lt;=90000,3500,
IF(C71&lt;=95000,3750,
IF(C71&lt;=100000,4000,
IF(C71&lt;=105000,4250,
IF(C71&lt;=110000,4500,
IF(C71&lt;=115000,4750,
IF(C71&lt;=120000,5000,
))))))))))))))))))))))))))))))</f>
        <v>1900</v>
      </c>
    </row>
    <row r="72" spans="1:5" s="60" customFormat="1">
      <c r="A72" s="73">
        <v>69</v>
      </c>
      <c r="B72" s="74"/>
      <c r="C72" s="75">
        <f>A72*datos!$C$63</f>
        <v>41745</v>
      </c>
      <c r="D72" s="75"/>
      <c r="E72" s="77">
        <f t="shared" si="1"/>
        <v>1900</v>
      </c>
    </row>
    <row r="73" spans="1:5" s="60" customFormat="1">
      <c r="A73" s="73">
        <v>70</v>
      </c>
      <c r="B73" s="74"/>
      <c r="C73" s="75">
        <f>A73*datos!$C$63</f>
        <v>42350</v>
      </c>
      <c r="D73" s="75"/>
      <c r="E73" s="77">
        <f t="shared" si="1"/>
        <v>1900</v>
      </c>
    </row>
    <row r="74" spans="1:5" s="60" customFormat="1">
      <c r="A74" s="73">
        <v>71</v>
      </c>
      <c r="B74" s="74"/>
      <c r="C74" s="75">
        <f>A74*datos!$C$63</f>
        <v>42955</v>
      </c>
      <c r="D74" s="75"/>
      <c r="E74" s="77">
        <f t="shared" si="1"/>
        <v>1900</v>
      </c>
    </row>
    <row r="75" spans="1:5" s="60" customFormat="1">
      <c r="A75" s="73">
        <v>72</v>
      </c>
      <c r="B75" s="74"/>
      <c r="C75" s="75">
        <f>A75*datos!$C$63</f>
        <v>43560</v>
      </c>
      <c r="D75" s="75"/>
      <c r="E75" s="77">
        <f t="shared" si="1"/>
        <v>1900</v>
      </c>
    </row>
    <row r="76" spans="1:5" s="60" customFormat="1">
      <c r="A76" s="73">
        <v>73</v>
      </c>
      <c r="B76" s="74"/>
      <c r="C76" s="75">
        <f>A76*datos!$C$63</f>
        <v>44165</v>
      </c>
      <c r="D76" s="75"/>
      <c r="E76" s="77">
        <f t="shared" si="1"/>
        <v>1900</v>
      </c>
    </row>
    <row r="77" spans="1:5" s="60" customFormat="1">
      <c r="A77" s="73">
        <v>74</v>
      </c>
      <c r="B77" s="74"/>
      <c r="C77" s="75">
        <f>A77*datos!$C$63</f>
        <v>44770</v>
      </c>
      <c r="D77" s="75"/>
      <c r="E77" s="77">
        <f t="shared" si="1"/>
        <v>1900</v>
      </c>
    </row>
    <row r="78" spans="1:5" s="60" customFormat="1">
      <c r="A78" s="73">
        <v>75</v>
      </c>
      <c r="B78" s="74"/>
      <c r="C78" s="75">
        <f>A78*datos!$C$63</f>
        <v>45375</v>
      </c>
      <c r="D78" s="75"/>
      <c r="E78" s="77">
        <f t="shared" si="1"/>
        <v>2100</v>
      </c>
    </row>
    <row r="79" spans="1:5" s="60" customFormat="1">
      <c r="A79" s="73">
        <v>76</v>
      </c>
      <c r="B79" s="74"/>
      <c r="C79" s="75">
        <f>A79*datos!$C$63</f>
        <v>45980</v>
      </c>
      <c r="D79" s="75"/>
      <c r="E79" s="77">
        <f t="shared" si="1"/>
        <v>2100</v>
      </c>
    </row>
    <row r="80" spans="1:5" s="60" customFormat="1">
      <c r="A80" s="73">
        <v>77</v>
      </c>
      <c r="B80" s="74"/>
      <c r="C80" s="75">
        <f>A80*datos!$C$63</f>
        <v>46585</v>
      </c>
      <c r="D80" s="75"/>
      <c r="E80" s="77">
        <f t="shared" si="1"/>
        <v>2100</v>
      </c>
    </row>
    <row r="81" spans="1:5" s="60" customFormat="1">
      <c r="A81" s="73">
        <v>78</v>
      </c>
      <c r="B81" s="74"/>
      <c r="C81" s="75">
        <f>A81*datos!$C$63</f>
        <v>47190</v>
      </c>
      <c r="D81" s="75"/>
      <c r="E81" s="77">
        <f t="shared" si="1"/>
        <v>2100</v>
      </c>
    </row>
    <row r="82" spans="1:5" s="60" customFormat="1">
      <c r="A82" s="73">
        <v>79</v>
      </c>
      <c r="B82" s="74"/>
      <c r="C82" s="75">
        <f>A82*datos!$C$63</f>
        <v>47795</v>
      </c>
      <c r="D82" s="75"/>
      <c r="E82" s="77">
        <f t="shared" si="1"/>
        <v>2100</v>
      </c>
    </row>
    <row r="83" spans="1:5" s="60" customFormat="1">
      <c r="A83" s="73">
        <v>80</v>
      </c>
      <c r="B83" s="74"/>
      <c r="C83" s="75">
        <f>A83*datos!$C$63</f>
        <v>48400</v>
      </c>
      <c r="D83" s="75"/>
      <c r="E83" s="77">
        <f t="shared" si="1"/>
        <v>2100</v>
      </c>
    </row>
    <row r="84" spans="1:5" s="60" customFormat="1">
      <c r="A84" s="73">
        <v>81</v>
      </c>
      <c r="B84" s="74"/>
      <c r="C84" s="75">
        <f>A84*datos!$C$63</f>
        <v>49005</v>
      </c>
      <c r="D84" s="75"/>
      <c r="E84" s="77">
        <f t="shared" si="1"/>
        <v>2100</v>
      </c>
    </row>
    <row r="85" spans="1:5" s="60" customFormat="1">
      <c r="A85" s="73">
        <v>82</v>
      </c>
      <c r="B85" s="74"/>
      <c r="C85" s="75">
        <f>A85*datos!$C$63</f>
        <v>49610</v>
      </c>
      <c r="D85" s="75"/>
      <c r="E85" s="77">
        <f t="shared" si="1"/>
        <v>2100</v>
      </c>
    </row>
    <row r="86" spans="1:5" s="60" customFormat="1">
      <c r="A86" s="73">
        <v>83</v>
      </c>
      <c r="B86" s="74"/>
      <c r="C86" s="75">
        <f>A86*datos!$C$63</f>
        <v>50215</v>
      </c>
      <c r="D86" s="75"/>
      <c r="E86" s="77">
        <f t="shared" si="1"/>
        <v>2200</v>
      </c>
    </row>
    <row r="87" spans="1:5" s="60" customFormat="1">
      <c r="A87" s="73">
        <v>84</v>
      </c>
      <c r="B87" s="74"/>
      <c r="C87" s="75">
        <f>A87*datos!$C$63</f>
        <v>50820</v>
      </c>
      <c r="D87" s="75"/>
      <c r="E87" s="77">
        <f t="shared" si="1"/>
        <v>2200</v>
      </c>
    </row>
    <row r="88" spans="1:5" s="60" customFormat="1">
      <c r="A88" s="73">
        <v>85</v>
      </c>
      <c r="B88" s="74"/>
      <c r="C88" s="75">
        <f>A88*datos!$C$63</f>
        <v>51425</v>
      </c>
      <c r="D88" s="75"/>
      <c r="E88" s="77">
        <f t="shared" si="1"/>
        <v>2200</v>
      </c>
    </row>
    <row r="89" spans="1:5" s="60" customFormat="1">
      <c r="A89" s="73">
        <v>86</v>
      </c>
      <c r="B89" s="74"/>
      <c r="C89" s="75">
        <f>A89*datos!$C$63</f>
        <v>52030</v>
      </c>
      <c r="D89" s="75"/>
      <c r="E89" s="77">
        <f t="shared" si="1"/>
        <v>2200</v>
      </c>
    </row>
    <row r="90" spans="1:5" s="60" customFormat="1">
      <c r="A90" s="73">
        <v>87</v>
      </c>
      <c r="B90" s="74"/>
      <c r="C90" s="75">
        <f>A90*datos!$C$63</f>
        <v>52635</v>
      </c>
      <c r="D90" s="75"/>
      <c r="E90" s="77">
        <f t="shared" si="1"/>
        <v>2200</v>
      </c>
    </row>
    <row r="91" spans="1:5" s="60" customFormat="1">
      <c r="A91" s="73">
        <v>88</v>
      </c>
      <c r="B91" s="74"/>
      <c r="C91" s="75">
        <f>A91*datos!$C$63</f>
        <v>53240</v>
      </c>
      <c r="D91" s="75"/>
      <c r="E91" s="77">
        <f t="shared" si="1"/>
        <v>2200</v>
      </c>
    </row>
    <row r="92" spans="1:5" s="60" customFormat="1">
      <c r="A92" s="73">
        <v>89</v>
      </c>
      <c r="B92" s="74"/>
      <c r="C92" s="75">
        <f>A92*datos!$C$63</f>
        <v>53845</v>
      </c>
      <c r="D92" s="75"/>
      <c r="E92" s="77">
        <f t="shared" si="1"/>
        <v>2200</v>
      </c>
    </row>
    <row r="93" spans="1:5" s="60" customFormat="1">
      <c r="A93" s="73">
        <v>90</v>
      </c>
      <c r="B93" s="74"/>
      <c r="C93" s="75">
        <f>A93*datos!$C$63</f>
        <v>54450</v>
      </c>
      <c r="D93" s="75"/>
      <c r="E93" s="77">
        <f t="shared" si="1"/>
        <v>2200</v>
      </c>
    </row>
    <row r="94" spans="1:5" s="60" customFormat="1">
      <c r="A94" s="73">
        <v>91</v>
      </c>
      <c r="B94" s="74"/>
      <c r="C94" s="75">
        <f>A94*datos!$C$63</f>
        <v>55055</v>
      </c>
      <c r="D94" s="75"/>
      <c r="E94" s="77">
        <f t="shared" si="1"/>
        <v>2300</v>
      </c>
    </row>
    <row r="95" spans="1:5" s="60" customFormat="1">
      <c r="A95" s="73">
        <v>92</v>
      </c>
      <c r="B95" s="74"/>
      <c r="C95" s="75">
        <f>A95*datos!$C$63</f>
        <v>55660</v>
      </c>
      <c r="D95" s="75"/>
      <c r="E95" s="77">
        <f t="shared" si="1"/>
        <v>2300</v>
      </c>
    </row>
    <row r="96" spans="1:5" s="60" customFormat="1">
      <c r="A96" s="73">
        <v>93</v>
      </c>
      <c r="B96" s="74"/>
      <c r="C96" s="75">
        <f>A96*datos!$C$63</f>
        <v>56265</v>
      </c>
      <c r="D96" s="75"/>
      <c r="E96" s="77">
        <f t="shared" si="1"/>
        <v>2300</v>
      </c>
    </row>
    <row r="97" spans="1:5" s="60" customFormat="1">
      <c r="A97" s="73">
        <v>94</v>
      </c>
      <c r="B97" s="74"/>
      <c r="C97" s="75">
        <f>A97*datos!$C$63</f>
        <v>56870</v>
      </c>
      <c r="D97" s="75"/>
      <c r="E97" s="77">
        <f t="shared" si="1"/>
        <v>2300</v>
      </c>
    </row>
    <row r="98" spans="1:5" s="60" customFormat="1">
      <c r="A98" s="73">
        <v>95</v>
      </c>
      <c r="B98" s="74"/>
      <c r="C98" s="75">
        <f>A98*datos!$C$63</f>
        <v>57475</v>
      </c>
      <c r="D98" s="75"/>
      <c r="E98" s="77">
        <f t="shared" si="1"/>
        <v>2300</v>
      </c>
    </row>
    <row r="99" spans="1:5" s="60" customFormat="1">
      <c r="A99" s="73">
        <v>96</v>
      </c>
      <c r="B99" s="74"/>
      <c r="C99" s="75">
        <f>A99*datos!$C$63</f>
        <v>58080</v>
      </c>
      <c r="D99" s="75"/>
      <c r="E99" s="77">
        <f t="shared" si="1"/>
        <v>2300</v>
      </c>
    </row>
    <row r="100" spans="1:5" s="60" customFormat="1">
      <c r="A100" s="73">
        <v>97</v>
      </c>
      <c r="B100" s="74"/>
      <c r="C100" s="75">
        <f>A100*datos!$C$63</f>
        <v>58685</v>
      </c>
      <c r="D100" s="75"/>
      <c r="E100" s="77">
        <f t="shared" si="1"/>
        <v>2300</v>
      </c>
    </row>
    <row r="101" spans="1:5" s="60" customFormat="1">
      <c r="A101" s="73">
        <v>98</v>
      </c>
      <c r="B101" s="74"/>
      <c r="C101" s="75">
        <f>A101*datos!$C$63</f>
        <v>59290</v>
      </c>
      <c r="D101" s="75"/>
      <c r="E101" s="77">
        <f t="shared" si="1"/>
        <v>2300</v>
      </c>
    </row>
    <row r="102" spans="1:5" s="60" customFormat="1">
      <c r="A102" s="73">
        <v>99</v>
      </c>
      <c r="B102" s="74"/>
      <c r="C102" s="75">
        <f>A102*datos!$C$63</f>
        <v>59895</v>
      </c>
      <c r="D102" s="75"/>
      <c r="E102" s="77">
        <f t="shared" si="1"/>
        <v>2300</v>
      </c>
    </row>
    <row r="103" spans="1:5" s="60" customFormat="1">
      <c r="A103" s="73">
        <v>100</v>
      </c>
      <c r="B103" s="74"/>
      <c r="C103" s="75">
        <f>A103*datos!$C$63</f>
        <v>60500</v>
      </c>
      <c r="D103" s="75"/>
      <c r="E103" s="77">
        <f t="shared" si="1"/>
        <v>2400</v>
      </c>
    </row>
    <row r="104" spans="1:5" s="60" customFormat="1">
      <c r="A104" s="73">
        <v>101</v>
      </c>
      <c r="B104" s="74"/>
      <c r="C104" s="75">
        <f>A104*datos!$C$63</f>
        <v>61105</v>
      </c>
      <c r="D104" s="75"/>
      <c r="E104" s="77">
        <f t="shared" si="1"/>
        <v>2400</v>
      </c>
    </row>
    <row r="105" spans="1:5" s="60" customFormat="1">
      <c r="A105" s="73">
        <v>102</v>
      </c>
      <c r="B105" s="74"/>
      <c r="C105" s="75">
        <f>A105*datos!$C$63</f>
        <v>61710</v>
      </c>
      <c r="D105" s="75"/>
      <c r="E105" s="77">
        <f t="shared" si="1"/>
        <v>2400</v>
      </c>
    </row>
    <row r="106" spans="1:5" s="60" customFormat="1">
      <c r="A106" s="73">
        <v>103</v>
      </c>
      <c r="B106" s="74"/>
      <c r="C106" s="75">
        <f>A106*datos!$C$63</f>
        <v>62315</v>
      </c>
      <c r="D106" s="75"/>
      <c r="E106" s="77">
        <f t="shared" si="1"/>
        <v>2400</v>
      </c>
    </row>
    <row r="107" spans="1:5" s="60" customFormat="1">
      <c r="A107" s="73">
        <v>104</v>
      </c>
      <c r="B107" s="74"/>
      <c r="C107" s="75">
        <f>A107*datos!$C$63</f>
        <v>62920</v>
      </c>
      <c r="D107" s="75"/>
      <c r="E107" s="77">
        <f t="shared" si="1"/>
        <v>2400</v>
      </c>
    </row>
    <row r="108" spans="1:5" s="60" customFormat="1">
      <c r="A108" s="73">
        <v>105</v>
      </c>
      <c r="B108" s="74"/>
      <c r="C108" s="75">
        <f>A108*datos!$C$63</f>
        <v>63525</v>
      </c>
      <c r="D108" s="75"/>
      <c r="E108" s="77">
        <f t="shared" si="1"/>
        <v>2400</v>
      </c>
    </row>
    <row r="109" spans="1:5" s="60" customFormat="1">
      <c r="A109" s="73">
        <v>106</v>
      </c>
      <c r="B109" s="74"/>
      <c r="C109" s="75">
        <f>A109*datos!$C$63</f>
        <v>64130</v>
      </c>
      <c r="D109" s="75"/>
      <c r="E109" s="77">
        <f t="shared" si="1"/>
        <v>2400</v>
      </c>
    </row>
    <row r="110" spans="1:5" s="60" customFormat="1">
      <c r="A110" s="73">
        <v>107</v>
      </c>
      <c r="B110" s="74"/>
      <c r="C110" s="75">
        <f>A110*datos!$C$63</f>
        <v>64735</v>
      </c>
      <c r="D110" s="75"/>
      <c r="E110" s="77">
        <f t="shared" si="1"/>
        <v>2400</v>
      </c>
    </row>
    <row r="111" spans="1:5" s="60" customFormat="1">
      <c r="A111" s="73">
        <v>108</v>
      </c>
      <c r="B111" s="74"/>
      <c r="C111" s="75">
        <f>A111*datos!$C$63</f>
        <v>65340</v>
      </c>
      <c r="D111" s="75"/>
      <c r="E111" s="77">
        <f t="shared" si="1"/>
        <v>2500</v>
      </c>
    </row>
    <row r="112" spans="1:5" s="60" customFormat="1">
      <c r="A112" s="73">
        <v>109</v>
      </c>
      <c r="B112" s="74"/>
      <c r="C112" s="75">
        <f>A112*datos!$C$63</f>
        <v>65945</v>
      </c>
      <c r="D112" s="75"/>
      <c r="E112" s="77">
        <f t="shared" si="1"/>
        <v>2500</v>
      </c>
    </row>
    <row r="113" spans="1:5" s="60" customFormat="1">
      <c r="A113" s="73">
        <v>110</v>
      </c>
      <c r="B113" s="74"/>
      <c r="C113" s="75">
        <f>A113*datos!$C$63</f>
        <v>66550</v>
      </c>
      <c r="D113" s="75"/>
      <c r="E113" s="77">
        <f t="shared" si="1"/>
        <v>2500</v>
      </c>
    </row>
    <row r="114" spans="1:5" s="60" customFormat="1">
      <c r="A114" s="73">
        <v>111</v>
      </c>
      <c r="B114" s="74"/>
      <c r="C114" s="75">
        <f>A114*datos!$C$63</f>
        <v>67155</v>
      </c>
      <c r="D114" s="75"/>
      <c r="E114" s="77">
        <f t="shared" si="1"/>
        <v>2500</v>
      </c>
    </row>
    <row r="115" spans="1:5" s="60" customFormat="1">
      <c r="A115" s="73">
        <v>112</v>
      </c>
      <c r="B115" s="74"/>
      <c r="C115" s="75">
        <f>A115*datos!$C$63</f>
        <v>67760</v>
      </c>
      <c r="D115" s="75"/>
      <c r="E115" s="77">
        <f t="shared" si="1"/>
        <v>2500</v>
      </c>
    </row>
    <row r="116" spans="1:5" s="60" customFormat="1">
      <c r="A116" s="73">
        <v>113</v>
      </c>
      <c r="B116" s="74"/>
      <c r="C116" s="75">
        <f>A116*datos!$C$63</f>
        <v>68365</v>
      </c>
      <c r="D116" s="75"/>
      <c r="E116" s="77">
        <f t="shared" si="1"/>
        <v>2500</v>
      </c>
    </row>
    <row r="117" spans="1:5" s="60" customFormat="1">
      <c r="A117" s="73">
        <v>114</v>
      </c>
      <c r="B117" s="74"/>
      <c r="C117" s="75">
        <f>A117*datos!$C$63</f>
        <v>68970</v>
      </c>
      <c r="D117" s="75"/>
      <c r="E117" s="77">
        <f t="shared" si="1"/>
        <v>2500</v>
      </c>
    </row>
    <row r="118" spans="1:5" s="60" customFormat="1">
      <c r="A118" s="73">
        <v>115</v>
      </c>
      <c r="B118" s="74"/>
      <c r="C118" s="75">
        <f>A118*datos!$C$63</f>
        <v>69575</v>
      </c>
      <c r="D118" s="75"/>
      <c r="E118" s="77">
        <f t="shared" si="1"/>
        <v>2500</v>
      </c>
    </row>
    <row r="119" spans="1:5" s="60" customFormat="1">
      <c r="A119" s="73">
        <v>116</v>
      </c>
      <c r="B119" s="74"/>
      <c r="C119" s="75">
        <f>A119*datos!$C$63</f>
        <v>70180</v>
      </c>
      <c r="D119" s="75"/>
      <c r="E119" s="77">
        <f t="shared" si="1"/>
        <v>2750</v>
      </c>
    </row>
    <row r="120" spans="1:5" s="60" customFormat="1">
      <c r="A120" s="73">
        <v>117</v>
      </c>
      <c r="B120" s="74"/>
      <c r="C120" s="75">
        <f>A120*datos!$C$63</f>
        <v>70785</v>
      </c>
      <c r="D120" s="75"/>
      <c r="E120" s="77">
        <f t="shared" si="1"/>
        <v>2750</v>
      </c>
    </row>
    <row r="121" spans="1:5" s="60" customFormat="1">
      <c r="A121" s="73">
        <v>118</v>
      </c>
      <c r="B121" s="74"/>
      <c r="C121" s="75">
        <f>A121*datos!$C$63</f>
        <v>71390</v>
      </c>
      <c r="D121" s="75"/>
      <c r="E121" s="77">
        <f t="shared" si="1"/>
        <v>2750</v>
      </c>
    </row>
    <row r="122" spans="1:5" s="60" customFormat="1">
      <c r="A122" s="73">
        <v>119</v>
      </c>
      <c r="B122" s="74"/>
      <c r="C122" s="75">
        <f>A122*datos!$C$63</f>
        <v>71995</v>
      </c>
      <c r="D122" s="75"/>
      <c r="E122" s="77">
        <f t="shared" si="1"/>
        <v>2750</v>
      </c>
    </row>
    <row r="123" spans="1:5" s="60" customFormat="1">
      <c r="A123" s="73">
        <v>120</v>
      </c>
      <c r="B123" s="74"/>
      <c r="C123" s="75">
        <f>A123*datos!$C$63</f>
        <v>72600</v>
      </c>
      <c r="D123" s="75"/>
      <c r="E123" s="77">
        <f t="shared" si="1"/>
        <v>2750</v>
      </c>
    </row>
    <row r="124" spans="1:5" s="60" customFormat="1">
      <c r="A124" s="73">
        <v>121</v>
      </c>
      <c r="B124" s="74"/>
      <c r="C124" s="75">
        <f>A124*datos!$C$63</f>
        <v>73205</v>
      </c>
      <c r="D124" s="75"/>
      <c r="E124" s="77">
        <f t="shared" si="1"/>
        <v>2750</v>
      </c>
    </row>
    <row r="125" spans="1:5" s="60" customFormat="1">
      <c r="A125" s="73">
        <v>122</v>
      </c>
      <c r="B125" s="74"/>
      <c r="C125" s="75">
        <f>A125*datos!$C$63</f>
        <v>73810</v>
      </c>
      <c r="D125" s="75"/>
      <c r="E125" s="77">
        <f t="shared" si="1"/>
        <v>2750</v>
      </c>
    </row>
    <row r="126" spans="1:5" s="60" customFormat="1">
      <c r="A126" s="73">
        <v>123</v>
      </c>
      <c r="B126" s="74"/>
      <c r="C126" s="75">
        <f>A126*datos!$C$63</f>
        <v>74415</v>
      </c>
      <c r="D126" s="75"/>
      <c r="E126" s="77">
        <f t="shared" si="1"/>
        <v>2750</v>
      </c>
    </row>
    <row r="127" spans="1:5" s="60" customFormat="1">
      <c r="A127" s="73">
        <v>124</v>
      </c>
      <c r="B127" s="74"/>
      <c r="C127" s="75">
        <f>A127*datos!$C$63</f>
        <v>75020</v>
      </c>
      <c r="D127" s="75"/>
      <c r="E127" s="77">
        <f t="shared" si="1"/>
        <v>3000</v>
      </c>
    </row>
    <row r="128" spans="1:5" s="60" customFormat="1">
      <c r="A128" s="73">
        <v>125</v>
      </c>
      <c r="B128" s="74"/>
      <c r="C128" s="75">
        <f>A128*datos!$C$63</f>
        <v>75625</v>
      </c>
      <c r="D128" s="75"/>
      <c r="E128" s="77">
        <f t="shared" si="1"/>
        <v>3000</v>
      </c>
    </row>
    <row r="129" spans="1:5" s="60" customFormat="1">
      <c r="A129" s="73">
        <v>126</v>
      </c>
      <c r="B129" s="74"/>
      <c r="C129" s="75">
        <f>A129*datos!$C$63</f>
        <v>76230</v>
      </c>
      <c r="D129" s="75"/>
      <c r="E129" s="77">
        <f t="shared" si="1"/>
        <v>3000</v>
      </c>
    </row>
    <row r="130" spans="1:5" s="60" customFormat="1">
      <c r="A130" s="73">
        <v>127</v>
      </c>
      <c r="B130" s="74"/>
      <c r="C130" s="75">
        <f>A130*datos!$C$63</f>
        <v>76835</v>
      </c>
      <c r="D130" s="75"/>
      <c r="E130" s="77">
        <f t="shared" si="1"/>
        <v>3000</v>
      </c>
    </row>
    <row r="131" spans="1:5" s="60" customFormat="1">
      <c r="A131" s="73">
        <v>128</v>
      </c>
      <c r="B131" s="74"/>
      <c r="C131" s="75">
        <f>A131*datos!$C$63</f>
        <v>77440</v>
      </c>
      <c r="D131" s="75"/>
      <c r="E131" s="77">
        <f t="shared" si="1"/>
        <v>3000</v>
      </c>
    </row>
    <row r="132" spans="1:5" s="60" customFormat="1">
      <c r="A132" s="73">
        <v>129</v>
      </c>
      <c r="B132" s="74"/>
      <c r="C132" s="75">
        <f>A132*datos!$C$63</f>
        <v>78045</v>
      </c>
      <c r="D132" s="75"/>
      <c r="E132" s="77">
        <f t="shared" si="1"/>
        <v>3000</v>
      </c>
    </row>
    <row r="133" spans="1:5" s="60" customFormat="1">
      <c r="A133" s="73">
        <v>130</v>
      </c>
      <c r="B133" s="74"/>
      <c r="C133" s="75">
        <f>A133*datos!$C$63</f>
        <v>78650</v>
      </c>
      <c r="D133" s="75"/>
      <c r="E133" s="77">
        <f t="shared" si="1"/>
        <v>3000</v>
      </c>
    </row>
    <row r="134" spans="1:5" s="60" customFormat="1">
      <c r="A134" s="73">
        <v>131</v>
      </c>
      <c r="B134" s="74"/>
      <c r="C134" s="75">
        <f>A134*datos!$C$63</f>
        <v>79255</v>
      </c>
      <c r="D134" s="75"/>
      <c r="E134" s="77">
        <f t="shared" si="1"/>
        <v>3000</v>
      </c>
    </row>
    <row r="135" spans="1:5" s="60" customFormat="1">
      <c r="A135" s="73">
        <v>132</v>
      </c>
      <c r="B135" s="74"/>
      <c r="C135" s="75">
        <f>A135*datos!$C$63</f>
        <v>79860</v>
      </c>
      <c r="D135" s="75"/>
      <c r="E135" s="77">
        <f t="shared" ref="E135:E198" si="2">IF(C135&lt;=3000,700,
IF(C135&lt;=4000,800,
IF(C135&lt;=5000,850,
IF(C135&lt;=6000,900,
IF(C135&lt;=7000,950,
IF(C135&lt;=8000,1000,
IF(C135&lt;=9000,1100,
IF(C135&lt;=10000,1200,
IF(C135&lt;=15000,1300,
IF(C135&lt;=20000,1400,
IF(C135&lt;=25000,1500,
IF(C135&lt;=30000,1600,
IF(C135&lt;=35000,1700,
IF(C135&lt;=40000,1800,
IF(C135&lt;=45000,1900,
IF(C135&lt;=50000,2100,
IF(C135&lt;=55000,2200,
IF(C135&lt;=60000,2300,
IF(C135&lt;=65000,2400,
IF(C135&lt;=70000,2500,
IF(C135&lt;=75000,2750,
IF(C135&lt;=80000,3000,
IF(C135&lt;=85000,3250,
IF(C135&lt;=90000,3500,
IF(C135&lt;=95000,3750,
IF(C135&lt;=100000,4000,
IF(C135&lt;=105000,4250,
IF(C135&lt;=110000,4500,
IF(C135&lt;=115000,4750,
IF(C135&lt;=120000,5000,
))))))))))))))))))))))))))))))</f>
        <v>3000</v>
      </c>
    </row>
    <row r="136" spans="1:5" s="60" customFormat="1">
      <c r="A136" s="73">
        <v>133</v>
      </c>
      <c r="B136" s="74"/>
      <c r="C136" s="75">
        <f>A136*datos!$C$63</f>
        <v>80465</v>
      </c>
      <c r="D136" s="75"/>
      <c r="E136" s="77">
        <f t="shared" si="2"/>
        <v>3250</v>
      </c>
    </row>
    <row r="137" spans="1:5" s="60" customFormat="1">
      <c r="A137" s="73">
        <v>134</v>
      </c>
      <c r="B137" s="74"/>
      <c r="C137" s="75">
        <f>A137*datos!$C$63</f>
        <v>81070</v>
      </c>
      <c r="D137" s="75"/>
      <c r="E137" s="77">
        <f t="shared" si="2"/>
        <v>3250</v>
      </c>
    </row>
    <row r="138" spans="1:5" s="60" customFormat="1">
      <c r="A138" s="73">
        <v>135</v>
      </c>
      <c r="B138" s="74"/>
      <c r="C138" s="75">
        <f>A138*datos!$C$63</f>
        <v>81675</v>
      </c>
      <c r="D138" s="75"/>
      <c r="E138" s="77">
        <f t="shared" si="2"/>
        <v>3250</v>
      </c>
    </row>
    <row r="139" spans="1:5" s="60" customFormat="1">
      <c r="A139" s="73">
        <v>136</v>
      </c>
      <c r="B139" s="74"/>
      <c r="C139" s="75">
        <f>A139*datos!$C$63</f>
        <v>82280</v>
      </c>
      <c r="D139" s="75"/>
      <c r="E139" s="77">
        <f t="shared" si="2"/>
        <v>3250</v>
      </c>
    </row>
    <row r="140" spans="1:5" s="60" customFormat="1">
      <c r="A140" s="73">
        <v>137</v>
      </c>
      <c r="B140" s="74"/>
      <c r="C140" s="75">
        <f>A140*datos!$C$63</f>
        <v>82885</v>
      </c>
      <c r="D140" s="75"/>
      <c r="E140" s="77">
        <f t="shared" si="2"/>
        <v>3250</v>
      </c>
    </row>
    <row r="141" spans="1:5" s="60" customFormat="1">
      <c r="A141" s="73">
        <v>138</v>
      </c>
      <c r="B141" s="74"/>
      <c r="C141" s="75">
        <f>A141*datos!$C$63</f>
        <v>83490</v>
      </c>
      <c r="D141" s="75"/>
      <c r="E141" s="77">
        <f t="shared" si="2"/>
        <v>3250</v>
      </c>
    </row>
    <row r="142" spans="1:5" s="60" customFormat="1">
      <c r="A142" s="73">
        <v>139</v>
      </c>
      <c r="B142" s="74"/>
      <c r="C142" s="75">
        <f>A142*datos!$C$63</f>
        <v>84095</v>
      </c>
      <c r="D142" s="75"/>
      <c r="E142" s="77">
        <f t="shared" si="2"/>
        <v>3250</v>
      </c>
    </row>
    <row r="143" spans="1:5" s="60" customFormat="1">
      <c r="A143" s="73">
        <v>140</v>
      </c>
      <c r="B143" s="74"/>
      <c r="C143" s="75">
        <f>A143*datos!$C$63</f>
        <v>84700</v>
      </c>
      <c r="D143" s="75"/>
      <c r="E143" s="77">
        <f t="shared" si="2"/>
        <v>3250</v>
      </c>
    </row>
    <row r="144" spans="1:5" s="60" customFormat="1">
      <c r="A144" s="73">
        <v>141</v>
      </c>
      <c r="B144" s="74"/>
      <c r="C144" s="75">
        <f>A144*datos!$C$63</f>
        <v>85305</v>
      </c>
      <c r="D144" s="75"/>
      <c r="E144" s="77">
        <f t="shared" si="2"/>
        <v>3500</v>
      </c>
    </row>
    <row r="145" spans="1:5" s="60" customFormat="1">
      <c r="A145" s="73">
        <v>142</v>
      </c>
      <c r="B145" s="74"/>
      <c r="C145" s="75">
        <f>A145*datos!$C$63</f>
        <v>85910</v>
      </c>
      <c r="D145" s="75"/>
      <c r="E145" s="77">
        <f t="shared" si="2"/>
        <v>3500</v>
      </c>
    </row>
    <row r="146" spans="1:5" s="60" customFormat="1">
      <c r="A146" s="73">
        <v>143</v>
      </c>
      <c r="B146" s="74"/>
      <c r="C146" s="75">
        <f>A146*datos!$C$63</f>
        <v>86515</v>
      </c>
      <c r="D146" s="75"/>
      <c r="E146" s="77">
        <f t="shared" si="2"/>
        <v>3500</v>
      </c>
    </row>
    <row r="147" spans="1:5" s="60" customFormat="1">
      <c r="A147" s="73">
        <v>144</v>
      </c>
      <c r="B147" s="74"/>
      <c r="C147" s="75">
        <f>A147*datos!$C$63</f>
        <v>87120</v>
      </c>
      <c r="D147" s="75"/>
      <c r="E147" s="77">
        <f t="shared" si="2"/>
        <v>3500</v>
      </c>
    </row>
    <row r="148" spans="1:5" s="60" customFormat="1">
      <c r="A148" s="73">
        <v>145</v>
      </c>
      <c r="B148" s="74"/>
      <c r="C148" s="75">
        <f>A148*datos!$C$63</f>
        <v>87725</v>
      </c>
      <c r="D148" s="75"/>
      <c r="E148" s="77">
        <f t="shared" si="2"/>
        <v>3500</v>
      </c>
    </row>
    <row r="149" spans="1:5" s="60" customFormat="1">
      <c r="A149" s="73">
        <v>146</v>
      </c>
      <c r="B149" s="74"/>
      <c r="C149" s="75">
        <f>A149*datos!$C$63</f>
        <v>88330</v>
      </c>
      <c r="D149" s="75"/>
      <c r="E149" s="77">
        <f t="shared" si="2"/>
        <v>3500</v>
      </c>
    </row>
    <row r="150" spans="1:5" s="60" customFormat="1">
      <c r="A150" s="73">
        <v>147</v>
      </c>
      <c r="B150" s="74"/>
      <c r="C150" s="75">
        <f>A150*datos!$C$63</f>
        <v>88935</v>
      </c>
      <c r="D150" s="75"/>
      <c r="E150" s="77">
        <f t="shared" si="2"/>
        <v>3500</v>
      </c>
    </row>
    <row r="151" spans="1:5" s="60" customFormat="1">
      <c r="A151" s="73">
        <v>148</v>
      </c>
      <c r="B151" s="74"/>
      <c r="C151" s="75">
        <f>A151*datos!$C$63</f>
        <v>89540</v>
      </c>
      <c r="D151" s="75"/>
      <c r="E151" s="77">
        <f t="shared" si="2"/>
        <v>3500</v>
      </c>
    </row>
    <row r="152" spans="1:5" s="60" customFormat="1">
      <c r="A152" s="73">
        <v>149</v>
      </c>
      <c r="B152" s="74"/>
      <c r="C152" s="75">
        <f>A152*datos!$C$63</f>
        <v>90145</v>
      </c>
      <c r="D152" s="75"/>
      <c r="E152" s="77">
        <f t="shared" si="2"/>
        <v>3750</v>
      </c>
    </row>
    <row r="153" spans="1:5" s="60" customFormat="1">
      <c r="A153" s="73">
        <v>150</v>
      </c>
      <c r="B153" s="74"/>
      <c r="C153" s="75">
        <f>A153*datos!$C$63</f>
        <v>90750</v>
      </c>
      <c r="D153" s="75"/>
      <c r="E153" s="77">
        <f t="shared" si="2"/>
        <v>3750</v>
      </c>
    </row>
    <row r="154" spans="1:5" s="60" customFormat="1">
      <c r="A154" s="73">
        <v>151</v>
      </c>
      <c r="B154" s="74"/>
      <c r="C154" s="75">
        <f>A154*datos!$C$63</f>
        <v>91355</v>
      </c>
      <c r="D154" s="75"/>
      <c r="E154" s="77">
        <f t="shared" si="2"/>
        <v>3750</v>
      </c>
    </row>
    <row r="155" spans="1:5" s="60" customFormat="1">
      <c r="A155" s="73">
        <v>152</v>
      </c>
      <c r="B155" s="74"/>
      <c r="C155" s="75">
        <f>A155*datos!$C$63</f>
        <v>91960</v>
      </c>
      <c r="D155" s="75"/>
      <c r="E155" s="77">
        <f t="shared" si="2"/>
        <v>3750</v>
      </c>
    </row>
    <row r="156" spans="1:5" s="60" customFormat="1">
      <c r="A156" s="73">
        <v>153</v>
      </c>
      <c r="B156" s="74"/>
      <c r="C156" s="75">
        <f>A156*datos!$C$63</f>
        <v>92565</v>
      </c>
      <c r="D156" s="75"/>
      <c r="E156" s="77">
        <f t="shared" si="2"/>
        <v>3750</v>
      </c>
    </row>
    <row r="157" spans="1:5" s="60" customFormat="1">
      <c r="A157" s="73">
        <v>154</v>
      </c>
      <c r="B157" s="74"/>
      <c r="C157" s="75">
        <f>A157*datos!$C$63</f>
        <v>93170</v>
      </c>
      <c r="D157" s="75"/>
      <c r="E157" s="77">
        <f t="shared" si="2"/>
        <v>3750</v>
      </c>
    </row>
    <row r="158" spans="1:5" s="60" customFormat="1">
      <c r="A158" s="73">
        <v>155</v>
      </c>
      <c r="B158" s="74"/>
      <c r="C158" s="75">
        <f>A158*datos!$C$63</f>
        <v>93775</v>
      </c>
      <c r="D158" s="75"/>
      <c r="E158" s="77">
        <f t="shared" si="2"/>
        <v>3750</v>
      </c>
    </row>
    <row r="159" spans="1:5" s="60" customFormat="1">
      <c r="A159" s="73">
        <v>156</v>
      </c>
      <c r="B159" s="74"/>
      <c r="C159" s="75">
        <f>A159*datos!$C$63</f>
        <v>94380</v>
      </c>
      <c r="D159" s="75"/>
      <c r="E159" s="77">
        <f t="shared" si="2"/>
        <v>3750</v>
      </c>
    </row>
    <row r="160" spans="1:5" s="60" customFormat="1">
      <c r="A160" s="73">
        <v>157</v>
      </c>
      <c r="B160" s="74"/>
      <c r="C160" s="75">
        <f>A160*datos!$C$63</f>
        <v>94985</v>
      </c>
      <c r="D160" s="75"/>
      <c r="E160" s="77">
        <f t="shared" si="2"/>
        <v>3750</v>
      </c>
    </row>
    <row r="161" spans="1:5" s="60" customFormat="1">
      <c r="A161" s="73">
        <v>158</v>
      </c>
      <c r="B161" s="74"/>
      <c r="C161" s="75">
        <f>A161*datos!$C$63</f>
        <v>95590</v>
      </c>
      <c r="D161" s="75"/>
      <c r="E161" s="77">
        <f t="shared" si="2"/>
        <v>4000</v>
      </c>
    </row>
    <row r="162" spans="1:5" s="60" customFormat="1">
      <c r="A162" s="73">
        <v>159</v>
      </c>
      <c r="B162" s="74"/>
      <c r="C162" s="75">
        <f>A162*datos!$C$63</f>
        <v>96195</v>
      </c>
      <c r="D162" s="75"/>
      <c r="E162" s="77">
        <f t="shared" si="2"/>
        <v>4000</v>
      </c>
    </row>
    <row r="163" spans="1:5" s="60" customFormat="1">
      <c r="A163" s="73">
        <v>160</v>
      </c>
      <c r="B163" s="74"/>
      <c r="C163" s="75">
        <f>A163*datos!$C$63</f>
        <v>96800</v>
      </c>
      <c r="D163" s="75"/>
      <c r="E163" s="77">
        <f t="shared" si="2"/>
        <v>4000</v>
      </c>
    </row>
    <row r="164" spans="1:5" s="60" customFormat="1">
      <c r="A164" s="73">
        <v>161</v>
      </c>
      <c r="B164" s="74"/>
      <c r="C164" s="75">
        <f>A164*datos!$C$63</f>
        <v>97405</v>
      </c>
      <c r="D164" s="75"/>
      <c r="E164" s="77">
        <f t="shared" si="2"/>
        <v>4000</v>
      </c>
    </row>
    <row r="165" spans="1:5" s="60" customFormat="1">
      <c r="A165" s="73">
        <v>162</v>
      </c>
      <c r="B165" s="74"/>
      <c r="C165" s="75">
        <f>A165*datos!$C$63</f>
        <v>98010</v>
      </c>
      <c r="D165" s="75"/>
      <c r="E165" s="77">
        <f t="shared" si="2"/>
        <v>4000</v>
      </c>
    </row>
    <row r="166" spans="1:5" s="60" customFormat="1">
      <c r="A166" s="73">
        <v>163</v>
      </c>
      <c r="B166" s="74"/>
      <c r="C166" s="75">
        <f>A166*datos!$C$63</f>
        <v>98615</v>
      </c>
      <c r="D166" s="75"/>
      <c r="E166" s="77">
        <f t="shared" si="2"/>
        <v>4000</v>
      </c>
    </row>
    <row r="167" spans="1:5" s="60" customFormat="1">
      <c r="A167" s="73">
        <v>164</v>
      </c>
      <c r="B167" s="74"/>
      <c r="C167" s="75">
        <f>A167*datos!$C$63</f>
        <v>99220</v>
      </c>
      <c r="D167" s="75"/>
      <c r="E167" s="77">
        <f t="shared" si="2"/>
        <v>4000</v>
      </c>
    </row>
    <row r="168" spans="1:5" s="60" customFormat="1">
      <c r="A168" s="73">
        <v>165</v>
      </c>
      <c r="B168" s="74"/>
      <c r="C168" s="75">
        <f>A168*datos!$C$63</f>
        <v>99825</v>
      </c>
      <c r="D168" s="75"/>
      <c r="E168" s="77">
        <f t="shared" si="2"/>
        <v>4000</v>
      </c>
    </row>
    <row r="169" spans="1:5" s="60" customFormat="1">
      <c r="A169" s="73">
        <v>166</v>
      </c>
      <c r="B169" s="74"/>
      <c r="C169" s="75">
        <f>A169*datos!$C$63</f>
        <v>100430</v>
      </c>
      <c r="D169" s="75"/>
      <c r="E169" s="77">
        <f t="shared" si="2"/>
        <v>4250</v>
      </c>
    </row>
    <row r="170" spans="1:5" s="60" customFormat="1">
      <c r="A170" s="73">
        <v>167</v>
      </c>
      <c r="B170" s="74"/>
      <c r="C170" s="75">
        <f>A170*datos!$C$63</f>
        <v>101035</v>
      </c>
      <c r="D170" s="75"/>
      <c r="E170" s="77">
        <f t="shared" si="2"/>
        <v>4250</v>
      </c>
    </row>
    <row r="171" spans="1:5" s="60" customFormat="1">
      <c r="A171" s="73">
        <v>168</v>
      </c>
      <c r="B171" s="74"/>
      <c r="C171" s="75">
        <f>A171*datos!$C$63</f>
        <v>101640</v>
      </c>
      <c r="D171" s="75"/>
      <c r="E171" s="77">
        <f t="shared" si="2"/>
        <v>4250</v>
      </c>
    </row>
    <row r="172" spans="1:5" s="60" customFormat="1">
      <c r="A172" s="73">
        <v>169</v>
      </c>
      <c r="B172" s="74"/>
      <c r="C172" s="75">
        <f>A172*datos!$C$63</f>
        <v>102245</v>
      </c>
      <c r="D172" s="75"/>
      <c r="E172" s="77">
        <f t="shared" si="2"/>
        <v>4250</v>
      </c>
    </row>
    <row r="173" spans="1:5" s="60" customFormat="1">
      <c r="A173" s="73">
        <v>170</v>
      </c>
      <c r="B173" s="74"/>
      <c r="C173" s="75">
        <f>A173*datos!$C$63</f>
        <v>102850</v>
      </c>
      <c r="D173" s="75"/>
      <c r="E173" s="77">
        <f t="shared" si="2"/>
        <v>4250</v>
      </c>
    </row>
    <row r="174" spans="1:5" s="60" customFormat="1">
      <c r="A174" s="73">
        <v>171</v>
      </c>
      <c r="B174" s="74"/>
      <c r="C174" s="75">
        <f>A174*datos!$C$63</f>
        <v>103455</v>
      </c>
      <c r="D174" s="75"/>
      <c r="E174" s="77">
        <f t="shared" si="2"/>
        <v>4250</v>
      </c>
    </row>
    <row r="175" spans="1:5" s="60" customFormat="1">
      <c r="A175" s="73">
        <v>172</v>
      </c>
      <c r="B175" s="74"/>
      <c r="C175" s="75">
        <f>A175*datos!$C$63</f>
        <v>104060</v>
      </c>
      <c r="D175" s="75"/>
      <c r="E175" s="77">
        <f t="shared" si="2"/>
        <v>4250</v>
      </c>
    </row>
    <row r="176" spans="1:5" s="60" customFormat="1">
      <c r="A176" s="73">
        <v>173</v>
      </c>
      <c r="B176" s="74"/>
      <c r="C176" s="75">
        <f>A176*datos!$C$63</f>
        <v>104665</v>
      </c>
      <c r="D176" s="75"/>
      <c r="E176" s="77">
        <f t="shared" si="2"/>
        <v>4250</v>
      </c>
    </row>
    <row r="177" spans="1:5" s="60" customFormat="1">
      <c r="A177" s="73">
        <v>174</v>
      </c>
      <c r="B177" s="74"/>
      <c r="C177" s="75">
        <f>A177*datos!$C$63</f>
        <v>105270</v>
      </c>
      <c r="D177" s="75"/>
      <c r="E177" s="77">
        <f t="shared" si="2"/>
        <v>4500</v>
      </c>
    </row>
    <row r="178" spans="1:5" s="60" customFormat="1">
      <c r="A178" s="73">
        <v>175</v>
      </c>
      <c r="B178" s="74"/>
      <c r="C178" s="75">
        <f>A178*datos!$C$63</f>
        <v>105875</v>
      </c>
      <c r="D178" s="75"/>
      <c r="E178" s="77">
        <f t="shared" si="2"/>
        <v>4500</v>
      </c>
    </row>
    <row r="179" spans="1:5" s="60" customFormat="1">
      <c r="A179" s="73">
        <v>176</v>
      </c>
      <c r="B179" s="74"/>
      <c r="C179" s="75">
        <f>A179*datos!$C$63</f>
        <v>106480</v>
      </c>
      <c r="D179" s="75"/>
      <c r="E179" s="77">
        <f t="shared" si="2"/>
        <v>4500</v>
      </c>
    </row>
    <row r="180" spans="1:5" s="60" customFormat="1">
      <c r="A180" s="73">
        <v>177</v>
      </c>
      <c r="B180" s="74"/>
      <c r="C180" s="75">
        <f>A180*datos!$C$63</f>
        <v>107085</v>
      </c>
      <c r="D180" s="75"/>
      <c r="E180" s="77">
        <f t="shared" si="2"/>
        <v>4500</v>
      </c>
    </row>
    <row r="181" spans="1:5" s="60" customFormat="1">
      <c r="A181" s="73">
        <v>178</v>
      </c>
      <c r="B181" s="74"/>
      <c r="C181" s="75">
        <f>A181*datos!$C$63</f>
        <v>107690</v>
      </c>
      <c r="D181" s="75"/>
      <c r="E181" s="77">
        <f t="shared" si="2"/>
        <v>4500</v>
      </c>
    </row>
    <row r="182" spans="1:5" s="60" customFormat="1">
      <c r="A182" s="73">
        <v>179</v>
      </c>
      <c r="B182" s="74"/>
      <c r="C182" s="75">
        <f>A182*datos!$C$63</f>
        <v>108295</v>
      </c>
      <c r="D182" s="75"/>
      <c r="E182" s="77">
        <f t="shared" si="2"/>
        <v>4500</v>
      </c>
    </row>
    <row r="183" spans="1:5" s="60" customFormat="1">
      <c r="A183" s="73">
        <v>180</v>
      </c>
      <c r="B183" s="74"/>
      <c r="C183" s="75">
        <f>A183*datos!$C$63</f>
        <v>108900</v>
      </c>
      <c r="D183" s="75"/>
      <c r="E183" s="77">
        <f t="shared" si="2"/>
        <v>4500</v>
      </c>
    </row>
    <row r="184" spans="1:5" s="60" customFormat="1">
      <c r="A184" s="73">
        <v>181</v>
      </c>
      <c r="B184" s="74"/>
      <c r="C184" s="75">
        <f>A184*datos!$C$63</f>
        <v>109505</v>
      </c>
      <c r="D184" s="75"/>
      <c r="E184" s="77">
        <f t="shared" si="2"/>
        <v>4500</v>
      </c>
    </row>
    <row r="185" spans="1:5" s="60" customFormat="1">
      <c r="A185" s="73">
        <v>182</v>
      </c>
      <c r="B185" s="74"/>
      <c r="C185" s="75">
        <f>A185*datos!$C$63</f>
        <v>110110</v>
      </c>
      <c r="D185" s="75"/>
      <c r="E185" s="77">
        <f t="shared" si="2"/>
        <v>4750</v>
      </c>
    </row>
    <row r="186" spans="1:5" s="60" customFormat="1">
      <c r="A186" s="73">
        <v>183</v>
      </c>
      <c r="B186" s="74"/>
      <c r="C186" s="75">
        <f>A186*datos!$C$63</f>
        <v>110715</v>
      </c>
      <c r="D186" s="75"/>
      <c r="E186" s="77">
        <f t="shared" si="2"/>
        <v>4750</v>
      </c>
    </row>
    <row r="187" spans="1:5" s="60" customFormat="1">
      <c r="A187" s="73">
        <v>184</v>
      </c>
      <c r="B187" s="74"/>
      <c r="C187" s="75">
        <f>A187*datos!$C$63</f>
        <v>111320</v>
      </c>
      <c r="D187" s="75"/>
      <c r="E187" s="77">
        <f t="shared" si="2"/>
        <v>4750</v>
      </c>
    </row>
    <row r="188" spans="1:5" s="60" customFormat="1">
      <c r="A188" s="73">
        <v>185</v>
      </c>
      <c r="B188" s="74"/>
      <c r="C188" s="75">
        <f>A188*datos!$C$63</f>
        <v>111925</v>
      </c>
      <c r="D188" s="75"/>
      <c r="E188" s="77">
        <f t="shared" si="2"/>
        <v>4750</v>
      </c>
    </row>
    <row r="189" spans="1:5" s="60" customFormat="1">
      <c r="A189" s="73">
        <v>186</v>
      </c>
      <c r="B189" s="74"/>
      <c r="C189" s="75">
        <f>A189*datos!$C$63</f>
        <v>112530</v>
      </c>
      <c r="D189" s="75"/>
      <c r="E189" s="77">
        <f t="shared" si="2"/>
        <v>4750</v>
      </c>
    </row>
    <row r="190" spans="1:5" s="60" customFormat="1">
      <c r="A190" s="73">
        <v>187</v>
      </c>
      <c r="B190" s="74"/>
      <c r="C190" s="75">
        <f>A190*datos!$C$63</f>
        <v>113135</v>
      </c>
      <c r="D190" s="75"/>
      <c r="E190" s="77">
        <f t="shared" si="2"/>
        <v>4750</v>
      </c>
    </row>
    <row r="191" spans="1:5" s="60" customFormat="1">
      <c r="A191" s="73">
        <v>188</v>
      </c>
      <c r="B191" s="74"/>
      <c r="C191" s="75">
        <f>A191*datos!$C$63</f>
        <v>113740</v>
      </c>
      <c r="D191" s="75"/>
      <c r="E191" s="77">
        <f t="shared" si="2"/>
        <v>4750</v>
      </c>
    </row>
    <row r="192" spans="1:5" s="60" customFormat="1">
      <c r="A192" s="73">
        <v>189</v>
      </c>
      <c r="B192" s="74"/>
      <c r="C192" s="75">
        <f>A192*datos!$C$63</f>
        <v>114345</v>
      </c>
      <c r="D192" s="75"/>
      <c r="E192" s="77">
        <f t="shared" si="2"/>
        <v>4750</v>
      </c>
    </row>
    <row r="193" spans="1:5" s="60" customFormat="1">
      <c r="A193" s="73">
        <v>190</v>
      </c>
      <c r="B193" s="74"/>
      <c r="C193" s="75">
        <f>A193*datos!$C$63</f>
        <v>114950</v>
      </c>
      <c r="D193" s="75"/>
      <c r="E193" s="77">
        <f t="shared" si="2"/>
        <v>4750</v>
      </c>
    </row>
    <row r="194" spans="1:5" s="60" customFormat="1">
      <c r="A194" s="73">
        <v>191</v>
      </c>
      <c r="B194" s="74"/>
      <c r="C194" s="75">
        <f>A194*datos!$C$63</f>
        <v>115555</v>
      </c>
      <c r="D194" s="75"/>
      <c r="E194" s="77">
        <f t="shared" si="2"/>
        <v>5000</v>
      </c>
    </row>
    <row r="195" spans="1:5" s="60" customFormat="1">
      <c r="A195" s="73">
        <v>192</v>
      </c>
      <c r="B195" s="74"/>
      <c r="C195" s="75">
        <f>A195*datos!$C$63</f>
        <v>116160</v>
      </c>
      <c r="D195" s="75"/>
      <c r="E195" s="77">
        <f t="shared" si="2"/>
        <v>5000</v>
      </c>
    </row>
    <row r="196" spans="1:5" s="60" customFormat="1">
      <c r="A196" s="73">
        <v>193</v>
      </c>
      <c r="B196" s="74"/>
      <c r="C196" s="75">
        <f>A196*datos!$C$63</f>
        <v>116765</v>
      </c>
      <c r="D196" s="75"/>
      <c r="E196" s="77">
        <f t="shared" si="2"/>
        <v>5000</v>
      </c>
    </row>
    <row r="197" spans="1:5" s="60" customFormat="1">
      <c r="A197" s="73">
        <v>194</v>
      </c>
      <c r="B197" s="74"/>
      <c r="C197" s="75">
        <f>A197*datos!$C$63</f>
        <v>117370</v>
      </c>
      <c r="D197" s="75"/>
      <c r="E197" s="77">
        <f t="shared" si="2"/>
        <v>5000</v>
      </c>
    </row>
    <row r="198" spans="1:5" s="60" customFormat="1">
      <c r="A198" s="73">
        <v>195</v>
      </c>
      <c r="B198" s="74"/>
      <c r="C198" s="75">
        <f>A198*datos!$C$63</f>
        <v>117975</v>
      </c>
      <c r="D198" s="75"/>
      <c r="E198" s="77">
        <f t="shared" si="2"/>
        <v>5000</v>
      </c>
    </row>
    <row r="199" spans="1:5" s="60" customFormat="1">
      <c r="A199" s="73">
        <v>196</v>
      </c>
      <c r="B199" s="74"/>
      <c r="C199" s="75">
        <f>A199*datos!$C$63</f>
        <v>118580</v>
      </c>
      <c r="D199" s="75"/>
      <c r="E199" s="77">
        <f t="shared" ref="E199:E262" si="3">IF(C199&lt;=3000,700,
IF(C199&lt;=4000,800,
IF(C199&lt;=5000,850,
IF(C199&lt;=6000,900,
IF(C199&lt;=7000,950,
IF(C199&lt;=8000,1000,
IF(C199&lt;=9000,1100,
IF(C199&lt;=10000,1200,
IF(C199&lt;=15000,1300,
IF(C199&lt;=20000,1400,
IF(C199&lt;=25000,1500,
IF(C199&lt;=30000,1600,
IF(C199&lt;=35000,1700,
IF(C199&lt;=40000,1800,
IF(C199&lt;=45000,1900,
IF(C199&lt;=50000,2100,
IF(C199&lt;=55000,2200,
IF(C199&lt;=60000,2300,
IF(C199&lt;=65000,2400,
IF(C199&lt;=70000,2500,
IF(C199&lt;=75000,2750,
IF(C199&lt;=80000,3000,
IF(C199&lt;=85000,3250,
IF(C199&lt;=90000,3500,
IF(C199&lt;=95000,3750,
IF(C199&lt;=100000,4000,
IF(C199&lt;=105000,4250,
IF(C199&lt;=110000,4500,
IF(C199&lt;=115000,4750,
IF(C199&lt;=120000,5000,
))))))))))))))))))))))))))))))</f>
        <v>5000</v>
      </c>
    </row>
    <row r="200" spans="1:5" s="60" customFormat="1">
      <c r="A200" s="73">
        <v>197</v>
      </c>
      <c r="B200" s="74"/>
      <c r="C200" s="75">
        <f>A200*datos!$C$63</f>
        <v>119185</v>
      </c>
      <c r="D200" s="75"/>
      <c r="E200" s="77">
        <f t="shared" si="3"/>
        <v>5000</v>
      </c>
    </row>
    <row r="201" spans="1:5" s="60" customFormat="1">
      <c r="A201" s="73">
        <v>198</v>
      </c>
      <c r="B201" s="74"/>
      <c r="C201" s="75">
        <f>A201*datos!$C$63</f>
        <v>119790</v>
      </c>
      <c r="D201" s="75"/>
      <c r="E201" s="77">
        <f t="shared" si="3"/>
        <v>5000</v>
      </c>
    </row>
    <row r="202" spans="1:5" s="60" customFormat="1">
      <c r="A202" s="73">
        <v>199</v>
      </c>
      <c r="B202" s="74"/>
      <c r="C202" s="75">
        <f>A202*datos!$C$63</f>
        <v>120395</v>
      </c>
      <c r="D202" s="75"/>
      <c r="E202" s="77">
        <f t="shared" si="3"/>
        <v>0</v>
      </c>
    </row>
    <row r="203" spans="1:5" s="60" customFormat="1">
      <c r="A203" s="73">
        <v>200</v>
      </c>
      <c r="B203" s="74"/>
      <c r="C203" s="75">
        <f>A203*datos!$C$63</f>
        <v>121000</v>
      </c>
      <c r="D203" s="75"/>
      <c r="E203" s="77">
        <f t="shared" si="3"/>
        <v>0</v>
      </c>
    </row>
    <row r="204" spans="1:5" s="60" customFormat="1">
      <c r="A204" s="73">
        <v>201</v>
      </c>
      <c r="B204" s="74"/>
      <c r="C204" s="75">
        <f>A204*datos!$C$63</f>
        <v>121605</v>
      </c>
      <c r="D204" s="75"/>
      <c r="E204" s="77">
        <f t="shared" si="3"/>
        <v>0</v>
      </c>
    </row>
    <row r="205" spans="1:5" s="60" customFormat="1">
      <c r="A205" s="73">
        <v>202</v>
      </c>
      <c r="B205" s="74"/>
      <c r="C205" s="75">
        <f>A205*datos!$C$63</f>
        <v>122210</v>
      </c>
      <c r="D205" s="75"/>
      <c r="E205" s="77">
        <f t="shared" si="3"/>
        <v>0</v>
      </c>
    </row>
    <row r="206" spans="1:5" s="60" customFormat="1">
      <c r="A206" s="73">
        <v>203</v>
      </c>
      <c r="B206" s="74"/>
      <c r="C206" s="75">
        <f>A206*datos!$C$63</f>
        <v>122815</v>
      </c>
      <c r="D206" s="75"/>
      <c r="E206" s="77">
        <f t="shared" si="3"/>
        <v>0</v>
      </c>
    </row>
    <row r="207" spans="1:5" s="60" customFormat="1">
      <c r="A207" s="73">
        <v>204</v>
      </c>
      <c r="B207" s="74"/>
      <c r="C207" s="75">
        <f>A207*datos!$C$63</f>
        <v>123420</v>
      </c>
      <c r="D207" s="75"/>
      <c r="E207" s="77">
        <f t="shared" si="3"/>
        <v>0</v>
      </c>
    </row>
    <row r="208" spans="1:5" s="60" customFormat="1">
      <c r="A208" s="73">
        <v>205</v>
      </c>
      <c r="B208" s="74"/>
      <c r="C208" s="75">
        <f>A208*datos!$C$63</f>
        <v>124025</v>
      </c>
      <c r="D208" s="75"/>
      <c r="E208" s="77">
        <f t="shared" si="3"/>
        <v>0</v>
      </c>
    </row>
    <row r="209" spans="1:5" s="60" customFormat="1">
      <c r="A209" s="73">
        <v>206</v>
      </c>
      <c r="B209" s="74"/>
      <c r="C209" s="75">
        <f>A209*datos!$C$63</f>
        <v>124630</v>
      </c>
      <c r="D209" s="75"/>
      <c r="E209" s="77">
        <f t="shared" si="3"/>
        <v>0</v>
      </c>
    </row>
    <row r="210" spans="1:5" s="60" customFormat="1">
      <c r="A210" s="73">
        <v>207</v>
      </c>
      <c r="B210" s="74"/>
      <c r="C210" s="75">
        <f>A210*datos!$C$63</f>
        <v>125235</v>
      </c>
      <c r="D210" s="75"/>
      <c r="E210" s="77">
        <f t="shared" si="3"/>
        <v>0</v>
      </c>
    </row>
    <row r="211" spans="1:5" s="60" customFormat="1">
      <c r="A211" s="73">
        <v>208</v>
      </c>
      <c r="B211" s="74"/>
      <c r="C211" s="75">
        <f>A211*datos!$C$63</f>
        <v>125840</v>
      </c>
      <c r="D211" s="75"/>
      <c r="E211" s="77">
        <f t="shared" si="3"/>
        <v>0</v>
      </c>
    </row>
    <row r="212" spans="1:5" s="60" customFormat="1">
      <c r="A212" s="73">
        <v>209</v>
      </c>
      <c r="B212" s="74"/>
      <c r="C212" s="75">
        <f>A212*datos!$C$63</f>
        <v>126445</v>
      </c>
      <c r="D212" s="75"/>
      <c r="E212" s="77">
        <f t="shared" si="3"/>
        <v>0</v>
      </c>
    </row>
    <row r="213" spans="1:5" s="60" customFormat="1">
      <c r="A213" s="73">
        <v>210</v>
      </c>
      <c r="B213" s="74"/>
      <c r="C213" s="75">
        <f>A213*datos!$C$63</f>
        <v>127050</v>
      </c>
      <c r="D213" s="75"/>
      <c r="E213" s="77">
        <f t="shared" si="3"/>
        <v>0</v>
      </c>
    </row>
    <row r="214" spans="1:5" s="60" customFormat="1">
      <c r="A214" s="73">
        <v>211</v>
      </c>
      <c r="B214" s="74"/>
      <c r="C214" s="75">
        <f>A214*datos!$C$63</f>
        <v>127655</v>
      </c>
      <c r="D214" s="75"/>
      <c r="E214" s="77">
        <f t="shared" si="3"/>
        <v>0</v>
      </c>
    </row>
    <row r="215" spans="1:5" s="60" customFormat="1">
      <c r="A215" s="73">
        <v>212</v>
      </c>
      <c r="B215" s="74"/>
      <c r="C215" s="75">
        <f>A215*datos!$C$63</f>
        <v>128260</v>
      </c>
      <c r="D215" s="75"/>
      <c r="E215" s="77">
        <f t="shared" si="3"/>
        <v>0</v>
      </c>
    </row>
    <row r="216" spans="1:5" s="60" customFormat="1">
      <c r="A216" s="73">
        <v>213</v>
      </c>
      <c r="B216" s="74"/>
      <c r="C216" s="75">
        <f>A216*datos!$C$63</f>
        <v>128865</v>
      </c>
      <c r="D216" s="75"/>
      <c r="E216" s="77">
        <f t="shared" si="3"/>
        <v>0</v>
      </c>
    </row>
    <row r="217" spans="1:5" s="60" customFormat="1">
      <c r="A217" s="73">
        <v>214</v>
      </c>
      <c r="B217" s="74"/>
      <c r="C217" s="75">
        <f>A217*datos!$C$63</f>
        <v>129470</v>
      </c>
      <c r="D217" s="75"/>
      <c r="E217" s="77">
        <f t="shared" si="3"/>
        <v>0</v>
      </c>
    </row>
    <row r="218" spans="1:5" s="60" customFormat="1">
      <c r="A218" s="73">
        <v>215</v>
      </c>
      <c r="B218" s="74"/>
      <c r="C218" s="75">
        <f>A218*datos!$C$63</f>
        <v>130075</v>
      </c>
      <c r="D218" s="75"/>
      <c r="E218" s="77">
        <f t="shared" si="3"/>
        <v>0</v>
      </c>
    </row>
    <row r="219" spans="1:5" s="60" customFormat="1">
      <c r="A219" s="73">
        <v>216</v>
      </c>
      <c r="B219" s="74"/>
      <c r="C219" s="75">
        <f>A219*datos!$C$63</f>
        <v>130680</v>
      </c>
      <c r="D219" s="75"/>
      <c r="E219" s="77">
        <f t="shared" si="3"/>
        <v>0</v>
      </c>
    </row>
    <row r="220" spans="1:5" s="60" customFormat="1">
      <c r="A220" s="73">
        <v>217</v>
      </c>
      <c r="B220" s="74"/>
      <c r="C220" s="75">
        <f>A220*datos!$C$63</f>
        <v>131285</v>
      </c>
      <c r="D220" s="75"/>
      <c r="E220" s="77">
        <f t="shared" si="3"/>
        <v>0</v>
      </c>
    </row>
    <row r="221" spans="1:5" s="60" customFormat="1">
      <c r="A221" s="73">
        <v>218</v>
      </c>
      <c r="B221" s="74"/>
      <c r="C221" s="75">
        <f>A221*datos!$C$63</f>
        <v>131890</v>
      </c>
      <c r="D221" s="75"/>
      <c r="E221" s="77">
        <f t="shared" si="3"/>
        <v>0</v>
      </c>
    </row>
    <row r="222" spans="1:5" s="60" customFormat="1">
      <c r="A222" s="73">
        <v>219</v>
      </c>
      <c r="B222" s="74"/>
      <c r="C222" s="75">
        <f>A222*datos!$C$63</f>
        <v>132495</v>
      </c>
      <c r="D222" s="75"/>
      <c r="E222" s="77">
        <f t="shared" si="3"/>
        <v>0</v>
      </c>
    </row>
    <row r="223" spans="1:5" s="60" customFormat="1">
      <c r="A223" s="73">
        <v>220</v>
      </c>
      <c r="B223" s="74"/>
      <c r="C223" s="75">
        <f>A223*datos!$C$63</f>
        <v>133100</v>
      </c>
      <c r="D223" s="75"/>
      <c r="E223" s="77">
        <f t="shared" si="3"/>
        <v>0</v>
      </c>
    </row>
    <row r="224" spans="1:5" s="60" customFormat="1">
      <c r="A224" s="73">
        <v>221</v>
      </c>
      <c r="B224" s="74"/>
      <c r="C224" s="75">
        <f>A224*datos!$C$63</f>
        <v>133705</v>
      </c>
      <c r="D224" s="75"/>
      <c r="E224" s="77">
        <f t="shared" si="3"/>
        <v>0</v>
      </c>
    </row>
    <row r="225" spans="1:5" s="60" customFormat="1">
      <c r="A225" s="73">
        <v>222</v>
      </c>
      <c r="B225" s="74"/>
      <c r="C225" s="75">
        <f>A225*datos!$C$63</f>
        <v>134310</v>
      </c>
      <c r="D225" s="75"/>
      <c r="E225" s="77">
        <f t="shared" si="3"/>
        <v>0</v>
      </c>
    </row>
    <row r="226" spans="1:5" s="60" customFormat="1">
      <c r="A226" s="73">
        <v>223</v>
      </c>
      <c r="B226" s="74"/>
      <c r="C226" s="75">
        <f>A226*datos!$C$63</f>
        <v>134915</v>
      </c>
      <c r="D226" s="75"/>
      <c r="E226" s="77">
        <f t="shared" si="3"/>
        <v>0</v>
      </c>
    </row>
    <row r="227" spans="1:5" s="60" customFormat="1">
      <c r="A227" s="73">
        <v>224</v>
      </c>
      <c r="B227" s="74"/>
      <c r="C227" s="75">
        <f>A227*datos!$C$63</f>
        <v>135520</v>
      </c>
      <c r="D227" s="75"/>
      <c r="E227" s="77">
        <f t="shared" si="3"/>
        <v>0</v>
      </c>
    </row>
    <row r="228" spans="1:5" s="60" customFormat="1">
      <c r="A228" s="73">
        <v>225</v>
      </c>
      <c r="B228" s="74"/>
      <c r="C228" s="75">
        <f>A228*datos!$C$63</f>
        <v>136125</v>
      </c>
      <c r="D228" s="75"/>
      <c r="E228" s="77">
        <f t="shared" si="3"/>
        <v>0</v>
      </c>
    </row>
    <row r="229" spans="1:5" s="60" customFormat="1">
      <c r="A229" s="73">
        <v>226</v>
      </c>
      <c r="B229" s="74"/>
      <c r="C229" s="75">
        <f>A229*datos!$C$63</f>
        <v>136730</v>
      </c>
      <c r="D229" s="75"/>
      <c r="E229" s="77">
        <f t="shared" si="3"/>
        <v>0</v>
      </c>
    </row>
    <row r="230" spans="1:5" s="60" customFormat="1">
      <c r="A230" s="73">
        <v>227</v>
      </c>
      <c r="B230" s="74"/>
      <c r="C230" s="75">
        <f>A230*datos!$C$63</f>
        <v>137335</v>
      </c>
      <c r="D230" s="75"/>
      <c r="E230" s="77">
        <f t="shared" si="3"/>
        <v>0</v>
      </c>
    </row>
    <row r="231" spans="1:5" s="60" customFormat="1">
      <c r="A231" s="73">
        <v>228</v>
      </c>
      <c r="B231" s="74"/>
      <c r="C231" s="75">
        <f>A231*datos!$C$63</f>
        <v>137940</v>
      </c>
      <c r="D231" s="75"/>
      <c r="E231" s="77">
        <f t="shared" si="3"/>
        <v>0</v>
      </c>
    </row>
    <row r="232" spans="1:5" s="60" customFormat="1">
      <c r="A232" s="73">
        <v>229</v>
      </c>
      <c r="B232" s="74"/>
      <c r="C232" s="75">
        <f>A232*datos!$C$63</f>
        <v>138545</v>
      </c>
      <c r="D232" s="75"/>
      <c r="E232" s="77">
        <f t="shared" si="3"/>
        <v>0</v>
      </c>
    </row>
    <row r="233" spans="1:5" s="60" customFormat="1">
      <c r="A233" s="73">
        <v>230</v>
      </c>
      <c r="B233" s="74"/>
      <c r="C233" s="75">
        <f>A233*datos!$C$63</f>
        <v>139150</v>
      </c>
      <c r="D233" s="75"/>
      <c r="E233" s="77">
        <f t="shared" si="3"/>
        <v>0</v>
      </c>
    </row>
    <row r="234" spans="1:5" s="60" customFormat="1">
      <c r="A234" s="73">
        <v>231</v>
      </c>
      <c r="B234" s="74"/>
      <c r="C234" s="75">
        <f>A234*datos!$C$63</f>
        <v>139755</v>
      </c>
      <c r="D234" s="75"/>
      <c r="E234" s="77">
        <f t="shared" si="3"/>
        <v>0</v>
      </c>
    </row>
    <row r="235" spans="1:5" s="60" customFormat="1">
      <c r="A235" s="73">
        <v>232</v>
      </c>
      <c r="B235" s="74"/>
      <c r="C235" s="75">
        <f>A235*datos!$C$63</f>
        <v>140360</v>
      </c>
      <c r="D235" s="75"/>
      <c r="E235" s="77">
        <f t="shared" si="3"/>
        <v>0</v>
      </c>
    </row>
    <row r="236" spans="1:5" s="60" customFormat="1">
      <c r="A236" s="73">
        <v>233</v>
      </c>
      <c r="B236" s="74"/>
      <c r="C236" s="75">
        <f>A236*datos!$C$63</f>
        <v>140965</v>
      </c>
      <c r="D236" s="75"/>
      <c r="E236" s="77">
        <f t="shared" si="3"/>
        <v>0</v>
      </c>
    </row>
    <row r="237" spans="1:5" s="60" customFormat="1">
      <c r="A237" s="73">
        <v>234</v>
      </c>
      <c r="B237" s="74"/>
      <c r="C237" s="75">
        <f>A237*datos!$C$63</f>
        <v>141570</v>
      </c>
      <c r="D237" s="75"/>
      <c r="E237" s="77">
        <f t="shared" si="3"/>
        <v>0</v>
      </c>
    </row>
    <row r="238" spans="1:5" s="60" customFormat="1">
      <c r="A238" s="73">
        <v>235</v>
      </c>
      <c r="B238" s="74"/>
      <c r="C238" s="75">
        <f>A238*datos!$C$63</f>
        <v>142175</v>
      </c>
      <c r="D238" s="75"/>
      <c r="E238" s="77">
        <f t="shared" si="3"/>
        <v>0</v>
      </c>
    </row>
    <row r="239" spans="1:5" s="60" customFormat="1">
      <c r="A239" s="73">
        <v>236</v>
      </c>
      <c r="B239" s="74"/>
      <c r="C239" s="75">
        <f>A239*datos!$C$63</f>
        <v>142780</v>
      </c>
      <c r="D239" s="75"/>
      <c r="E239" s="77">
        <f t="shared" si="3"/>
        <v>0</v>
      </c>
    </row>
    <row r="240" spans="1:5" s="60" customFormat="1">
      <c r="A240" s="73">
        <v>237</v>
      </c>
      <c r="B240" s="74"/>
      <c r="C240" s="75">
        <f>A240*datos!$C$63</f>
        <v>143385</v>
      </c>
      <c r="D240" s="75"/>
      <c r="E240" s="77">
        <f t="shared" si="3"/>
        <v>0</v>
      </c>
    </row>
    <row r="241" spans="1:5" s="60" customFormat="1">
      <c r="A241" s="73">
        <v>238</v>
      </c>
      <c r="B241" s="74"/>
      <c r="C241" s="75">
        <f>A241*datos!$C$63</f>
        <v>143990</v>
      </c>
      <c r="D241" s="75"/>
      <c r="E241" s="77">
        <f t="shared" si="3"/>
        <v>0</v>
      </c>
    </row>
    <row r="242" spans="1:5" s="60" customFormat="1">
      <c r="A242" s="73">
        <v>239</v>
      </c>
      <c r="B242" s="74"/>
      <c r="C242" s="75">
        <f>A242*datos!$C$63</f>
        <v>144595</v>
      </c>
      <c r="D242" s="75"/>
      <c r="E242" s="77">
        <f t="shared" si="3"/>
        <v>0</v>
      </c>
    </row>
    <row r="243" spans="1:5" s="60" customFormat="1">
      <c r="A243" s="73">
        <v>240</v>
      </c>
      <c r="B243" s="74"/>
      <c r="C243" s="75">
        <f>A243*datos!$C$63</f>
        <v>145200</v>
      </c>
      <c r="D243" s="75"/>
      <c r="E243" s="77">
        <f t="shared" si="3"/>
        <v>0</v>
      </c>
    </row>
    <row r="244" spans="1:5" s="60" customFormat="1">
      <c r="A244" s="73">
        <v>241</v>
      </c>
      <c r="B244" s="74"/>
      <c r="C244" s="75">
        <f>A244*datos!$C$63</f>
        <v>145805</v>
      </c>
      <c r="D244" s="75"/>
      <c r="E244" s="77">
        <f t="shared" si="3"/>
        <v>0</v>
      </c>
    </row>
    <row r="245" spans="1:5" s="60" customFormat="1">
      <c r="A245" s="73">
        <v>242</v>
      </c>
      <c r="B245" s="74"/>
      <c r="C245" s="75">
        <f>A245*datos!$C$63</f>
        <v>146410</v>
      </c>
      <c r="D245" s="75"/>
      <c r="E245" s="77">
        <f t="shared" si="3"/>
        <v>0</v>
      </c>
    </row>
    <row r="246" spans="1:5" s="60" customFormat="1">
      <c r="A246" s="73">
        <v>243</v>
      </c>
      <c r="B246" s="74"/>
      <c r="C246" s="75">
        <f>A246*datos!$C$63</f>
        <v>147015</v>
      </c>
      <c r="D246" s="75"/>
      <c r="E246" s="77">
        <f t="shared" si="3"/>
        <v>0</v>
      </c>
    </row>
    <row r="247" spans="1:5" s="60" customFormat="1">
      <c r="A247" s="73">
        <v>244</v>
      </c>
      <c r="B247" s="74"/>
      <c r="C247" s="75">
        <f>A247*datos!$C$63</f>
        <v>147620</v>
      </c>
      <c r="D247" s="75"/>
      <c r="E247" s="77">
        <f t="shared" si="3"/>
        <v>0</v>
      </c>
    </row>
    <row r="248" spans="1:5" s="60" customFormat="1">
      <c r="A248" s="73">
        <v>245</v>
      </c>
      <c r="B248" s="74"/>
      <c r="C248" s="75">
        <f>A248*datos!$C$63</f>
        <v>148225</v>
      </c>
      <c r="D248" s="75"/>
      <c r="E248" s="77">
        <f t="shared" si="3"/>
        <v>0</v>
      </c>
    </row>
    <row r="249" spans="1:5" s="60" customFormat="1">
      <c r="A249" s="73">
        <v>246</v>
      </c>
      <c r="B249" s="74"/>
      <c r="C249" s="75">
        <f>A249*datos!$C$63</f>
        <v>148830</v>
      </c>
      <c r="D249" s="75"/>
      <c r="E249" s="77">
        <f t="shared" si="3"/>
        <v>0</v>
      </c>
    </row>
    <row r="250" spans="1:5" s="60" customFormat="1">
      <c r="A250" s="73">
        <v>247</v>
      </c>
      <c r="B250" s="74"/>
      <c r="C250" s="75">
        <f>A250*datos!$C$63</f>
        <v>149435</v>
      </c>
      <c r="D250" s="75"/>
      <c r="E250" s="77">
        <f t="shared" si="3"/>
        <v>0</v>
      </c>
    </row>
    <row r="251" spans="1:5" s="60" customFormat="1">
      <c r="A251" s="73">
        <v>248</v>
      </c>
      <c r="B251" s="74"/>
      <c r="C251" s="75">
        <f>A251*datos!$C$63</f>
        <v>150040</v>
      </c>
      <c r="D251" s="75"/>
      <c r="E251" s="77">
        <f t="shared" si="3"/>
        <v>0</v>
      </c>
    </row>
    <row r="252" spans="1:5" s="60" customFormat="1">
      <c r="A252" s="73">
        <v>249</v>
      </c>
      <c r="B252" s="74"/>
      <c r="C252" s="75">
        <f>A252*datos!$C$63</f>
        <v>150645</v>
      </c>
      <c r="D252" s="75"/>
      <c r="E252" s="77">
        <f t="shared" si="3"/>
        <v>0</v>
      </c>
    </row>
    <row r="253" spans="1:5" s="60" customFormat="1">
      <c r="A253" s="73">
        <v>250</v>
      </c>
      <c r="B253" s="74"/>
      <c r="C253" s="75">
        <f>A253*datos!$C$63</f>
        <v>151250</v>
      </c>
      <c r="D253" s="75"/>
      <c r="E253" s="77">
        <f t="shared" si="3"/>
        <v>0</v>
      </c>
    </row>
    <row r="254" spans="1:5" s="60" customFormat="1">
      <c r="A254" s="73">
        <v>251</v>
      </c>
      <c r="B254" s="74"/>
      <c r="C254" s="75">
        <f>A254*datos!$C$63</f>
        <v>151855</v>
      </c>
      <c r="D254" s="75"/>
      <c r="E254" s="77">
        <f t="shared" si="3"/>
        <v>0</v>
      </c>
    </row>
    <row r="255" spans="1:5" s="60" customFormat="1">
      <c r="A255" s="73">
        <v>252</v>
      </c>
      <c r="B255" s="74"/>
      <c r="C255" s="75">
        <f>A255*datos!$C$63</f>
        <v>152460</v>
      </c>
      <c r="D255" s="75"/>
      <c r="E255" s="77">
        <f t="shared" si="3"/>
        <v>0</v>
      </c>
    </row>
    <row r="256" spans="1:5" s="60" customFormat="1">
      <c r="A256" s="73">
        <v>253</v>
      </c>
      <c r="B256" s="74"/>
      <c r="C256" s="75">
        <f>A256*datos!$C$63</f>
        <v>153065</v>
      </c>
      <c r="D256" s="75"/>
      <c r="E256" s="77">
        <f t="shared" si="3"/>
        <v>0</v>
      </c>
    </row>
    <row r="257" spans="1:5" s="60" customFormat="1">
      <c r="A257" s="73">
        <v>254</v>
      </c>
      <c r="B257" s="74"/>
      <c r="C257" s="75">
        <f>A257*datos!$C$63</f>
        <v>153670</v>
      </c>
      <c r="D257" s="75"/>
      <c r="E257" s="77">
        <f t="shared" si="3"/>
        <v>0</v>
      </c>
    </row>
    <row r="258" spans="1:5" s="60" customFormat="1">
      <c r="A258" s="73">
        <v>255</v>
      </c>
      <c r="B258" s="74"/>
      <c r="C258" s="75">
        <f>A258*datos!$C$63</f>
        <v>154275</v>
      </c>
      <c r="D258" s="75"/>
      <c r="E258" s="77">
        <f t="shared" si="3"/>
        <v>0</v>
      </c>
    </row>
    <row r="259" spans="1:5" s="60" customFormat="1">
      <c r="A259" s="73">
        <v>256</v>
      </c>
      <c r="B259" s="74"/>
      <c r="C259" s="75">
        <f>A259*datos!$C$63</f>
        <v>154880</v>
      </c>
      <c r="D259" s="75"/>
      <c r="E259" s="77">
        <f t="shared" si="3"/>
        <v>0</v>
      </c>
    </row>
    <row r="260" spans="1:5" s="60" customFormat="1">
      <c r="A260" s="73">
        <v>257</v>
      </c>
      <c r="B260" s="74"/>
      <c r="C260" s="75">
        <f>A260*datos!$C$63</f>
        <v>155485</v>
      </c>
      <c r="D260" s="75"/>
      <c r="E260" s="77">
        <f t="shared" si="3"/>
        <v>0</v>
      </c>
    </row>
    <row r="261" spans="1:5" s="60" customFormat="1">
      <c r="A261" s="73">
        <v>258</v>
      </c>
      <c r="B261" s="74"/>
      <c r="C261" s="75">
        <f>A261*datos!$C$63</f>
        <v>156090</v>
      </c>
      <c r="D261" s="75"/>
      <c r="E261" s="77">
        <f t="shared" si="3"/>
        <v>0</v>
      </c>
    </row>
    <row r="262" spans="1:5" s="60" customFormat="1">
      <c r="A262" s="73">
        <v>259</v>
      </c>
      <c r="B262" s="74"/>
      <c r="C262" s="75">
        <f>A262*datos!$C$63</f>
        <v>156695</v>
      </c>
      <c r="D262" s="75"/>
      <c r="E262" s="77">
        <f t="shared" si="3"/>
        <v>0</v>
      </c>
    </row>
    <row r="263" spans="1:5" s="60" customFormat="1">
      <c r="A263" s="78">
        <v>260</v>
      </c>
      <c r="B263" s="79"/>
      <c r="C263" s="80">
        <f>A263*datos!$C$63</f>
        <v>157300</v>
      </c>
      <c r="D263" s="80"/>
      <c r="E263" s="81">
        <f t="shared" ref="E263" si="4">IF(C263&lt;=3000,700,
IF(C263&lt;=4000,800,
IF(C263&lt;=5000,850,
IF(C263&lt;=6000,900,
IF(C263&lt;=7000,950,
IF(C263&lt;=8000,1000,
IF(C263&lt;=9000,1100,
IF(C263&lt;=10000,1200,
IF(C263&lt;=15000,1300,
IF(C263&lt;=20000,1400,
IF(C263&lt;=25000,1500,
IF(C263&lt;=30000,1600,
IF(C263&lt;=35000,1700,
IF(C263&lt;=40000,1800,
IF(C263&lt;=45000,1900,
IF(C263&lt;=50000,2100,
IF(C263&lt;=55000,2200,
IF(C263&lt;=60000,2300,
IF(C263&lt;=65000,2400,
IF(C263&lt;=70000,2500,
IF(C263&lt;=75000,2750,
IF(C263&lt;=80000,3000,
IF(C263&lt;=85000,3250,
IF(C263&lt;=90000,3500,
IF(C263&lt;=95000,3750,
IF(C263&lt;=100000,4000,
IF(C263&lt;=105000,4250,
IF(C263&lt;=110000,4500,
IF(C263&lt;=115000,4750,
IF(C263&lt;=120000,5000,
))))))))))))))))))))))))))))))</f>
        <v>0</v>
      </c>
    </row>
  </sheetData>
  <sheetProtection selectLockedCells="1" selectUnlockedCells="1"/>
  <mergeCells count="1">
    <mergeCell ref="A1: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D676-C41B-42EF-B244-408C022FDA96}">
  <sheetPr codeName="Hoja25"/>
  <dimension ref="A1:F2"/>
  <sheetViews>
    <sheetView zoomScale="145" zoomScaleNormal="145" workbookViewId="0">
      <selection activeCell="C6" sqref="C6"/>
    </sheetView>
  </sheetViews>
  <sheetFormatPr baseColWidth="10" defaultColWidth="11.5546875" defaultRowHeight="15.6"/>
  <cols>
    <col min="1" max="1" width="24.109375" style="41" customWidth="1"/>
    <col min="2" max="2" width="19" style="41" customWidth="1"/>
    <col min="3" max="3" width="18.21875" style="41" customWidth="1"/>
    <col min="4" max="4" width="16.5546875" style="41" customWidth="1"/>
    <col min="5" max="5" width="15.21875" style="41" customWidth="1"/>
    <col min="6" max="6" width="23.5546875" style="41" customWidth="1"/>
    <col min="7" max="16384" width="11.5546875" style="41"/>
  </cols>
  <sheetData>
    <row r="1" spans="1:6" ht="24.6" customHeight="1">
      <c r="A1" s="468" t="s">
        <v>291</v>
      </c>
      <c r="B1" s="469"/>
      <c r="C1" s="469"/>
      <c r="D1" s="469"/>
      <c r="E1" s="469"/>
      <c r="F1" s="469"/>
    </row>
    <row r="2" spans="1:6" s="60" customFormat="1" ht="22.2" customHeight="1">
      <c r="A2" s="209" t="s">
        <v>292</v>
      </c>
      <c r="B2" s="209" t="s">
        <v>293</v>
      </c>
      <c r="C2" s="209" t="s">
        <v>141</v>
      </c>
      <c r="D2" s="209" t="s">
        <v>294</v>
      </c>
      <c r="E2" s="209" t="s">
        <v>295</v>
      </c>
      <c r="F2" s="209" t="s">
        <v>296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73</vt:i4>
      </vt:variant>
    </vt:vector>
  </HeadingPairs>
  <TitlesOfParts>
    <vt:vector size="102" baseType="lpstr">
      <vt:lpstr>datos</vt:lpstr>
      <vt:lpstr>ppto</vt:lpstr>
      <vt:lpstr>incentivo</vt:lpstr>
      <vt:lpstr>ppto_desglose</vt:lpstr>
      <vt:lpstr>variables</vt:lpstr>
      <vt:lpstr>Comercial</vt:lpstr>
      <vt:lpstr>TABLA HUAWEI</vt:lpstr>
      <vt:lpstr>TABLA ENPHASE</vt:lpstr>
      <vt:lpstr>cálculos</vt:lpstr>
      <vt:lpstr>finan</vt:lpstr>
      <vt:lpstr>exp0</vt:lpstr>
      <vt:lpstr>exp2</vt:lpstr>
      <vt:lpstr>exp3</vt:lpstr>
      <vt:lpstr>exp4</vt:lpstr>
      <vt:lpstr>exp5</vt:lpstr>
      <vt:lpstr>exp6</vt:lpstr>
      <vt:lpstr>ecov</vt:lpstr>
      <vt:lpstr>t.con</vt:lpstr>
      <vt:lpstr>t.mod</vt:lpstr>
      <vt:lpstr>t.bat</vt:lpstr>
      <vt:lpstr>t.inv</vt:lpstr>
      <vt:lpstr>t.est</vt:lpstr>
      <vt:lpstr>t.opt</vt:lpstr>
      <vt:lpstr>t.met</vt:lpstr>
      <vt:lpstr>t.bms</vt:lpstr>
      <vt:lpstr>t.mon</vt:lpstr>
      <vt:lpstr>t.mar</vt:lpstr>
      <vt:lpstr>t.coi</vt:lpstr>
      <vt:lpstr>t.com</vt:lpstr>
      <vt:lpstr>adelanto</vt:lpstr>
      <vt:lpstr>adicionales</vt:lpstr>
      <vt:lpstr>apellidos</vt:lpstr>
      <vt:lpstr>datos!Área_de_impresión</vt:lpstr>
      <vt:lpstr>ppto_desglose!Área_de_impresión</vt:lpstr>
      <vt:lpstr>'TABLA ENPHASE'!Área_de_impresión</vt:lpstr>
      <vt:lpstr>'TABLA HUAWEI'!Área_de_impresión</vt:lpstr>
      <vt:lpstr>autoconsumo</vt:lpstr>
      <vt:lpstr>c_pmat</vt:lpstr>
      <vt:lpstr>c_tasas</vt:lpstr>
      <vt:lpstr>cap_bat</vt:lpstr>
      <vt:lpstr>catastro</vt:lpstr>
      <vt:lpstr>coefper</vt:lpstr>
      <vt:lpstr>comision</vt:lpstr>
      <vt:lpstr>consumo1</vt:lpstr>
      <vt:lpstr>consumo2</vt:lpstr>
      <vt:lpstr>cp</vt:lpstr>
      <vt:lpstr>crecom</vt:lpstr>
      <vt:lpstr>cups</vt:lpstr>
      <vt:lpstr>curva</vt:lpstr>
      <vt:lpstr>descuento</vt:lpstr>
      <vt:lpstr>dioxido</vt:lpstr>
      <vt:lpstr>direccion</vt:lpstr>
      <vt:lpstr>email</vt:lpstr>
      <vt:lpstr>empresa</vt:lpstr>
      <vt:lpstr>estructura</vt:lpstr>
      <vt:lpstr>fab_inv</vt:lpstr>
      <vt:lpstr>fab_mod</vt:lpstr>
      <vt:lpstr>fecha</vt:lpstr>
      <vt:lpstr>fin120m</vt:lpstr>
      <vt:lpstr>fin12m</vt:lpstr>
      <vt:lpstr>fin24m</vt:lpstr>
      <vt:lpstr>FOTO</vt:lpstr>
      <vt:lpstr>kwhkwp</vt:lpstr>
      <vt:lpstr>licencia</vt:lpstr>
      <vt:lpstr>localidad</vt:lpstr>
      <vt:lpstr>margen_venta</vt:lpstr>
      <vt:lpstr>mobateria</vt:lpstr>
      <vt:lpstr>mod_bat</vt:lpstr>
      <vt:lpstr>mod_bms</vt:lpstr>
      <vt:lpstr>mod_inv1</vt:lpstr>
      <vt:lpstr>mod_inv2</vt:lpstr>
      <vt:lpstr>mod_meter</vt:lpstr>
      <vt:lpstr>mod_mod</vt:lpstr>
      <vt:lpstr>mod_opt</vt:lpstr>
      <vt:lpstr>nif</vt:lpstr>
      <vt:lpstr>nombre</vt:lpstr>
      <vt:lpstr>num_bat</vt:lpstr>
      <vt:lpstr>num_bms</vt:lpstr>
      <vt:lpstr>num_cee</vt:lpstr>
      <vt:lpstr>num_inv1</vt:lpstr>
      <vt:lpstr>num_inv2</vt:lpstr>
      <vt:lpstr>num_meter</vt:lpstr>
      <vt:lpstr>num_mod</vt:lpstr>
      <vt:lpstr>num_opt</vt:lpstr>
      <vt:lpstr>p_cee</vt:lpstr>
      <vt:lpstr>p_contratada</vt:lpstr>
      <vt:lpstr>p_gen</vt:lpstr>
      <vt:lpstr>p_mod</vt:lpstr>
      <vt:lpstr>perfil</vt:lpstr>
      <vt:lpstr>pot_inv</vt:lpstr>
      <vt:lpstr>pot_inv1</vt:lpstr>
      <vt:lpstr>pot_inv2</vt:lpstr>
      <vt:lpstr>precioexc</vt:lpstr>
      <vt:lpstr>preciokwh</vt:lpstr>
      <vt:lpstr>programa</vt:lpstr>
      <vt:lpstr>provincia</vt:lpstr>
      <vt:lpstr>sistema</vt:lpstr>
      <vt:lpstr>tamaño</vt:lpstr>
      <vt:lpstr>telefono</vt:lpstr>
      <vt:lpstr>ti</vt:lpstr>
      <vt:lpstr>TIPO</vt:lpstr>
      <vt:lpstr>tipo_calculo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Rivera</cp:lastModifiedBy>
  <cp:lastPrinted>2024-04-30T10:05:27Z</cp:lastPrinted>
  <dcterms:created xsi:type="dcterms:W3CDTF">2021-08-15T07:41:53Z</dcterms:created>
  <dcterms:modified xsi:type="dcterms:W3CDTF">2024-10-03T07:33:56Z</dcterms:modified>
</cp:coreProperties>
</file>