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Z:\ventas\OBRAS COTIZADAS\TRIBUNA-ESTADIO-CLUB\2025\MONDO Construcciones - CARD SFE\Herramientas\"/>
    </mc:Choice>
  </mc:AlternateContent>
  <xr:revisionPtr revIDLastSave="0" documentId="13_ncr:1_{DAC3CDB2-35F6-4EFD-9A46-FD6E9537409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STRUCTIVO" sheetId="3" r:id="rId1"/>
    <sheet name="Alternativa 1" sheetId="2" r:id="rId2"/>
    <sheet name="COPIAR A NOTA DE OFERTA" sheetId="5" r:id="rId3"/>
    <sheet name="Precio Transporte" sheetId="4" r:id="rId4"/>
  </sheets>
  <definedNames>
    <definedName name="_xlnm.Print_Area" localSheetId="1">'Alternativa 1'!$A$1:$O$111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" l="1"/>
  <c r="C9" i="5"/>
  <c r="D9" i="5"/>
  <c r="E9" i="5"/>
  <c r="F9" i="5"/>
  <c r="G9" i="5"/>
  <c r="H9" i="5"/>
  <c r="B10" i="5"/>
  <c r="C10" i="5"/>
  <c r="D10" i="5"/>
  <c r="E10" i="5"/>
  <c r="F10" i="5"/>
  <c r="G10" i="5"/>
  <c r="H10" i="5"/>
  <c r="B11" i="5"/>
  <c r="C11" i="5"/>
  <c r="D11" i="5"/>
  <c r="E11" i="5"/>
  <c r="F11" i="5"/>
  <c r="G11" i="5"/>
  <c r="H11" i="5"/>
  <c r="B12" i="5"/>
  <c r="C12" i="5"/>
  <c r="D12" i="5"/>
  <c r="E12" i="5"/>
  <c r="F12" i="5"/>
  <c r="G12" i="5"/>
  <c r="H12" i="5"/>
  <c r="B13" i="5"/>
  <c r="C13" i="5"/>
  <c r="D13" i="5"/>
  <c r="E13" i="5"/>
  <c r="F13" i="5"/>
  <c r="G13" i="5"/>
  <c r="H13" i="5"/>
  <c r="B14" i="5"/>
  <c r="C14" i="5"/>
  <c r="D14" i="5"/>
  <c r="E14" i="5"/>
  <c r="F14" i="5"/>
  <c r="G14" i="5"/>
  <c r="H14" i="5"/>
  <c r="B15" i="5"/>
  <c r="C15" i="5"/>
  <c r="D15" i="5"/>
  <c r="E15" i="5"/>
  <c r="F15" i="5"/>
  <c r="G15" i="5"/>
  <c r="H15" i="5"/>
  <c r="B16" i="5"/>
  <c r="C16" i="5"/>
  <c r="D16" i="5"/>
  <c r="E16" i="5"/>
  <c r="F16" i="5"/>
  <c r="G16" i="5"/>
  <c r="H16" i="5"/>
  <c r="B17" i="5"/>
  <c r="C17" i="5"/>
  <c r="D17" i="5"/>
  <c r="E17" i="5"/>
  <c r="F17" i="5"/>
  <c r="G17" i="5"/>
  <c r="H17" i="5"/>
  <c r="B18" i="5"/>
  <c r="C18" i="5"/>
  <c r="D18" i="5"/>
  <c r="E18" i="5"/>
  <c r="F18" i="5"/>
  <c r="G18" i="5"/>
  <c r="H18" i="5"/>
  <c r="B19" i="5"/>
  <c r="C19" i="5"/>
  <c r="D19" i="5"/>
  <c r="E19" i="5"/>
  <c r="F19" i="5"/>
  <c r="G19" i="5"/>
  <c r="H19" i="5"/>
  <c r="B20" i="5"/>
  <c r="C20" i="5"/>
  <c r="D20" i="5"/>
  <c r="E20" i="5"/>
  <c r="F20" i="5"/>
  <c r="G20" i="5"/>
  <c r="H20" i="5"/>
  <c r="B21" i="5"/>
  <c r="C21" i="5"/>
  <c r="D21" i="5"/>
  <c r="E21" i="5"/>
  <c r="F21" i="5"/>
  <c r="G21" i="5"/>
  <c r="H21" i="5"/>
  <c r="B22" i="5"/>
  <c r="C22" i="5"/>
  <c r="D22" i="5"/>
  <c r="E22" i="5"/>
  <c r="F22" i="5"/>
  <c r="G22" i="5"/>
  <c r="H22" i="5"/>
  <c r="B23" i="5"/>
  <c r="C23" i="5"/>
  <c r="D23" i="5"/>
  <c r="E23" i="5"/>
  <c r="F23" i="5"/>
  <c r="G23" i="5"/>
  <c r="H2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B26" i="5"/>
  <c r="C26" i="5"/>
  <c r="D26" i="5"/>
  <c r="E26" i="5"/>
  <c r="F26" i="5"/>
  <c r="G26" i="5"/>
  <c r="H26" i="5"/>
  <c r="B27" i="5"/>
  <c r="C27" i="5"/>
  <c r="D27" i="5"/>
  <c r="E27" i="5"/>
  <c r="F27" i="5"/>
  <c r="G27" i="5"/>
  <c r="H27" i="5"/>
  <c r="B28" i="5"/>
  <c r="C28" i="5"/>
  <c r="D28" i="5"/>
  <c r="E28" i="5"/>
  <c r="F28" i="5"/>
  <c r="G28" i="5"/>
  <c r="H28" i="5"/>
  <c r="I103" i="2"/>
  <c r="I106" i="2" s="1"/>
  <c r="R9" i="5"/>
  <c r="R10" i="5"/>
  <c r="R11" i="5"/>
  <c r="R12" i="5"/>
  <c r="R8" i="5"/>
  <c r="R7" i="5"/>
  <c r="J9" i="5"/>
  <c r="J10" i="5"/>
  <c r="J11" i="5"/>
  <c r="J12" i="5"/>
  <c r="J8" i="5"/>
  <c r="J7" i="5"/>
  <c r="N79" i="2"/>
  <c r="N78" i="2"/>
  <c r="Q70" i="2"/>
  <c r="Q69" i="2"/>
  <c r="G69" i="2" s="1"/>
  <c r="L103" i="2" l="1"/>
  <c r="L106" i="2" s="1"/>
  <c r="Q66" i="2" s="1"/>
  <c r="G66" i="2" s="1"/>
  <c r="N103" i="2"/>
  <c r="N105" i="2" s="1"/>
  <c r="O26" i="2"/>
  <c r="N25" i="2"/>
  <c r="O25" i="2" s="1"/>
  <c r="F80" i="2"/>
  <c r="N80" i="2" s="1"/>
  <c r="D80" i="2"/>
  <c r="N106" i="2" l="1"/>
  <c r="I53" i="2"/>
  <c r="L53" i="2" s="1"/>
  <c r="I52" i="2"/>
  <c r="Q11" i="5" s="1"/>
  <c r="P12" i="5"/>
  <c r="L12" i="5"/>
  <c r="K12" i="5"/>
  <c r="P8" i="5"/>
  <c r="P9" i="5"/>
  <c r="P10" i="5"/>
  <c r="P11" i="5"/>
  <c r="L8" i="5"/>
  <c r="L9" i="5"/>
  <c r="L10" i="5"/>
  <c r="L11" i="5"/>
  <c r="P7" i="5"/>
  <c r="L7" i="5"/>
  <c r="K8" i="5"/>
  <c r="K9" i="5"/>
  <c r="K10" i="5"/>
  <c r="K11" i="5"/>
  <c r="K7" i="5"/>
  <c r="N11" i="5"/>
  <c r="M11" i="5"/>
  <c r="N10" i="5"/>
  <c r="M10" i="5"/>
  <c r="N9" i="5"/>
  <c r="M9" i="5"/>
  <c r="N8" i="5"/>
  <c r="M8" i="5"/>
  <c r="N7" i="5"/>
  <c r="M7" i="5"/>
  <c r="H8" i="5"/>
  <c r="H7" i="5"/>
  <c r="G8" i="5"/>
  <c r="G7" i="5"/>
  <c r="F8" i="5"/>
  <c r="F7" i="5"/>
  <c r="E8" i="5"/>
  <c r="E7" i="5"/>
  <c r="D8" i="5"/>
  <c r="D7" i="5"/>
  <c r="C8" i="5"/>
  <c r="C7" i="5"/>
  <c r="B8" i="5"/>
  <c r="B7" i="5"/>
  <c r="F2" i="5"/>
  <c r="F3" i="5"/>
  <c r="F4" i="5"/>
  <c r="F1" i="5"/>
  <c r="Q65" i="2"/>
  <c r="G65" i="2" s="1"/>
  <c r="Q64" i="2"/>
  <c r="G64" i="2" s="1"/>
  <c r="M109" i="2" l="1"/>
  <c r="G109" i="2" s="1"/>
  <c r="B111" i="2"/>
  <c r="I109" i="2"/>
  <c r="K109" i="2" s="1"/>
  <c r="Q12" i="5"/>
  <c r="N53" i="2"/>
  <c r="N52" i="2"/>
  <c r="I51" i="2"/>
  <c r="I50" i="2"/>
  <c r="I49" i="2"/>
  <c r="I48" i="2"/>
  <c r="Q7" i="5" s="1"/>
  <c r="L50" i="2" l="1"/>
  <c r="Q9" i="5"/>
  <c r="N49" i="2"/>
  <c r="Q8" i="5"/>
  <c r="L51" i="2"/>
  <c r="Q10" i="5"/>
  <c r="N50" i="2"/>
  <c r="N51" i="2"/>
  <c r="I56" i="2"/>
  <c r="L48" i="2"/>
  <c r="L52" i="2"/>
  <c r="N48" i="2"/>
  <c r="L49" i="2"/>
  <c r="N55" i="2" l="1"/>
  <c r="N56" i="2" s="1"/>
  <c r="L56" i="2"/>
  <c r="V60" i="2" l="1"/>
  <c r="W60" i="2" s="1"/>
  <c r="X60" i="2" l="1"/>
  <c r="N21" i="2"/>
  <c r="O21" i="2" s="1"/>
  <c r="N22" i="2"/>
  <c r="O22" i="2" s="1"/>
  <c r="N23" i="2"/>
  <c r="O23" i="2" s="1"/>
  <c r="N24" i="2"/>
  <c r="O24" i="2" s="1"/>
  <c r="N26" i="2"/>
  <c r="J69" i="2" l="1"/>
  <c r="N69" i="2" s="1"/>
  <c r="J64" i="2"/>
  <c r="N64" i="2" s="1"/>
  <c r="J68" i="2"/>
  <c r="J67" i="2"/>
  <c r="Q67" i="2"/>
  <c r="G67" i="2" s="1"/>
  <c r="N67" i="2" l="1"/>
  <c r="H31" i="2"/>
  <c r="I31" i="2" l="1"/>
  <c r="I30" i="2"/>
  <c r="H30" i="2" l="1"/>
  <c r="G30" i="2" l="1"/>
  <c r="G31" i="2"/>
  <c r="K31" i="2" s="1"/>
  <c r="N20" i="2"/>
  <c r="O20" i="2" s="1"/>
  <c r="N16" i="2"/>
  <c r="O16" i="2" s="1"/>
  <c r="N17" i="2"/>
  <c r="O17" i="2" s="1"/>
  <c r="N18" i="2"/>
  <c r="O18" i="2" s="1"/>
  <c r="N19" i="2"/>
  <c r="O19" i="2" s="1"/>
  <c r="Q68" i="2"/>
  <c r="G68" i="2" s="1"/>
  <c r="N68" i="2" s="1"/>
  <c r="G70" i="2"/>
  <c r="N70" i="2" s="1"/>
  <c r="N7" i="2"/>
  <c r="O7" i="2" s="1"/>
  <c r="O7" i="5" s="1"/>
  <c r="N8" i="2"/>
  <c r="O8" i="2" s="1"/>
  <c r="O8" i="5" s="1"/>
  <c r="N9" i="2"/>
  <c r="O9" i="2" s="1"/>
  <c r="O9" i="5" s="1"/>
  <c r="N10" i="2"/>
  <c r="O10" i="2" s="1"/>
  <c r="O10" i="5" s="1"/>
  <c r="N11" i="2"/>
  <c r="O11" i="2" s="1"/>
  <c r="O11" i="5" s="1"/>
  <c r="N12" i="2"/>
  <c r="O12" i="2" s="1"/>
  <c r="N13" i="2"/>
  <c r="O13" i="2" s="1"/>
  <c r="N14" i="2"/>
  <c r="O14" i="2" s="1"/>
  <c r="N15" i="2"/>
  <c r="O15" i="2" s="1"/>
  <c r="I92" i="2"/>
  <c r="L92" i="2" s="1"/>
  <c r="J65" i="2"/>
  <c r="M27" i="2"/>
  <c r="J27" i="2"/>
  <c r="F77" i="2" s="1"/>
  <c r="N65" i="2" l="1"/>
  <c r="J66" i="2"/>
  <c r="N66" i="2" s="1"/>
  <c r="N77" i="2"/>
  <c r="J30" i="2"/>
  <c r="K30" i="2" s="1"/>
  <c r="L30" i="2" s="1"/>
  <c r="O27" i="2"/>
  <c r="M37" i="2" s="1"/>
  <c r="I95" i="2"/>
  <c r="N92" i="2"/>
  <c r="N71" i="2" l="1"/>
  <c r="M74" i="2" s="1"/>
  <c r="G74" i="2" s="1"/>
  <c r="N81" i="2"/>
  <c r="M84" i="2" s="1"/>
  <c r="G84" i="2" s="1"/>
  <c r="Q38" i="2"/>
  <c r="M39" i="2" s="1"/>
  <c r="N94" i="2"/>
  <c r="N95" i="2" s="1"/>
  <c r="L95" i="2"/>
  <c r="I74" i="2" l="1"/>
  <c r="K74" i="2" s="1"/>
  <c r="I84" i="2"/>
  <c r="K84" i="2" s="1"/>
  <c r="M40" i="2"/>
  <c r="M41" i="2" l="1"/>
  <c r="M43" i="2" s="1"/>
  <c r="G43" i="2" l="1"/>
  <c r="M59" i="2"/>
  <c r="M87" i="2" s="1"/>
  <c r="I43" i="2"/>
  <c r="K43" i="2" s="1"/>
  <c r="G59" i="2" l="1"/>
  <c r="G87" i="2"/>
  <c r="I59" i="2"/>
  <c r="K59" i="2" s="1"/>
  <c r="M98" i="2" l="1"/>
  <c r="G111" i="2" s="1"/>
  <c r="I87" i="2"/>
  <c r="K87" i="2" s="1"/>
  <c r="I98" i="2" l="1"/>
  <c r="K98" i="2" s="1"/>
  <c r="G9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Brayam Tosi:</t>
        </r>
        <r>
          <rPr>
            <sz val="9"/>
            <color indexed="81"/>
            <rFont val="Tahoma"/>
            <family val="2"/>
          </rPr>
          <t xml:space="preserve">
Copiar y pegar (solo valores) del sistema de presupuestacion con precios basicos, antes de copiar eliminar columna de ajuste. IMPORTANTE: 
*tener cuidado con celdas combinadas
*en el caso de copiar nervios de panel de entrepiso agregar en descripcion palabra PRETENSADO </t>
        </r>
      </text>
    </comment>
    <comment ref="B2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Brayam Tosi:</t>
        </r>
        <r>
          <rPr>
            <sz val="9"/>
            <color indexed="81"/>
            <rFont val="Tahoma"/>
            <family val="2"/>
          </rPr>
          <t xml:space="preserve">
Insertar Celdas Intermedias para no romper calculo de tranporte</t>
        </r>
      </text>
    </comment>
    <comment ref="Q6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Brayam Tosi:</t>
        </r>
        <r>
          <rPr>
            <sz val="9"/>
            <color indexed="81"/>
            <rFont val="Tahoma"/>
            <family val="2"/>
          </rPr>
          <t xml:space="preserve">
Controlar que la cantidad de camiones no este en un rango de numero muy cercano al valor entero</t>
        </r>
      </text>
    </comment>
  </commentList>
</comments>
</file>

<file path=xl/sharedStrings.xml><?xml version="1.0" encoding="utf-8"?>
<sst xmlns="http://schemas.openxmlformats.org/spreadsheetml/2006/main" count="286" uniqueCount="147">
  <si>
    <t>Presupuesto N° :</t>
  </si>
  <si>
    <t>Analisis de precios :</t>
  </si>
  <si>
    <t>Variacion</t>
  </si>
  <si>
    <t xml:space="preserve">Ajuste </t>
  </si>
  <si>
    <t>$ /m2</t>
  </si>
  <si>
    <t>$ /ton</t>
  </si>
  <si>
    <t>$ /m3</t>
  </si>
  <si>
    <t>tn.</t>
  </si>
  <si>
    <t>x     $ / tn.</t>
  </si>
  <si>
    <t>Montaje Estandar</t>
  </si>
  <si>
    <t>x    $ / Tn</t>
  </si>
  <si>
    <t>x    $ / km</t>
  </si>
  <si>
    <t>G.G. 10% :</t>
  </si>
  <si>
    <t>Trabajos Complementarios :</t>
  </si>
  <si>
    <t>Elemento</t>
  </si>
  <si>
    <t>Longitud</t>
  </si>
  <si>
    <t>Ancho</t>
  </si>
  <si>
    <t>Med. Total</t>
  </si>
  <si>
    <t>Unid.</t>
  </si>
  <si>
    <t>Peso Unit</t>
  </si>
  <si>
    <t>Peso Total</t>
  </si>
  <si>
    <t>Precio Unit</t>
  </si>
  <si>
    <t>Precio Total</t>
  </si>
  <si>
    <t>Juntas TT Acrilica Exterior</t>
  </si>
  <si>
    <t>Traslado de Fachada</t>
  </si>
  <si>
    <t>Junta Geotextil W</t>
  </si>
  <si>
    <t>m2</t>
  </si>
  <si>
    <t>G.G. T.C. 10%</t>
  </si>
  <si>
    <t>Pieza</t>
  </si>
  <si>
    <t>T.C.</t>
  </si>
  <si>
    <t>Cantidad</t>
  </si>
  <si>
    <t>U.M.</t>
  </si>
  <si>
    <t>Peso</t>
  </si>
  <si>
    <t>Or.</t>
  </si>
  <si>
    <t>Precio</t>
  </si>
  <si>
    <t>Total</t>
  </si>
  <si>
    <t>Peso en Tn.</t>
  </si>
  <si>
    <t>Sup. en M2.</t>
  </si>
  <si>
    <t xml:space="preserve">Precios Pretensa al </t>
  </si>
  <si>
    <r>
      <t>Cliente</t>
    </r>
    <r>
      <rPr>
        <sz val="12"/>
        <rFont val="Calibri"/>
        <family val="2"/>
        <scheme val="minor"/>
      </rPr>
      <t xml:space="preserve"> :</t>
    </r>
  </si>
  <si>
    <r>
      <t>Obra</t>
    </r>
    <r>
      <rPr>
        <sz val="12"/>
        <rFont val="Calibri"/>
        <family val="2"/>
        <scheme val="minor"/>
      </rPr>
      <t xml:space="preserve"> :</t>
    </r>
  </si>
  <si>
    <r>
      <t>Ubicación</t>
    </r>
    <r>
      <rPr>
        <sz val="12"/>
        <rFont val="Calibri"/>
        <family val="2"/>
        <scheme val="minor"/>
      </rPr>
      <t xml:space="preserve"> :</t>
    </r>
  </si>
  <si>
    <t>km.</t>
  </si>
  <si>
    <r>
      <rPr>
        <b/>
        <sz val="10"/>
        <color theme="0"/>
        <rFont val="Calibri"/>
        <family val="2"/>
        <scheme val="minor"/>
      </rPr>
      <t>Cubierta</t>
    </r>
  </si>
  <si>
    <r>
      <rPr>
        <b/>
        <sz val="10"/>
        <color theme="0"/>
        <rFont val="Calibri"/>
        <family val="2"/>
        <scheme val="minor"/>
      </rPr>
      <t>Entrepisos</t>
    </r>
  </si>
  <si>
    <r>
      <rPr>
        <b/>
        <sz val="10"/>
        <color theme="0"/>
        <rFont val="Calibri"/>
        <family val="2"/>
        <scheme val="minor"/>
      </rPr>
      <t>Cerramiento</t>
    </r>
  </si>
  <si>
    <r>
      <rPr>
        <b/>
        <sz val="10"/>
        <color theme="0"/>
        <rFont val="Calibri"/>
        <family val="2"/>
        <scheme val="minor"/>
      </rPr>
      <t>Otros</t>
    </r>
  </si>
  <si>
    <r>
      <rPr>
        <b/>
        <sz val="10"/>
        <color theme="0"/>
        <rFont val="Calibri"/>
        <family val="2"/>
        <scheme val="minor"/>
      </rPr>
      <t>Total</t>
    </r>
  </si>
  <si>
    <t xml:space="preserve">TRANSPORTE PARA </t>
  </si>
  <si>
    <t>Transporte Normal Hasta 13,5 m. :</t>
  </si>
  <si>
    <t>Transporte Normal Hasta 13,5 m Caset. :</t>
  </si>
  <si>
    <t>Transporte Hasta 16 m. :</t>
  </si>
  <si>
    <t>Transporte Hasta 26 m. :</t>
  </si>
  <si>
    <t>Transporte Hasta 30 m. :</t>
  </si>
  <si>
    <t>Ajuste Adiconal</t>
  </si>
  <si>
    <t>CantIdad</t>
  </si>
  <si>
    <t>Piedra Lavada</t>
  </si>
  <si>
    <t>dias</t>
  </si>
  <si>
    <t>Membrana Geotextil s/ Casetonado</t>
  </si>
  <si>
    <t>Variacion Esp. (Entrepiso y Placa)</t>
  </si>
  <si>
    <t>Total Basico</t>
  </si>
  <si>
    <t>SISTEMA DE GESTION INTEGRADO</t>
  </si>
  <si>
    <t>REGISTRO</t>
  </si>
  <si>
    <t>Rev 00</t>
  </si>
  <si>
    <t xml:space="preserve">INSTRUCTIVO PARA COMPLETAR PLANILLA PRESUPUESTACION </t>
  </si>
  <si>
    <t>1.</t>
  </si>
  <si>
    <t>Completar datos:</t>
  </si>
  <si>
    <r>
      <t xml:space="preserve">2. </t>
    </r>
    <r>
      <rPr>
        <u/>
        <sz val="12"/>
        <rFont val="Calibri"/>
        <family val="2"/>
      </rPr>
      <t>Obra:</t>
    </r>
    <r>
      <rPr>
        <sz val="12"/>
        <rFont val="Calibri"/>
        <family val="2"/>
      </rPr>
      <t xml:space="preserve"> Nombre de la obra solicitada</t>
    </r>
  </si>
  <si>
    <r>
      <t xml:space="preserve">1. </t>
    </r>
    <r>
      <rPr>
        <u/>
        <sz val="12"/>
        <rFont val="Calibri"/>
        <family val="2"/>
      </rPr>
      <t>Nombre cliente:</t>
    </r>
    <r>
      <rPr>
        <sz val="12"/>
        <rFont val="Calibri"/>
        <family val="2"/>
      </rPr>
      <t xml:space="preserve"> Nombre de empresa/profesional que solicita el presupuesto. En caso de personas físicas 
solicitando presupuestos en nombre de empresas, indicar siempre el nombre de la misma.</t>
    </r>
  </si>
  <si>
    <r>
      <t xml:space="preserve">3. </t>
    </r>
    <r>
      <rPr>
        <u/>
        <sz val="12"/>
        <rFont val="Calibri"/>
        <family val="2"/>
      </rPr>
      <t>Ubicación:</t>
    </r>
    <r>
      <rPr>
        <sz val="12"/>
        <rFont val="Calibri"/>
        <family val="2"/>
      </rPr>
      <t xml:space="preserve"> Localidad y provincia donde se ubicará la obra.</t>
    </r>
  </si>
  <si>
    <r>
      <t xml:space="preserve">4. </t>
    </r>
    <r>
      <rPr>
        <u/>
        <sz val="12"/>
        <rFont val="Calibri"/>
        <family val="2"/>
      </rPr>
      <t>N°:</t>
    </r>
    <r>
      <rPr>
        <sz val="12"/>
        <rFont val="Calibri"/>
        <family val="2"/>
      </rPr>
      <t xml:space="preserve"> Número de presupuesto otorgado por sistema de presupuestación.</t>
    </r>
  </si>
  <si>
    <t>*tener cuidado con celdas combinadas</t>
  </si>
  <si>
    <t xml:space="preserve">*en el caso de copiar nervios de panel de entrepiso agregar en descripcion palabra PRETENSADO </t>
  </si>
  <si>
    <t xml:space="preserve">Copiar y pegar (solo valores) del sistema de presupuestacion con precios basicos, antes de copiar eliminar columna de ajuste. </t>
  </si>
  <si>
    <t xml:space="preserve">IMPORTANTE: </t>
  </si>
  <si>
    <t>3.</t>
  </si>
  <si>
    <t>Tener cuidado al copiar, no reemplazar celdas en gris.</t>
  </si>
  <si>
    <t>4.</t>
  </si>
  <si>
    <r>
      <t xml:space="preserve">A partir de analisis de precio, solo modificar/ tipear las celdas en </t>
    </r>
    <r>
      <rPr>
        <sz val="11"/>
        <color rgb="FFFF0000"/>
        <rFont val="Calibri"/>
        <family val="2"/>
        <scheme val="minor"/>
      </rPr>
      <t>ROJO</t>
    </r>
  </si>
  <si>
    <t>5.</t>
  </si>
  <si>
    <t>Tn/m2</t>
  </si>
  <si>
    <t>Subtotal Ajuste</t>
  </si>
  <si>
    <t>Subtotal Ajuste Adicional</t>
  </si>
  <si>
    <t>Kilometros</t>
  </si>
  <si>
    <t>Hasta 13,5 Mts.</t>
  </si>
  <si>
    <t>Hasta 16 Mts.</t>
  </si>
  <si>
    <t>Hasta 26 Mts.</t>
  </si>
  <si>
    <t>Hasta 30 Mts.</t>
  </si>
  <si>
    <t>Local</t>
  </si>
  <si>
    <t>x    $ / Dia</t>
  </si>
  <si>
    <t>Montaje por Dia (Cuadrilla + Grúa)</t>
  </si>
  <si>
    <t xml:space="preserve">Verificar que coincidan Peso y Superficie de la planilla con tabla del sistema de presupuestacion </t>
  </si>
  <si>
    <t xml:space="preserve"> 1 - Aforo de carga 26 Ton. </t>
  </si>
  <si>
    <t xml:space="preserve"> 2 - Local Viviendas 12 % sobre tarifa convencional</t>
  </si>
  <si>
    <t xml:space="preserve"> 3 - Cargas mayores a 13,50 Mts. 40 % + sobre tarifa convencional.</t>
  </si>
  <si>
    <t xml:space="preserve"> 4 - Cargas mayores a 16,00 Mts. 60 % sobre tarifa convencional</t>
  </si>
  <si>
    <t xml:space="preserve">  5 - Uso de Semirremolque de la empresa con carga normal,13 % Descuento sobre tarifa.</t>
  </si>
  <si>
    <t xml:space="preserve"> 6 - Tarifa : Córdoba - Buenos Aires, o viceversa 10 % de descuento excepto cargas especiales.</t>
  </si>
  <si>
    <t xml:space="preserve"> 7 - Tarifa no incluye iva y seguro de carga, el aseguro o autoaseguro queda a criterio y por cuenta de la empresa .-  </t>
  </si>
  <si>
    <t>SEGURO DE CARGA OPCIONAL 2,7 X 1.000 IVA INCL.</t>
  </si>
  <si>
    <t xml:space="preserve"> 8 -  Se  cobra  adicional  por  demora  cargas convencional y especial  por día 50 % de valor de viaje urbano con 26 ton. Respectivamente ,</t>
  </si>
  <si>
    <t xml:space="preserve">      a parir de 36 hs.</t>
  </si>
  <si>
    <t>9 -  Se cobra adicional 10 % en cargas que superen 2,6 mts. Ancho, excepto en cargas largas.</t>
  </si>
  <si>
    <t>BASICO</t>
  </si>
  <si>
    <t>Trabajos Complementarios II :</t>
  </si>
  <si>
    <t>CANTIDAD DE CAMIONES REALES</t>
  </si>
  <si>
    <t xml:space="preserve">SUBTOTAL MATERIALES </t>
  </si>
  <si>
    <t>SI</t>
  </si>
  <si>
    <t>Luceras</t>
  </si>
  <si>
    <t>Descripcion</t>
  </si>
  <si>
    <t>Traslado de grúa</t>
  </si>
  <si>
    <t>Montaje por Dia (Grúa Adicional)</t>
  </si>
  <si>
    <t>Transporte Mayor 30 m. :</t>
  </si>
  <si>
    <t>NO</t>
  </si>
  <si>
    <t xml:space="preserve"> Montaje:</t>
  </si>
  <si>
    <t xml:space="preserve">TOTAL TRANSPORTE  </t>
  </si>
  <si>
    <t xml:space="preserve">TOTAL MONTAJE </t>
  </si>
  <si>
    <t xml:space="preserve">Transporte desde </t>
  </si>
  <si>
    <t>CÓRDOBA</t>
  </si>
  <si>
    <t>BUENOS AIRES</t>
  </si>
  <si>
    <t>Llaneado Mecanico</t>
  </si>
  <si>
    <t>TARIFA VIGENCIA 1,02,25 - actual 2,60 %</t>
  </si>
  <si>
    <t>ml</t>
  </si>
  <si>
    <t>Losas Alevolares:</t>
  </si>
  <si>
    <t>TOTAL LOSA ALVEOLAR :</t>
  </si>
  <si>
    <t>Transporte Normal Hasta 13,5 m Losa Alveolar :</t>
  </si>
  <si>
    <t xml:space="preserve">G.G. </t>
  </si>
  <si>
    <t>TOTAL PRETENSA</t>
  </si>
  <si>
    <t>TOTAL MATERIALES</t>
  </si>
  <si>
    <t>TOTAL GENERAL PRETENSA</t>
  </si>
  <si>
    <t>LOSA ALVEOLAR CORBLOCK</t>
  </si>
  <si>
    <t>ABRIL</t>
  </si>
  <si>
    <t>COLUMNA 40 x 40 (TRIBUNA)</t>
  </si>
  <si>
    <t>MT</t>
  </si>
  <si>
    <t>CO</t>
  </si>
  <si>
    <t>PANEL GRADAS (2 ESCALONES</t>
  </si>
  <si>
    <t>PANEL GRADAS (3 ESCALONES</t>
  </si>
  <si>
    <t>PANEL GRADAS (5 ESCALONES</t>
  </si>
  <si>
    <t>PANEL TT 30 PRETENSADO (x</t>
  </si>
  <si>
    <t>M2</t>
  </si>
  <si>
    <t>PLACA PLANA ESPESOR 0.12 m.</t>
  </si>
  <si>
    <t>VIGA RECTANGULAR 10 x 40</t>
  </si>
  <si>
    <t>VIGA RECTANGULAR 40 x 60</t>
  </si>
  <si>
    <t>MUNDO CONSTRUCCIONES S.A.</t>
  </si>
  <si>
    <t xml:space="preserve">Centro de Alto Rendimiento Deportivo (C.A.R.D.) </t>
  </si>
  <si>
    <t>SANTA FE - SANTA FE.</t>
  </si>
  <si>
    <t xml:space="preserve">10440-1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</si>
</sst>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00"/>
    <numFmt numFmtId="165" formatCode="&quot;$&quot;\ #,##0.00"/>
    <numFmt numFmtId="166" formatCode="&quot;$&quot;#,##0"/>
    <numFmt numFmtId="167" formatCode="_-&quot;$&quot;* #,##0_-;\-&quot;$&quot;* #,##0_-;_-&quot;$&quot;* &quot;-&quot;_-;_-@_-"/>
    <numFmt numFmtId="168" formatCode="_ * #,##0.00_ ;_ * \-#,##0.00_ ;_ * &quot;-&quot;??_ ;_ @_ "/>
    <numFmt numFmtId="169" formatCode="_ [$€]\ * #,##0.00_ ;_ [$€]\ * \-#,##0.00_ ;_ [$€]\ * &quot;-&quot;??_ ;_ @_ "/>
    <numFmt numFmtId="170" formatCode="_-* #,##0.00\ _€_-;\-* #,##0.00\ _€_-;_-* &quot;-&quot;??\ _€_-;_-@_-"/>
    <numFmt numFmtId="171" formatCode="0.0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b/>
      <u/>
      <sz val="12"/>
      <name val="Arial"/>
      <family val="2"/>
    </font>
    <font>
      <b/>
      <sz val="20"/>
      <color indexed="10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7" tint="0.399975585192419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Times New Roman"/>
      <family val="1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name val="Calibri"/>
      <family val="2"/>
      <scheme val="minor"/>
    </font>
    <font>
      <u/>
      <sz val="12"/>
      <name val="Calibri"/>
      <family val="2"/>
    </font>
    <font>
      <sz val="12"/>
      <name val="Calibri"/>
      <family val="2"/>
    </font>
    <font>
      <b/>
      <i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2"/>
      <color rgb="FFFF0000"/>
      <name val="Calibri"/>
      <family val="2"/>
    </font>
    <font>
      <b/>
      <sz val="14"/>
      <color theme="0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indexed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5B9BD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7">
    <xf numFmtId="0" fontId="0" fillId="0" borderId="0" xfId="0"/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0" fillId="0" borderId="0" xfId="0" applyNumberFormat="1" applyFont="1"/>
    <xf numFmtId="0" fontId="13" fillId="0" borderId="0" xfId="0" applyFont="1"/>
    <xf numFmtId="0" fontId="0" fillId="0" borderId="0" xfId="0" applyAlignment="1">
      <alignment horizontal="center"/>
    </xf>
    <xf numFmtId="166" fontId="6" fillId="0" borderId="0" xfId="0" applyNumberFormat="1" applyFont="1" applyAlignment="1">
      <alignment horizontal="center"/>
    </xf>
    <xf numFmtId="0" fontId="14" fillId="0" borderId="0" xfId="0" applyFont="1"/>
    <xf numFmtId="165" fontId="6" fillId="0" borderId="0" xfId="0" applyNumberFormat="1" applyFont="1" applyAlignment="1">
      <alignment horizontal="center"/>
    </xf>
    <xf numFmtId="0" fontId="14" fillId="0" borderId="0" xfId="4" applyFont="1" applyFill="1" applyBorder="1" applyAlignment="1">
      <alignment horizontal="center" vertical="top"/>
    </xf>
    <xf numFmtId="0" fontId="18" fillId="0" borderId="0" xfId="0" applyFont="1" applyAlignment="1">
      <alignment horizontal="left" indent="2"/>
    </xf>
    <xf numFmtId="44" fontId="2" fillId="0" borderId="0" xfId="1" applyFont="1" applyFill="1" applyBorder="1" applyAlignment="1">
      <alignment horizontal="center" vertical="top"/>
    </xf>
    <xf numFmtId="0" fontId="2" fillId="2" borderId="1" xfId="4" applyFont="1" applyBorder="1" applyAlignment="1">
      <alignment horizontal="center" vertical="top"/>
    </xf>
    <xf numFmtId="0" fontId="16" fillId="2" borderId="1" xfId="4" applyFont="1" applyBorder="1" applyAlignment="1">
      <alignment horizontal="center" vertical="top"/>
    </xf>
    <xf numFmtId="0" fontId="16" fillId="3" borderId="1" xfId="4" applyFont="1" applyFill="1" applyBorder="1" applyAlignment="1">
      <alignment horizontal="center" vertical="top"/>
    </xf>
    <xf numFmtId="2" fontId="21" fillId="0" borderId="1" xfId="0" applyNumberFormat="1" applyFont="1" applyBorder="1" applyAlignment="1">
      <alignment horizontal="right" vertical="top" shrinkToFit="1"/>
    </xf>
    <xf numFmtId="0" fontId="9" fillId="0" borderId="0" xfId="0" applyFont="1" applyAlignment="1">
      <alignment horizontal="center"/>
    </xf>
    <xf numFmtId="0" fontId="0" fillId="0" borderId="5" xfId="0" applyBorder="1"/>
    <xf numFmtId="0" fontId="14" fillId="0" borderId="5" xfId="0" applyFont="1" applyBorder="1"/>
    <xf numFmtId="2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4" fillId="0" borderId="5" xfId="0" applyFont="1" applyBorder="1"/>
    <xf numFmtId="0" fontId="11" fillId="0" borderId="0" xfId="0" applyFont="1" applyAlignment="1">
      <alignment horizontal="center"/>
    </xf>
    <xf numFmtId="0" fontId="4" fillId="0" borderId="0" xfId="0" applyFont="1"/>
    <xf numFmtId="44" fontId="2" fillId="2" borderId="1" xfId="1" applyFont="1" applyFill="1" applyBorder="1" applyAlignment="1">
      <alignment horizontal="center" vertical="top"/>
    </xf>
    <xf numFmtId="0" fontId="4" fillId="0" borderId="0" xfId="0" applyFont="1" applyAlignment="1">
      <alignment horizontal="center"/>
    </xf>
    <xf numFmtId="2" fontId="2" fillId="2" borderId="4" xfId="4" applyNumberFormat="1" applyFont="1" applyBorder="1" applyAlignment="1">
      <alignment horizontal="center" vertical="top"/>
    </xf>
    <xf numFmtId="0" fontId="16" fillId="2" borderId="13" xfId="4" applyFont="1" applyBorder="1" applyAlignment="1">
      <alignment horizontal="center" vertical="top"/>
    </xf>
    <xf numFmtId="44" fontId="16" fillId="2" borderId="1" xfId="1" applyFont="1" applyFill="1" applyBorder="1" applyAlignment="1">
      <alignment horizontal="center" vertical="top"/>
    </xf>
    <xf numFmtId="44" fontId="0" fillId="0" borderId="0" xfId="1" applyFont="1" applyAlignment="1"/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horizontal="left" vertical="top"/>
    </xf>
    <xf numFmtId="0" fontId="22" fillId="0" borderId="0" xfId="0" applyFont="1"/>
    <xf numFmtId="0" fontId="4" fillId="0" borderId="0" xfId="0" applyFont="1" applyAlignment="1">
      <alignment horizontal="left" vertical="center"/>
    </xf>
    <xf numFmtId="2" fontId="21" fillId="0" borderId="1" xfId="0" applyNumberFormat="1" applyFont="1" applyBorder="1" applyAlignment="1">
      <alignment horizontal="center" vertical="center" shrinkToFit="1"/>
    </xf>
    <xf numFmtId="168" fontId="6" fillId="8" borderId="22" xfId="5" applyFont="1" applyFill="1" applyBorder="1"/>
    <xf numFmtId="0" fontId="7" fillId="8" borderId="23" xfId="6" applyNumberFormat="1" applyFont="1" applyFill="1" applyBorder="1"/>
    <xf numFmtId="168" fontId="6" fillId="6" borderId="29" xfId="5" applyFont="1" applyFill="1" applyBorder="1" applyAlignment="1">
      <alignment horizontal="center"/>
    </xf>
    <xf numFmtId="168" fontId="6" fillId="6" borderId="28" xfId="5" applyFont="1" applyFill="1" applyBorder="1" applyAlignment="1">
      <alignment horizontal="center"/>
    </xf>
    <xf numFmtId="170" fontId="6" fillId="6" borderId="28" xfId="7" applyFont="1" applyFill="1" applyBorder="1" applyAlignment="1">
      <alignment horizontal="center"/>
    </xf>
    <xf numFmtId="170" fontId="6" fillId="6" borderId="30" xfId="7" applyFont="1" applyFill="1" applyBorder="1" applyAlignment="1">
      <alignment horizontal="center"/>
    </xf>
    <xf numFmtId="0" fontId="7" fillId="8" borderId="24" xfId="6" applyNumberFormat="1" applyFont="1" applyFill="1" applyBorder="1"/>
    <xf numFmtId="168" fontId="33" fillId="0" borderId="31" xfId="5" applyFont="1" applyBorder="1" applyAlignment="1">
      <alignment horizontal="center"/>
    </xf>
    <xf numFmtId="168" fontId="33" fillId="0" borderId="32" xfId="5" applyFont="1" applyBorder="1" applyAlignment="1">
      <alignment horizontal="center"/>
    </xf>
    <xf numFmtId="168" fontId="33" fillId="0" borderId="33" xfId="5" applyFont="1" applyBorder="1" applyAlignment="1">
      <alignment horizontal="center" vertical="center"/>
    </xf>
    <xf numFmtId="2" fontId="3" fillId="0" borderId="27" xfId="0" applyNumberFormat="1" applyFont="1" applyBorder="1" applyAlignment="1" applyProtection="1">
      <alignment horizontal="center" vertical="center"/>
      <protection locked="0"/>
    </xf>
    <xf numFmtId="2" fontId="3" fillId="0" borderId="28" xfId="0" applyNumberFormat="1" applyFont="1" applyBorder="1" applyAlignment="1" applyProtection="1">
      <alignment horizontal="center" vertical="center"/>
      <protection locked="0"/>
    </xf>
    <xf numFmtId="164" fontId="3" fillId="0" borderId="27" xfId="0" applyNumberFormat="1" applyFont="1" applyBorder="1" applyAlignment="1" applyProtection="1">
      <alignment horizontal="center" vertical="center"/>
      <protection locked="0"/>
    </xf>
    <xf numFmtId="164" fontId="3" fillId="0" borderId="28" xfId="0" applyNumberFormat="1" applyFont="1" applyBorder="1" applyAlignment="1" applyProtection="1">
      <alignment horizontal="center" vertical="center"/>
      <protection locked="0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horizontal="center" vertical="center"/>
      <protection locked="0"/>
    </xf>
    <xf numFmtId="2" fontId="3" fillId="0" borderId="1" xfId="0" applyNumberFormat="1" applyFont="1" applyBorder="1" applyAlignment="1" applyProtection="1">
      <alignment horizontal="right" vertical="top" shrinkToFit="1"/>
      <protection locked="0"/>
    </xf>
    <xf numFmtId="0" fontId="17" fillId="0" borderId="0" xfId="0" applyFont="1" applyProtection="1">
      <protection locked="0"/>
    </xf>
    <xf numFmtId="0" fontId="0" fillId="0" borderId="0" xfId="0" applyProtection="1">
      <protection locked="0"/>
    </xf>
    <xf numFmtId="2" fontId="34" fillId="5" borderId="1" xfId="0" applyNumberFormat="1" applyFont="1" applyFill="1" applyBorder="1" applyAlignment="1">
      <alignment horizontal="right" vertical="top" shrinkToFit="1"/>
    </xf>
    <xf numFmtId="2" fontId="24" fillId="7" borderId="0" xfId="0" applyNumberFormat="1" applyFont="1" applyFill="1" applyAlignment="1" applyProtection="1">
      <alignment horizontal="left"/>
      <protection hidden="1"/>
    </xf>
    <xf numFmtId="0" fontId="0" fillId="0" borderId="0" xfId="0" applyProtection="1">
      <protection hidden="1"/>
    </xf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28" xfId="0" applyNumberFormat="1" applyBorder="1" applyAlignment="1" applyProtection="1">
      <alignment horizontal="center" vertical="center"/>
      <protection locked="0"/>
    </xf>
    <xf numFmtId="2" fontId="7" fillId="0" borderId="28" xfId="0" applyNumberFormat="1" applyFont="1" applyBorder="1" applyAlignment="1" applyProtection="1">
      <alignment horizontal="center" vertical="center"/>
      <protection locked="0"/>
    </xf>
    <xf numFmtId="43" fontId="0" fillId="0" borderId="0" xfId="8" applyFont="1" applyBorder="1"/>
    <xf numFmtId="43" fontId="0" fillId="0" borderId="0" xfId="8" applyFont="1" applyBorder="1" applyAlignment="1">
      <alignment horizontal="left"/>
    </xf>
    <xf numFmtId="43" fontId="7" fillId="0" borderId="0" xfId="8" applyFont="1" applyAlignment="1">
      <alignment horizontal="left"/>
    </xf>
    <xf numFmtId="0" fontId="0" fillId="0" borderId="0" xfId="0" applyAlignment="1">
      <alignment horizontal="left"/>
    </xf>
    <xf numFmtId="43" fontId="0" fillId="0" borderId="0" xfId="8" applyFont="1" applyAlignment="1">
      <alignment horizontal="left"/>
    </xf>
    <xf numFmtId="43" fontId="4" fillId="0" borderId="0" xfId="8" applyFont="1" applyAlignment="1">
      <alignment horizontal="left"/>
    </xf>
    <xf numFmtId="0" fontId="16" fillId="2" borderId="9" xfId="4" applyFont="1" applyBorder="1" applyAlignment="1">
      <alignment horizontal="center" vertical="top"/>
    </xf>
    <xf numFmtId="0" fontId="14" fillId="0" borderId="2" xfId="0" applyFont="1" applyBorder="1" applyAlignment="1" applyProtection="1">
      <alignment horizontal="left" vertical="top"/>
      <protection locked="0" hidden="1"/>
    </xf>
    <xf numFmtId="0" fontId="14" fillId="0" borderId="2" xfId="0" applyFont="1" applyBorder="1" applyAlignment="1" applyProtection="1">
      <alignment horizontal="center" vertical="top"/>
      <protection locked="0" hidden="1"/>
    </xf>
    <xf numFmtId="1" fontId="21" fillId="0" borderId="2" xfId="0" applyNumberFormat="1" applyFont="1" applyBorder="1" applyAlignment="1" applyProtection="1">
      <alignment horizontal="center" vertical="top" shrinkToFit="1"/>
      <protection locked="0" hidden="1"/>
    </xf>
    <xf numFmtId="164" fontId="21" fillId="0" borderId="2" xfId="0" applyNumberFormat="1" applyFont="1" applyBorder="1" applyAlignment="1" applyProtection="1">
      <alignment horizontal="right" vertical="top" shrinkToFit="1"/>
      <protection locked="0" hidden="1"/>
    </xf>
    <xf numFmtId="2" fontId="21" fillId="0" borderId="2" xfId="0" applyNumberFormat="1" applyFont="1" applyBorder="1" applyAlignment="1" applyProtection="1">
      <alignment horizontal="right" vertical="top" shrinkToFit="1"/>
      <protection locked="0" hidden="1"/>
    </xf>
    <xf numFmtId="9" fontId="21" fillId="6" borderId="2" xfId="3" applyFont="1" applyFill="1" applyBorder="1" applyAlignment="1" applyProtection="1">
      <alignment horizontal="right" vertical="top" shrinkToFit="1"/>
      <protection hidden="1"/>
    </xf>
    <xf numFmtId="44" fontId="21" fillId="6" borderId="2" xfId="1" applyFont="1" applyFill="1" applyBorder="1" applyAlignment="1" applyProtection="1">
      <alignment horizontal="right" vertical="top" shrinkToFit="1"/>
      <protection hidden="1"/>
    </xf>
    <xf numFmtId="0" fontId="14" fillId="0" borderId="3" xfId="0" applyFont="1" applyBorder="1" applyAlignment="1" applyProtection="1">
      <alignment horizontal="left" vertical="top"/>
      <protection locked="0" hidden="1"/>
    </xf>
    <xf numFmtId="0" fontId="14" fillId="0" borderId="3" xfId="0" applyFont="1" applyBorder="1" applyAlignment="1" applyProtection="1">
      <alignment horizontal="center" vertical="top"/>
      <protection locked="0" hidden="1"/>
    </xf>
    <xf numFmtId="1" fontId="21" fillId="0" borderId="3" xfId="0" applyNumberFormat="1" applyFont="1" applyBorder="1" applyAlignment="1" applyProtection="1">
      <alignment horizontal="center" vertical="top" shrinkToFit="1"/>
      <protection locked="0" hidden="1"/>
    </xf>
    <xf numFmtId="164" fontId="21" fillId="0" borderId="3" xfId="0" applyNumberFormat="1" applyFont="1" applyBorder="1" applyAlignment="1" applyProtection="1">
      <alignment horizontal="right" vertical="top" shrinkToFit="1"/>
      <protection locked="0" hidden="1"/>
    </xf>
    <xf numFmtId="2" fontId="21" fillId="0" borderId="3" xfId="0" applyNumberFormat="1" applyFont="1" applyBorder="1" applyAlignment="1" applyProtection="1">
      <alignment horizontal="right" vertical="top" shrinkToFit="1"/>
      <protection locked="0" hidden="1"/>
    </xf>
    <xf numFmtId="9" fontId="21" fillId="6" borderId="3" xfId="3" applyFont="1" applyFill="1" applyBorder="1" applyAlignment="1" applyProtection="1">
      <alignment horizontal="right" vertical="top" shrinkToFit="1"/>
      <protection hidden="1"/>
    </xf>
    <xf numFmtId="44" fontId="21" fillId="6" borderId="3" xfId="1" applyFont="1" applyFill="1" applyBorder="1" applyAlignment="1" applyProtection="1">
      <alignment horizontal="right" vertical="top" shrinkToFit="1"/>
      <protection hidden="1"/>
    </xf>
    <xf numFmtId="0" fontId="14" fillId="0" borderId="4" xfId="0" applyFont="1" applyBorder="1" applyAlignment="1" applyProtection="1">
      <alignment horizontal="left" vertical="top"/>
      <protection locked="0" hidden="1"/>
    </xf>
    <xf numFmtId="0" fontId="14" fillId="0" borderId="4" xfId="0" applyFont="1" applyBorder="1" applyAlignment="1" applyProtection="1">
      <alignment horizontal="center" vertical="top"/>
      <protection locked="0" hidden="1"/>
    </xf>
    <xf numFmtId="1" fontId="21" fillId="0" borderId="4" xfId="0" applyNumberFormat="1" applyFont="1" applyBorder="1" applyAlignment="1" applyProtection="1">
      <alignment horizontal="center" vertical="top" shrinkToFit="1"/>
      <protection locked="0" hidden="1"/>
    </xf>
    <xf numFmtId="164" fontId="21" fillId="0" borderId="4" xfId="0" applyNumberFormat="1" applyFont="1" applyBorder="1" applyAlignment="1" applyProtection="1">
      <alignment horizontal="right" vertical="top" shrinkToFit="1"/>
      <protection locked="0" hidden="1"/>
    </xf>
    <xf numFmtId="2" fontId="21" fillId="0" borderId="4" xfId="0" applyNumberFormat="1" applyFont="1" applyBorder="1" applyAlignment="1" applyProtection="1">
      <alignment horizontal="right" vertical="top" shrinkToFit="1"/>
      <protection locked="0" hidden="1"/>
    </xf>
    <xf numFmtId="2" fontId="3" fillId="0" borderId="19" xfId="0" applyNumberFormat="1" applyFont="1" applyBorder="1" applyAlignment="1" applyProtection="1">
      <alignment horizontal="center"/>
      <protection locked="0"/>
    </xf>
    <xf numFmtId="2" fontId="14" fillId="0" borderId="0" xfId="0" applyNumberFormat="1" applyFont="1" applyAlignment="1">
      <alignment horizontal="center" vertical="center"/>
    </xf>
    <xf numFmtId="0" fontId="15" fillId="0" borderId="0" xfId="0" applyFont="1"/>
    <xf numFmtId="2" fontId="14" fillId="0" borderId="2" xfId="0" applyNumberFormat="1" applyFont="1" applyBorder="1" applyAlignment="1" applyProtection="1">
      <alignment horizontal="center" vertical="top"/>
      <protection locked="0" hidden="1"/>
    </xf>
    <xf numFmtId="2" fontId="14" fillId="0" borderId="3" xfId="0" applyNumberFormat="1" applyFont="1" applyBorder="1" applyAlignment="1" applyProtection="1">
      <alignment horizontal="center" vertical="top"/>
      <protection locked="0" hidden="1"/>
    </xf>
    <xf numFmtId="0" fontId="14" fillId="0" borderId="2" xfId="0" applyFont="1" applyBorder="1" applyAlignment="1" applyProtection="1">
      <alignment horizontal="left" vertical="top" wrapText="1"/>
      <protection locked="0"/>
    </xf>
    <xf numFmtId="164" fontId="21" fillId="0" borderId="2" xfId="0" applyNumberFormat="1" applyFont="1" applyBorder="1" applyAlignment="1" applyProtection="1">
      <alignment horizontal="right" vertical="top" shrinkToFit="1"/>
      <protection locked="0"/>
    </xf>
    <xf numFmtId="2" fontId="21" fillId="0" borderId="2" xfId="0" applyNumberFormat="1" applyFont="1" applyBorder="1" applyAlignment="1" applyProtection="1">
      <alignment horizontal="right" vertical="top" shrinkToFit="1"/>
      <protection locked="0"/>
    </xf>
    <xf numFmtId="0" fontId="14" fillId="0" borderId="3" xfId="0" applyFont="1" applyBorder="1" applyAlignment="1" applyProtection="1">
      <alignment horizontal="left" vertical="top" wrapText="1"/>
      <protection locked="0"/>
    </xf>
    <xf numFmtId="164" fontId="21" fillId="0" borderId="3" xfId="0" applyNumberFormat="1" applyFont="1" applyBorder="1" applyAlignment="1" applyProtection="1">
      <alignment horizontal="right" vertical="top" shrinkToFit="1"/>
      <protection locked="0"/>
    </xf>
    <xf numFmtId="2" fontId="21" fillId="0" borderId="3" xfId="0" applyNumberFormat="1" applyFont="1" applyBorder="1" applyAlignment="1" applyProtection="1">
      <alignment horizontal="right" vertical="top" shrinkToFit="1"/>
      <protection locked="0"/>
    </xf>
    <xf numFmtId="44" fontId="6" fillId="0" borderId="0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top"/>
    </xf>
    <xf numFmtId="2" fontId="24" fillId="0" borderId="0" xfId="0" applyNumberFormat="1" applyFont="1" applyAlignment="1" applyProtection="1">
      <alignment horizontal="center"/>
      <protection hidden="1"/>
    </xf>
    <xf numFmtId="0" fontId="14" fillId="0" borderId="2" xfId="0" applyFont="1" applyBorder="1" applyAlignment="1" applyProtection="1">
      <alignment horizontal="center" vertical="top" wrapText="1"/>
      <protection locked="0"/>
    </xf>
    <xf numFmtId="0" fontId="14" fillId="0" borderId="3" xfId="0" applyFont="1" applyBorder="1" applyAlignment="1" applyProtection="1">
      <alignment horizontal="center" vertical="top" wrapText="1"/>
      <protection locked="0"/>
    </xf>
    <xf numFmtId="1" fontId="21" fillId="0" borderId="2" xfId="0" applyNumberFormat="1" applyFont="1" applyBorder="1" applyAlignment="1" applyProtection="1">
      <alignment horizontal="center" vertical="center" shrinkToFit="1"/>
      <protection locked="0"/>
    </xf>
    <xf numFmtId="1" fontId="21" fillId="0" borderId="3" xfId="0" applyNumberFormat="1" applyFont="1" applyBorder="1" applyAlignment="1" applyProtection="1">
      <alignment horizontal="center" vertical="center" shrinkToFit="1"/>
      <protection locked="0"/>
    </xf>
    <xf numFmtId="1" fontId="21" fillId="0" borderId="3" xfId="0" applyNumberFormat="1" applyFont="1" applyBorder="1" applyAlignment="1" applyProtection="1">
      <alignment horizontal="center" vertical="center" shrinkToFit="1"/>
      <protection locked="0" hidden="1"/>
    </xf>
    <xf numFmtId="171" fontId="37" fillId="0" borderId="1" xfId="0" applyNumberFormat="1" applyFont="1" applyBorder="1" applyAlignment="1">
      <alignment horizontal="right" vertical="top" shrinkToFit="1"/>
    </xf>
    <xf numFmtId="171" fontId="37" fillId="0" borderId="1" xfId="0" applyNumberFormat="1" applyFont="1" applyBorder="1" applyAlignment="1">
      <alignment vertical="top" shrinkToFit="1"/>
    </xf>
    <xf numFmtId="171" fontId="37" fillId="0" borderId="1" xfId="0" applyNumberFormat="1" applyFont="1" applyBorder="1" applyAlignment="1">
      <alignment horizontal="center" vertical="top" shrinkToFit="1"/>
    </xf>
    <xf numFmtId="2" fontId="7" fillId="0" borderId="28" xfId="0" applyNumberFormat="1" applyFont="1" applyBorder="1" applyAlignment="1">
      <alignment horizontal="center" vertical="center"/>
    </xf>
    <xf numFmtId="9" fontId="39" fillId="0" borderId="6" xfId="3" applyFont="1" applyBorder="1" applyAlignment="1" applyProtection="1">
      <alignment vertical="center"/>
      <protection locked="0"/>
    </xf>
    <xf numFmtId="0" fontId="16" fillId="10" borderId="9" xfId="4" applyFont="1" applyFill="1" applyBorder="1" applyAlignment="1">
      <alignment horizontal="center" vertical="top"/>
    </xf>
    <xf numFmtId="2" fontId="2" fillId="10" borderId="4" xfId="4" applyNumberFormat="1" applyFont="1" applyFill="1" applyBorder="1" applyAlignment="1">
      <alignment horizontal="center" vertical="top"/>
    </xf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/>
    </xf>
    <xf numFmtId="0" fontId="28" fillId="0" borderId="21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2" fontId="28" fillId="0" borderId="22" xfId="0" applyNumberFormat="1" applyFont="1" applyBorder="1" applyAlignment="1">
      <alignment horizontal="center" wrapText="1"/>
    </xf>
    <xf numFmtId="2" fontId="28" fillId="0" borderId="24" xfId="0" applyNumberFormat="1" applyFont="1" applyBorder="1" applyAlignment="1">
      <alignment horizont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24" xfId="0" applyFont="1" applyBorder="1" applyAlignment="1">
      <alignment horizontal="center"/>
    </xf>
    <xf numFmtId="44" fontId="2" fillId="10" borderId="11" xfId="1" applyFont="1" applyFill="1" applyBorder="1" applyAlignment="1">
      <alignment horizontal="center" vertical="top"/>
    </xf>
    <xf numFmtId="44" fontId="2" fillId="10" borderId="12" xfId="1" applyFont="1" applyFill="1" applyBorder="1" applyAlignment="1">
      <alignment horizontal="center" vertical="top"/>
    </xf>
    <xf numFmtId="0" fontId="2" fillId="10" borderId="7" xfId="4" applyFont="1" applyFill="1" applyBorder="1" applyAlignment="1">
      <alignment horizontal="center" vertical="top"/>
    </xf>
    <xf numFmtId="0" fontId="2" fillId="10" borderId="6" xfId="4" applyFont="1" applyFill="1" applyBorder="1" applyAlignment="1">
      <alignment horizontal="center" vertical="top"/>
    </xf>
    <xf numFmtId="0" fontId="2" fillId="10" borderId="8" xfId="4" applyFont="1" applyFill="1" applyBorder="1" applyAlignment="1">
      <alignment horizontal="center" vertical="top"/>
    </xf>
    <xf numFmtId="44" fontId="6" fillId="0" borderId="7" xfId="1" applyFont="1" applyFill="1" applyBorder="1" applyAlignment="1">
      <alignment horizontal="center"/>
    </xf>
    <xf numFmtId="44" fontId="6" fillId="0" borderId="6" xfId="1" applyFont="1" applyFill="1" applyBorder="1" applyAlignment="1">
      <alignment horizontal="center"/>
    </xf>
    <xf numFmtId="44" fontId="38" fillId="11" borderId="7" xfId="1" applyFont="1" applyFill="1" applyBorder="1" applyAlignment="1">
      <alignment horizontal="center" vertical="top"/>
    </xf>
    <xf numFmtId="44" fontId="38" fillId="11" borderId="8" xfId="1" applyFont="1" applyFill="1" applyBorder="1" applyAlignment="1">
      <alignment horizontal="center" vertical="top"/>
    </xf>
    <xf numFmtId="44" fontId="38" fillId="11" borderId="6" xfId="1" applyFont="1" applyFill="1" applyBorder="1" applyAlignment="1">
      <alignment horizontal="center" vertical="top"/>
    </xf>
    <xf numFmtId="0" fontId="16" fillId="2" borderId="5" xfId="4" applyFont="1" applyBorder="1" applyAlignment="1">
      <alignment horizontal="center" vertical="top"/>
    </xf>
    <xf numFmtId="0" fontId="16" fillId="2" borderId="0" xfId="4" applyFont="1" applyBorder="1" applyAlignment="1">
      <alignment horizontal="center" vertical="top"/>
    </xf>
    <xf numFmtId="0" fontId="16" fillId="2" borderId="19" xfId="4" applyFont="1" applyBorder="1" applyAlignment="1">
      <alignment horizontal="center" vertical="top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44" fontId="0" fillId="0" borderId="7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0" fontId="2" fillId="2" borderId="7" xfId="4" applyFont="1" applyBorder="1" applyAlignment="1">
      <alignment horizontal="center" vertical="top"/>
    </xf>
    <xf numFmtId="0" fontId="2" fillId="2" borderId="6" xfId="4" applyFont="1" applyBorder="1" applyAlignment="1">
      <alignment horizontal="center" vertical="top"/>
    </xf>
    <xf numFmtId="0" fontId="2" fillId="2" borderId="8" xfId="4" applyFont="1" applyBorder="1" applyAlignment="1">
      <alignment horizontal="center" vertical="top"/>
    </xf>
    <xf numFmtId="44" fontId="16" fillId="4" borderId="7" xfId="1" applyFont="1" applyFill="1" applyBorder="1" applyAlignment="1">
      <alignment horizontal="center" vertical="top"/>
    </xf>
    <xf numFmtId="44" fontId="16" fillId="4" borderId="8" xfId="1" applyFont="1" applyFill="1" applyBorder="1" applyAlignment="1">
      <alignment horizontal="center" vertical="top"/>
    </xf>
    <xf numFmtId="44" fontId="16" fillId="4" borderId="6" xfId="1" applyFont="1" applyFill="1" applyBorder="1" applyAlignment="1">
      <alignment horizontal="center" vertical="top"/>
    </xf>
    <xf numFmtId="0" fontId="16" fillId="2" borderId="7" xfId="4" applyFont="1" applyBorder="1" applyAlignment="1">
      <alignment horizontal="center" vertical="top"/>
    </xf>
    <xf numFmtId="0" fontId="16" fillId="2" borderId="6" xfId="4" applyFont="1" applyBorder="1" applyAlignment="1">
      <alignment horizontal="center" vertical="top"/>
    </xf>
    <xf numFmtId="0" fontId="16" fillId="10" borderId="7" xfId="4" applyFont="1" applyFill="1" applyBorder="1" applyAlignment="1">
      <alignment horizontal="center" vertical="top"/>
    </xf>
    <xf numFmtId="0" fontId="16" fillId="10" borderId="6" xfId="4" applyFont="1" applyFill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16" fillId="10" borderId="5" xfId="4" applyFont="1" applyFill="1" applyBorder="1" applyAlignment="1">
      <alignment horizontal="center" vertical="top"/>
    </xf>
    <xf numFmtId="0" fontId="16" fillId="10" borderId="0" xfId="4" applyFont="1" applyFill="1" applyBorder="1" applyAlignment="1">
      <alignment horizontal="center" vertical="top"/>
    </xf>
    <xf numFmtId="0" fontId="16" fillId="10" borderId="19" xfId="4" applyFont="1" applyFill="1" applyBorder="1" applyAlignment="1">
      <alignment horizontal="center" vertical="top"/>
    </xf>
    <xf numFmtId="0" fontId="8" fillId="0" borderId="16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167" fontId="6" fillId="0" borderId="7" xfId="2" applyNumberFormat="1" applyFont="1" applyBorder="1" applyAlignment="1">
      <alignment horizontal="center" vertical="center"/>
    </xf>
    <xf numFmtId="167" fontId="6" fillId="0" borderId="6" xfId="2" applyNumberFormat="1" applyFont="1" applyBorder="1" applyAlignment="1">
      <alignment horizontal="center" vertical="center"/>
    </xf>
    <xf numFmtId="44" fontId="38" fillId="4" borderId="7" xfId="1" applyFont="1" applyFill="1" applyBorder="1" applyAlignment="1">
      <alignment horizontal="center" vertical="top"/>
    </xf>
    <xf numFmtId="44" fontId="38" fillId="4" borderId="8" xfId="1" applyFont="1" applyFill="1" applyBorder="1" applyAlignment="1">
      <alignment horizontal="center" vertical="top"/>
    </xf>
    <xf numFmtId="44" fontId="38" fillId="4" borderId="6" xfId="1" applyFont="1" applyFill="1" applyBorder="1" applyAlignment="1">
      <alignment horizontal="center" vertical="top"/>
    </xf>
    <xf numFmtId="44" fontId="0" fillId="0" borderId="28" xfId="1" applyFont="1" applyBorder="1" applyAlignment="1">
      <alignment horizontal="center"/>
    </xf>
    <xf numFmtId="2" fontId="24" fillId="7" borderId="0" xfId="0" applyNumberFormat="1" applyFont="1" applyFill="1" applyAlignment="1" applyProtection="1">
      <alignment horizontal="center"/>
      <protection hidden="1"/>
    </xf>
    <xf numFmtId="171" fontId="3" fillId="0" borderId="0" xfId="0" applyNumberFormat="1" applyFont="1" applyAlignment="1" applyProtection="1">
      <alignment horizontal="center"/>
      <protection locked="0"/>
    </xf>
    <xf numFmtId="171" fontId="14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0" fontId="15" fillId="0" borderId="0" xfId="0" applyFont="1" applyAlignment="1" applyProtection="1">
      <alignment horizontal="center"/>
      <protection locked="0"/>
    </xf>
    <xf numFmtId="0" fontId="15" fillId="0" borderId="0" xfId="0" applyFont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5" xfId="1" applyFont="1" applyBorder="1" applyAlignment="1">
      <alignment horizontal="center"/>
    </xf>
    <xf numFmtId="44" fontId="14" fillId="0" borderId="0" xfId="1" applyFont="1" applyBorder="1" applyAlignment="1">
      <alignment horizontal="center"/>
    </xf>
    <xf numFmtId="0" fontId="40" fillId="3" borderId="7" xfId="0" applyFont="1" applyFill="1" applyBorder="1" applyAlignment="1">
      <alignment horizontal="center" vertical="center"/>
    </xf>
    <xf numFmtId="0" fontId="40" fillId="3" borderId="8" xfId="0" applyFont="1" applyFill="1" applyBorder="1" applyAlignment="1">
      <alignment horizontal="center" vertical="center"/>
    </xf>
    <xf numFmtId="44" fontId="12" fillId="5" borderId="0" xfId="0" applyNumberFormat="1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44" fontId="16" fillId="2" borderId="11" xfId="1" applyFont="1" applyFill="1" applyBorder="1" applyAlignment="1">
      <alignment horizontal="center" vertical="top"/>
    </xf>
    <xf numFmtId="44" fontId="16" fillId="2" borderId="12" xfId="1" applyFont="1" applyFill="1" applyBorder="1" applyAlignment="1">
      <alignment horizontal="center" vertical="top"/>
    </xf>
    <xf numFmtId="44" fontId="23" fillId="0" borderId="5" xfId="1" applyFont="1" applyBorder="1" applyAlignment="1">
      <alignment horizontal="center"/>
    </xf>
    <xf numFmtId="44" fontId="23" fillId="0" borderId="0" xfId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 applyProtection="1">
      <alignment horizontal="center"/>
      <protection locked="0"/>
    </xf>
    <xf numFmtId="2" fontId="1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2" fontId="22" fillId="0" borderId="0" xfId="0" applyNumberFormat="1" applyFont="1" applyAlignment="1" applyProtection="1">
      <alignment horizont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44" fontId="2" fillId="2" borderId="11" xfId="1" applyFont="1" applyFill="1" applyBorder="1" applyAlignment="1">
      <alignment horizontal="center" vertical="top"/>
    </xf>
    <xf numFmtId="44" fontId="2" fillId="2" borderId="12" xfId="1" applyFont="1" applyFill="1" applyBorder="1" applyAlignment="1">
      <alignment horizontal="center" vertical="top"/>
    </xf>
    <xf numFmtId="0" fontId="16" fillId="2" borderId="9" xfId="4" applyFont="1" applyBorder="1" applyAlignment="1">
      <alignment horizontal="center" vertical="top"/>
    </xf>
    <xf numFmtId="44" fontId="0" fillId="0" borderId="27" xfId="1" applyFont="1" applyBorder="1" applyAlignment="1">
      <alignment horizontal="center"/>
    </xf>
    <xf numFmtId="10" fontId="3" fillId="0" borderId="0" xfId="0" applyNumberFormat="1" applyFont="1" applyAlignment="1" applyProtection="1">
      <alignment horizontal="center"/>
      <protection locked="0"/>
    </xf>
    <xf numFmtId="10" fontId="3" fillId="0" borderId="0" xfId="3" applyNumberFormat="1" applyFont="1" applyAlignment="1" applyProtection="1">
      <alignment horizontal="center"/>
      <protection locked="0"/>
    </xf>
    <xf numFmtId="44" fontId="0" fillId="0" borderId="8" xfId="1" applyFont="1" applyBorder="1" applyAlignment="1">
      <alignment horizontal="center"/>
    </xf>
    <xf numFmtId="44" fontId="14" fillId="0" borderId="7" xfId="1" applyFont="1" applyBorder="1" applyAlignment="1">
      <alignment horizontal="center"/>
    </xf>
    <xf numFmtId="44" fontId="14" fillId="0" borderId="8" xfId="1" applyFont="1" applyBorder="1" applyAlignment="1">
      <alignment horizontal="center"/>
    </xf>
    <xf numFmtId="44" fontId="14" fillId="0" borderId="6" xfId="1" applyFont="1" applyBorder="1" applyAlignment="1">
      <alignment horizontal="center"/>
    </xf>
    <xf numFmtId="44" fontId="14" fillId="9" borderId="7" xfId="1" applyFont="1" applyFill="1" applyBorder="1" applyAlignment="1" applyProtection="1">
      <alignment horizontal="center"/>
      <protection hidden="1"/>
    </xf>
    <xf numFmtId="44" fontId="14" fillId="9" borderId="8" xfId="1" applyFont="1" applyFill="1" applyBorder="1" applyAlignment="1" applyProtection="1">
      <alignment horizontal="center"/>
      <protection hidden="1"/>
    </xf>
    <xf numFmtId="44" fontId="14" fillId="9" borderId="6" xfId="1" applyFont="1" applyFill="1" applyBorder="1" applyAlignment="1" applyProtection="1">
      <alignment horizontal="center"/>
      <protection hidden="1"/>
    </xf>
    <xf numFmtId="44" fontId="23" fillId="5" borderId="7" xfId="1" applyFont="1" applyFill="1" applyBorder="1" applyAlignment="1">
      <alignment horizontal="center"/>
    </xf>
    <xf numFmtId="44" fontId="23" fillId="5" borderId="8" xfId="1" applyFont="1" applyFill="1" applyBorder="1" applyAlignment="1">
      <alignment horizontal="center"/>
    </xf>
    <xf numFmtId="44" fontId="23" fillId="5" borderId="6" xfId="1" applyFont="1" applyFill="1" applyBorder="1" applyAlignment="1">
      <alignment horizontal="center"/>
    </xf>
    <xf numFmtId="0" fontId="4" fillId="5" borderId="5" xfId="0" applyFont="1" applyFill="1" applyBorder="1" applyAlignment="1">
      <alignment horizontal="right"/>
    </xf>
    <xf numFmtId="0" fontId="4" fillId="5" borderId="0" xfId="0" applyFont="1" applyFill="1" applyAlignment="1">
      <alignment horizontal="right"/>
    </xf>
    <xf numFmtId="0" fontId="4" fillId="5" borderId="19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27" fillId="4" borderId="0" xfId="0" applyFont="1" applyFill="1" applyAlignment="1">
      <alignment horizontal="center" vertical="top"/>
    </xf>
    <xf numFmtId="0" fontId="27" fillId="4" borderId="10" xfId="0" applyFont="1" applyFill="1" applyBorder="1" applyAlignment="1">
      <alignment horizontal="center" vertical="top"/>
    </xf>
    <xf numFmtId="14" fontId="35" fillId="2" borderId="15" xfId="4" applyNumberFormat="1" applyFont="1" applyBorder="1" applyAlignment="1" applyProtection="1">
      <alignment horizontal="center" vertical="top"/>
      <protection locked="0"/>
    </xf>
    <xf numFmtId="14" fontId="35" fillId="2" borderId="14" xfId="4" applyNumberFormat="1" applyFont="1" applyBorder="1" applyAlignment="1" applyProtection="1">
      <alignment horizontal="center" vertical="top"/>
      <protection locked="0"/>
    </xf>
    <xf numFmtId="0" fontId="16" fillId="2" borderId="13" xfId="4" applyFont="1" applyBorder="1" applyAlignment="1">
      <alignment horizontal="center" vertical="top"/>
    </xf>
    <xf numFmtId="0" fontId="16" fillId="2" borderId="15" xfId="4" applyFont="1" applyBorder="1" applyAlignment="1">
      <alignment horizontal="center" vertical="top"/>
    </xf>
    <xf numFmtId="0" fontId="36" fillId="5" borderId="0" xfId="0" applyFont="1" applyFill="1" applyAlignment="1" applyProtection="1">
      <alignment horizontal="center"/>
      <protection locked="0"/>
    </xf>
    <xf numFmtId="0" fontId="6" fillId="0" borderId="7" xfId="1" applyNumberFormat="1" applyFont="1" applyFill="1" applyBorder="1" applyAlignment="1">
      <alignment horizontal="center"/>
    </xf>
    <xf numFmtId="0" fontId="18" fillId="0" borderId="0" xfId="0" applyFont="1" applyAlignment="1">
      <alignment horizontal="left" vertical="top"/>
    </xf>
  </cellXfs>
  <cellStyles count="9">
    <cellStyle name="Énfasis1" xfId="4" builtinId="29"/>
    <cellStyle name="Millares" xfId="8" builtinId="3"/>
    <cellStyle name="Millares 10 5 4" xfId="7" xr:uid="{00000000-0005-0000-0000-000002000000}"/>
    <cellStyle name="Millares 2 23" xfId="5" xr:uid="{00000000-0005-0000-0000-000003000000}"/>
    <cellStyle name="Millares 76" xfId="6" xr:uid="{00000000-0005-0000-0000-000004000000}"/>
    <cellStyle name="Moneda" xfId="1" builtinId="4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85</xdr:row>
      <xdr:rowOff>41618</xdr:rowOff>
    </xdr:from>
    <xdr:to>
      <xdr:col>10</xdr:col>
      <xdr:colOff>206220</xdr:colOff>
      <xdr:row>95</xdr:row>
      <xdr:rowOff>45720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005518"/>
          <a:ext cx="7910040" cy="18329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165728</xdr:rowOff>
    </xdr:from>
    <xdr:to>
      <xdr:col>10</xdr:col>
      <xdr:colOff>196497</xdr:colOff>
      <xdr:row>84</xdr:row>
      <xdr:rowOff>82731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460348"/>
          <a:ext cx="7900317" cy="5403403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</xdr:colOff>
      <xdr:row>0</xdr:row>
      <xdr:rowOff>0</xdr:rowOff>
    </xdr:from>
    <xdr:to>
      <xdr:col>1</xdr:col>
      <xdr:colOff>944880</xdr:colOff>
      <xdr:row>1</xdr:row>
      <xdr:rowOff>174225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24" t="36444" r="5479" b="39119"/>
        <a:stretch>
          <a:fillRect/>
        </a:stretch>
      </xdr:blipFill>
      <xdr:spPr bwMode="auto">
        <a:xfrm>
          <a:off x="83820" y="0"/>
          <a:ext cx="1104900" cy="379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</xdr:colOff>
      <xdr:row>9</xdr:row>
      <xdr:rowOff>137161</xdr:rowOff>
    </xdr:from>
    <xdr:to>
      <xdr:col>5</xdr:col>
      <xdr:colOff>304800</xdr:colOff>
      <xdr:row>14</xdr:row>
      <xdr:rowOff>148591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5340" y="1996441"/>
          <a:ext cx="3771900" cy="92583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205741</xdr:colOff>
      <xdr:row>28</xdr:row>
      <xdr:rowOff>60960</xdr:rowOff>
    </xdr:from>
    <xdr:to>
      <xdr:col>9</xdr:col>
      <xdr:colOff>678180</xdr:colOff>
      <xdr:row>35</xdr:row>
      <xdr:rowOff>177881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5741" y="5600700"/>
          <a:ext cx="7376159" cy="1397081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167641</xdr:colOff>
      <xdr:row>17</xdr:row>
      <xdr:rowOff>30481</xdr:rowOff>
    </xdr:from>
    <xdr:to>
      <xdr:col>5</xdr:col>
      <xdr:colOff>515252</xdr:colOff>
      <xdr:row>25</xdr:row>
      <xdr:rowOff>167640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08961" y="3558541"/>
          <a:ext cx="1140091" cy="1600199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36</xdr:row>
      <xdr:rowOff>114301</xdr:rowOff>
    </xdr:from>
    <xdr:to>
      <xdr:col>6</xdr:col>
      <xdr:colOff>556600</xdr:colOff>
      <xdr:row>44</xdr:row>
      <xdr:rowOff>99060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52261"/>
        <a:stretch/>
      </xdr:blipFill>
      <xdr:spPr>
        <a:xfrm>
          <a:off x="3451860" y="7117081"/>
          <a:ext cx="1631020" cy="1447799"/>
        </a:xfrm>
        <a:prstGeom prst="rect">
          <a:avLst/>
        </a:prstGeom>
      </xdr:spPr>
    </xdr:pic>
    <xdr:clientData/>
  </xdr:twoCellAnchor>
  <xdr:twoCellAnchor>
    <xdr:from>
      <xdr:col>3</xdr:col>
      <xdr:colOff>119268</xdr:colOff>
      <xdr:row>53</xdr:row>
      <xdr:rowOff>6626</xdr:rowOff>
    </xdr:from>
    <xdr:to>
      <xdr:col>4</xdr:col>
      <xdr:colOff>424068</xdr:colOff>
      <xdr:row>56</xdr:row>
      <xdr:rowOff>13252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272746" y="8938591"/>
          <a:ext cx="1099931" cy="563218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  <a:effectLst>
          <a:softEdge rad="127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rgbClr val="FFC000"/>
              </a:solidFill>
            </a:rPr>
            <a:t>Fecha a la cual se analiza presupuesto</a:t>
          </a:r>
        </a:p>
      </xdr:txBody>
    </xdr:sp>
    <xdr:clientData/>
  </xdr:twoCellAnchor>
  <xdr:twoCellAnchor>
    <xdr:from>
      <xdr:col>2</xdr:col>
      <xdr:colOff>465000</xdr:colOff>
      <xdr:row>54</xdr:row>
      <xdr:rowOff>172629</xdr:rowOff>
    </xdr:from>
    <xdr:to>
      <xdr:col>3</xdr:col>
      <xdr:colOff>206583</xdr:colOff>
      <xdr:row>55</xdr:row>
      <xdr:rowOff>38698</xdr:rowOff>
    </xdr:to>
    <xdr:sp macro="" textlink="">
      <xdr:nvSpPr>
        <xdr:cNvPr id="10" name="Flecha der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 rot="8938776">
          <a:off x="1823348" y="9290125"/>
          <a:ext cx="536713" cy="51599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69240</xdr:colOff>
      <xdr:row>56</xdr:row>
      <xdr:rowOff>153723</xdr:rowOff>
    </xdr:from>
    <xdr:to>
      <xdr:col>6</xdr:col>
      <xdr:colOff>201763</xdr:colOff>
      <xdr:row>58</xdr:row>
      <xdr:rowOff>3976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2225700" y="10814103"/>
          <a:ext cx="2509963" cy="216013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  <a:effectLst>
          <a:softEdge rad="127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rgbClr val="FFC000"/>
              </a:solidFill>
            </a:rPr>
            <a:t>Variaciones lista de precios Pretensa</a:t>
          </a:r>
        </a:p>
      </xdr:txBody>
    </xdr:sp>
    <xdr:clientData/>
  </xdr:twoCellAnchor>
  <xdr:twoCellAnchor>
    <xdr:from>
      <xdr:col>2</xdr:col>
      <xdr:colOff>610774</xdr:colOff>
      <xdr:row>57</xdr:row>
      <xdr:rowOff>67936</xdr:rowOff>
    </xdr:from>
    <xdr:to>
      <xdr:col>3</xdr:col>
      <xdr:colOff>99392</xdr:colOff>
      <xdr:row>57</xdr:row>
      <xdr:rowOff>113655</xdr:rowOff>
    </xdr:to>
    <xdr:sp macro="" textlink="">
      <xdr:nvSpPr>
        <xdr:cNvPr id="12" name="Flecha derecha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 rot="10800000">
          <a:off x="1974754" y="10911196"/>
          <a:ext cx="281098" cy="45719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46382</xdr:colOff>
      <xdr:row>57</xdr:row>
      <xdr:rowOff>160351</xdr:rowOff>
    </xdr:from>
    <xdr:to>
      <xdr:col>6</xdr:col>
      <xdr:colOff>178905</xdr:colOff>
      <xdr:row>59</xdr:row>
      <xdr:rowOff>3976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2202842" y="11003611"/>
          <a:ext cx="2509963" cy="209385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  <a:effectLst>
          <a:softEdge rad="127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rgbClr val="FFC000"/>
              </a:solidFill>
            </a:rPr>
            <a:t>Desc.</a:t>
          </a:r>
          <a:r>
            <a:rPr lang="en-US" sz="1000" b="1" baseline="0">
              <a:solidFill>
                <a:srgbClr val="FFC000"/>
              </a:solidFill>
            </a:rPr>
            <a:t> general sobre materiales</a:t>
          </a:r>
          <a:endParaRPr lang="en-US" sz="1000" b="1">
            <a:solidFill>
              <a:srgbClr val="FFC000"/>
            </a:solidFill>
          </a:endParaRPr>
        </a:p>
      </xdr:txBody>
    </xdr:sp>
    <xdr:clientData/>
  </xdr:twoCellAnchor>
  <xdr:twoCellAnchor>
    <xdr:from>
      <xdr:col>2</xdr:col>
      <xdr:colOff>610776</xdr:colOff>
      <xdr:row>58</xdr:row>
      <xdr:rowOff>6975</xdr:rowOff>
    </xdr:from>
    <xdr:to>
      <xdr:col>3</xdr:col>
      <xdr:colOff>99394</xdr:colOff>
      <xdr:row>58</xdr:row>
      <xdr:rowOff>52694</xdr:rowOff>
    </xdr:to>
    <xdr:sp macro="" textlink="">
      <xdr:nvSpPr>
        <xdr:cNvPr id="14" name="Flecha derech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 rot="10800000">
          <a:off x="1969124" y="9866592"/>
          <a:ext cx="283748" cy="45719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576469</xdr:colOff>
      <xdr:row>59</xdr:row>
      <xdr:rowOff>39756</xdr:rowOff>
    </xdr:from>
    <xdr:to>
      <xdr:col>5</xdr:col>
      <xdr:colOff>708993</xdr:colOff>
      <xdr:row>60</xdr:row>
      <xdr:rowOff>66261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934817" y="10084904"/>
          <a:ext cx="2517915" cy="212035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  <a:effectLst>
          <a:softEdge rad="127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rgbClr val="FFC000"/>
              </a:solidFill>
            </a:rPr>
            <a:t>Desc.</a:t>
          </a:r>
          <a:r>
            <a:rPr lang="en-US" sz="1000" b="1" baseline="0">
              <a:solidFill>
                <a:srgbClr val="FFC000"/>
              </a:solidFill>
            </a:rPr>
            <a:t> adicional propuesto en el momneto</a:t>
          </a:r>
          <a:endParaRPr lang="en-US" sz="1000" b="1">
            <a:solidFill>
              <a:srgbClr val="FFC000"/>
            </a:solidFill>
          </a:endParaRPr>
        </a:p>
      </xdr:txBody>
    </xdr:sp>
    <xdr:clientData/>
  </xdr:twoCellAnchor>
  <xdr:twoCellAnchor>
    <xdr:from>
      <xdr:col>2</xdr:col>
      <xdr:colOff>352359</xdr:colOff>
      <xdr:row>59</xdr:row>
      <xdr:rowOff>46732</xdr:rowOff>
    </xdr:from>
    <xdr:to>
      <xdr:col>2</xdr:col>
      <xdr:colOff>636107</xdr:colOff>
      <xdr:row>59</xdr:row>
      <xdr:rowOff>92451</xdr:rowOff>
    </xdr:to>
    <xdr:sp macro="" textlink="">
      <xdr:nvSpPr>
        <xdr:cNvPr id="16" name="Flecha derech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rot="12359273">
          <a:off x="1716339" y="11255752"/>
          <a:ext cx="283748" cy="45719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476414</xdr:colOff>
      <xdr:row>74</xdr:row>
      <xdr:rowOff>6625</xdr:rowOff>
    </xdr:from>
    <xdr:to>
      <xdr:col>6</xdr:col>
      <xdr:colOff>608937</xdr:colOff>
      <xdr:row>74</xdr:row>
      <xdr:rowOff>169627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3425354" y="13958845"/>
          <a:ext cx="1717483" cy="163002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  <a:effectLst>
          <a:softEdge rad="127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 b="1">
              <a:solidFill>
                <a:srgbClr val="FFC000"/>
              </a:solidFill>
            </a:rPr>
            <a:t>Cantidad</a:t>
          </a:r>
          <a:r>
            <a:rPr lang="en-US" sz="1000" b="1" baseline="0">
              <a:solidFill>
                <a:srgbClr val="FFC000"/>
              </a:solidFill>
            </a:rPr>
            <a:t> de Km. o LOCAL</a:t>
          </a:r>
          <a:endParaRPr lang="en-US" sz="1000" b="1">
            <a:solidFill>
              <a:srgbClr val="FFC000"/>
            </a:solidFill>
          </a:endParaRPr>
        </a:p>
      </xdr:txBody>
    </xdr:sp>
    <xdr:clientData/>
  </xdr:twoCellAnchor>
  <xdr:twoCellAnchor>
    <xdr:from>
      <xdr:col>4</xdr:col>
      <xdr:colOff>232426</xdr:colOff>
      <xdr:row>74</xdr:row>
      <xdr:rowOff>63956</xdr:rowOff>
    </xdr:from>
    <xdr:to>
      <xdr:col>4</xdr:col>
      <xdr:colOff>516174</xdr:colOff>
      <xdr:row>74</xdr:row>
      <xdr:rowOff>109675</xdr:rowOff>
    </xdr:to>
    <xdr:sp macro="" textlink="">
      <xdr:nvSpPr>
        <xdr:cNvPr id="20" name="Flecha derech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 rot="10800000">
          <a:off x="3181366" y="14016176"/>
          <a:ext cx="283748" cy="45719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169626</xdr:colOff>
      <xdr:row>74</xdr:row>
      <xdr:rowOff>175260</xdr:rowOff>
    </xdr:from>
    <xdr:to>
      <xdr:col>9</xdr:col>
      <xdr:colOff>650682</xdr:colOff>
      <xdr:row>78</xdr:row>
      <xdr:rowOff>45720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496006" y="14127480"/>
          <a:ext cx="2066016" cy="60198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  <a:effectLst>
          <a:softEdge rad="127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 b="1">
              <a:solidFill>
                <a:srgbClr val="FFC000"/>
              </a:solidFill>
            </a:rPr>
            <a:t>Valores</a:t>
          </a:r>
          <a:r>
            <a:rPr lang="en-US" sz="1000" b="1" baseline="0">
              <a:solidFill>
                <a:srgbClr val="FFC000"/>
              </a:solidFill>
            </a:rPr>
            <a:t> de Lista de Precio Pretensa MODIFICAR EN PESTAÑA PRECIO TRANSPORTE </a:t>
          </a:r>
          <a:endParaRPr lang="en-US" sz="1000" b="1">
            <a:solidFill>
              <a:srgbClr val="FFC000"/>
            </a:solidFill>
          </a:endParaRPr>
        </a:p>
      </xdr:txBody>
    </xdr:sp>
    <xdr:clientData/>
  </xdr:twoCellAnchor>
  <xdr:twoCellAnchor>
    <xdr:from>
      <xdr:col>6</xdr:col>
      <xdr:colOff>718118</xdr:colOff>
      <xdr:row>75</xdr:row>
      <xdr:rowOff>178919</xdr:rowOff>
    </xdr:from>
    <xdr:to>
      <xdr:col>7</xdr:col>
      <xdr:colOff>209386</xdr:colOff>
      <xdr:row>76</xdr:row>
      <xdr:rowOff>41758</xdr:rowOff>
    </xdr:to>
    <xdr:sp macro="" textlink="">
      <xdr:nvSpPr>
        <xdr:cNvPr id="24" name="Flecha derecha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 rot="10800000">
          <a:off x="5252018" y="14314019"/>
          <a:ext cx="283748" cy="45719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568667</xdr:colOff>
      <xdr:row>66</xdr:row>
      <xdr:rowOff>29819</xdr:rowOff>
    </xdr:from>
    <xdr:to>
      <xdr:col>11</xdr:col>
      <xdr:colOff>318052</xdr:colOff>
      <xdr:row>68</xdr:row>
      <xdr:rowOff>114300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6687527" y="12518999"/>
          <a:ext cx="2126825" cy="45024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  <a:effectLst>
          <a:softEdge rad="127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rgbClr val="FFC000"/>
              </a:solidFill>
            </a:rPr>
            <a:t>Trabajos Complementarios / Valores de Lista de Precios Pretensa</a:t>
          </a:r>
        </a:p>
      </xdr:txBody>
    </xdr:sp>
    <xdr:clientData/>
  </xdr:twoCellAnchor>
  <xdr:twoCellAnchor>
    <xdr:from>
      <xdr:col>8</xdr:col>
      <xdr:colOff>347539</xdr:colOff>
      <xdr:row>65</xdr:row>
      <xdr:rowOff>127552</xdr:rowOff>
    </xdr:from>
    <xdr:to>
      <xdr:col>8</xdr:col>
      <xdr:colOff>393258</xdr:colOff>
      <xdr:row>69</xdr:row>
      <xdr:rowOff>52695</xdr:rowOff>
    </xdr:to>
    <xdr:sp macro="" textlink="">
      <xdr:nvSpPr>
        <xdr:cNvPr id="31" name="Cerrar llav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6466399" y="12433852"/>
          <a:ext cx="45719" cy="656663"/>
        </a:xfrm>
        <a:prstGeom prst="rightBrac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201912</xdr:colOff>
      <xdr:row>93</xdr:row>
      <xdr:rowOff>110323</xdr:rowOff>
    </xdr:from>
    <xdr:to>
      <xdr:col>11</xdr:col>
      <xdr:colOff>481384</xdr:colOff>
      <xdr:row>94</xdr:row>
      <xdr:rowOff>130203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6320772" y="17537263"/>
          <a:ext cx="2656912" cy="20276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  <a:effectLst>
          <a:softEdge rad="127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 b="1">
              <a:solidFill>
                <a:srgbClr val="FFC000"/>
              </a:solidFill>
            </a:rPr>
            <a:t>Monto a adoptar con Gerente Area Comercial</a:t>
          </a:r>
        </a:p>
      </xdr:txBody>
    </xdr:sp>
    <xdr:clientData/>
  </xdr:twoCellAnchor>
  <xdr:twoCellAnchor>
    <xdr:from>
      <xdr:col>7</xdr:col>
      <xdr:colOff>697064</xdr:colOff>
      <xdr:row>94</xdr:row>
      <xdr:rowOff>27181</xdr:rowOff>
    </xdr:from>
    <xdr:to>
      <xdr:col>8</xdr:col>
      <xdr:colOff>188332</xdr:colOff>
      <xdr:row>94</xdr:row>
      <xdr:rowOff>72900</xdr:rowOff>
    </xdr:to>
    <xdr:sp macro="" textlink="">
      <xdr:nvSpPr>
        <xdr:cNvPr id="37" name="Flecha derecha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 rot="10800000">
          <a:off x="6023444" y="17637001"/>
          <a:ext cx="283748" cy="45719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159027</xdr:colOff>
      <xdr:row>47</xdr:row>
      <xdr:rowOff>1</xdr:rowOff>
    </xdr:from>
    <xdr:to>
      <xdr:col>4</xdr:col>
      <xdr:colOff>669236</xdr:colOff>
      <xdr:row>50</xdr:row>
      <xdr:rowOff>20649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027" y="9117497"/>
          <a:ext cx="3458818" cy="577239"/>
        </a:xfrm>
        <a:prstGeom prst="rect">
          <a:avLst/>
        </a:prstGeom>
      </xdr:spPr>
    </xdr:pic>
    <xdr:clientData/>
  </xdr:twoCellAnchor>
  <xdr:twoCellAnchor editAs="oneCell">
    <xdr:from>
      <xdr:col>5</xdr:col>
      <xdr:colOff>13252</xdr:colOff>
      <xdr:row>46</xdr:row>
      <xdr:rowOff>172279</xdr:rowOff>
    </xdr:from>
    <xdr:to>
      <xdr:col>9</xdr:col>
      <xdr:colOff>39756</xdr:colOff>
      <xdr:row>50</xdr:row>
      <xdr:rowOff>19905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56991" y="9104244"/>
          <a:ext cx="3207026" cy="589748"/>
        </a:xfrm>
        <a:prstGeom prst="rect">
          <a:avLst/>
        </a:prstGeom>
      </xdr:spPr>
    </xdr:pic>
    <xdr:clientData/>
  </xdr:twoCellAnchor>
  <xdr:twoCellAnchor>
    <xdr:from>
      <xdr:col>5</xdr:col>
      <xdr:colOff>335940</xdr:colOff>
      <xdr:row>55</xdr:row>
      <xdr:rowOff>168963</xdr:rowOff>
    </xdr:from>
    <xdr:to>
      <xdr:col>8</xdr:col>
      <xdr:colOff>468463</xdr:colOff>
      <xdr:row>57</xdr:row>
      <xdr:rowOff>19216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4077360" y="10646463"/>
          <a:ext cx="2509963" cy="216013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  <a:effectLst>
          <a:softEdge rad="127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rgbClr val="FFC000"/>
              </a:solidFill>
            </a:rPr>
            <a:t>Basuci</a:t>
          </a:r>
          <a:r>
            <a:rPr lang="en-US" sz="1000" b="1" baseline="0">
              <a:solidFill>
                <a:srgbClr val="FFC000"/>
              </a:solidFill>
            </a:rPr>
            <a:t> Lista de Precios</a:t>
          </a:r>
          <a:endParaRPr lang="en-US" sz="1000" b="1">
            <a:solidFill>
              <a:srgbClr val="FFC000"/>
            </a:solidFill>
          </a:endParaRPr>
        </a:p>
      </xdr:txBody>
    </xdr:sp>
    <xdr:clientData/>
  </xdr:twoCellAnchor>
  <xdr:twoCellAnchor>
    <xdr:from>
      <xdr:col>5</xdr:col>
      <xdr:colOff>84994</xdr:colOff>
      <xdr:row>56</xdr:row>
      <xdr:rowOff>83176</xdr:rowOff>
    </xdr:from>
    <xdr:to>
      <xdr:col>5</xdr:col>
      <xdr:colOff>366092</xdr:colOff>
      <xdr:row>56</xdr:row>
      <xdr:rowOff>128895</xdr:rowOff>
    </xdr:to>
    <xdr:sp macro="" textlink="">
      <xdr:nvSpPr>
        <xdr:cNvPr id="32" name="Flecha derecha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 rot="10800000">
          <a:off x="3826414" y="10743556"/>
          <a:ext cx="281098" cy="45719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146766</xdr:colOff>
      <xdr:row>79</xdr:row>
      <xdr:rowOff>91440</xdr:rowOff>
    </xdr:from>
    <xdr:to>
      <xdr:col>9</xdr:col>
      <xdr:colOff>627822</xdr:colOff>
      <xdr:row>80</xdr:row>
      <xdr:rowOff>129540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5473146" y="14958060"/>
          <a:ext cx="2066016" cy="22098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  <a:effectLst>
          <a:softEdge rad="127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 b="1">
              <a:solidFill>
                <a:srgbClr val="FFC000"/>
              </a:solidFill>
            </a:rPr>
            <a:t>Valores</a:t>
          </a:r>
          <a:r>
            <a:rPr lang="en-US" sz="1000" b="1" baseline="0">
              <a:solidFill>
                <a:srgbClr val="FFC000"/>
              </a:solidFill>
            </a:rPr>
            <a:t> de Lista de Precio Pretensa</a:t>
          </a:r>
          <a:endParaRPr lang="en-US" sz="1000" b="1">
            <a:solidFill>
              <a:srgbClr val="FFC000"/>
            </a:solidFill>
          </a:endParaRPr>
        </a:p>
      </xdr:txBody>
    </xdr:sp>
    <xdr:clientData/>
  </xdr:twoCellAnchor>
  <xdr:twoCellAnchor>
    <xdr:from>
      <xdr:col>6</xdr:col>
      <xdr:colOff>702878</xdr:colOff>
      <xdr:row>80</xdr:row>
      <xdr:rowOff>3659</xdr:rowOff>
    </xdr:from>
    <xdr:to>
      <xdr:col>7</xdr:col>
      <xdr:colOff>194146</xdr:colOff>
      <xdr:row>80</xdr:row>
      <xdr:rowOff>49378</xdr:rowOff>
    </xdr:to>
    <xdr:sp macro="" textlink="">
      <xdr:nvSpPr>
        <xdr:cNvPr id="38" name="Flecha derecha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 rot="10800000">
          <a:off x="5236778" y="15053159"/>
          <a:ext cx="283748" cy="45719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431507</xdr:colOff>
      <xdr:row>81</xdr:row>
      <xdr:rowOff>67919</xdr:rowOff>
    </xdr:from>
    <xdr:to>
      <xdr:col>3</xdr:col>
      <xdr:colOff>617220</xdr:colOff>
      <xdr:row>87</xdr:row>
      <xdr:rowOff>99060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675347" y="15300299"/>
          <a:ext cx="2098333" cy="112842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  <a:effectLst>
          <a:softEdge rad="127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rgbClr val="FFC000"/>
              </a:solidFill>
            </a:rPr>
            <a:t>Si se adopta montaje por dia se cancela el montaje estandar de igual forma pasa con las tonekadas</a:t>
          </a:r>
          <a:r>
            <a:rPr lang="en-US" sz="1000" b="1" baseline="0">
              <a:solidFill>
                <a:srgbClr val="FFC000"/>
              </a:solidFill>
            </a:rPr>
            <a:t> del transporte (esto aplica en el caso de que la cantidad de camiones sea muy aproximado a un valor entero</a:t>
          </a:r>
          <a:endParaRPr lang="en-US" sz="1000" b="1">
            <a:solidFill>
              <a:srgbClr val="FFC000"/>
            </a:solidFill>
          </a:endParaRPr>
        </a:p>
      </xdr:txBody>
    </xdr:sp>
    <xdr:clientData/>
  </xdr:twoCellAnchor>
  <xdr:twoCellAnchor>
    <xdr:from>
      <xdr:col>3</xdr:col>
      <xdr:colOff>174880</xdr:colOff>
      <xdr:row>77</xdr:row>
      <xdr:rowOff>13499</xdr:rowOff>
    </xdr:from>
    <xdr:to>
      <xdr:col>3</xdr:col>
      <xdr:colOff>233198</xdr:colOff>
      <xdr:row>81</xdr:row>
      <xdr:rowOff>75273</xdr:rowOff>
    </xdr:to>
    <xdr:sp macro="" textlink="">
      <xdr:nvSpPr>
        <xdr:cNvPr id="40" name="Flecha derecha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 rot="18152263">
          <a:off x="1963852" y="14881847"/>
          <a:ext cx="793294" cy="58318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189906</xdr:colOff>
      <xdr:row>80</xdr:row>
      <xdr:rowOff>117432</xdr:rowOff>
    </xdr:from>
    <xdr:to>
      <xdr:col>3</xdr:col>
      <xdr:colOff>726060</xdr:colOff>
      <xdr:row>81</xdr:row>
      <xdr:rowOff>6543</xdr:rowOff>
    </xdr:to>
    <xdr:sp macro="" textlink="">
      <xdr:nvSpPr>
        <xdr:cNvPr id="41" name="Flecha derecha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 rot="20101624">
          <a:off x="2346366" y="15166932"/>
          <a:ext cx="536154" cy="71991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655320</xdr:colOff>
      <xdr:row>0</xdr:row>
      <xdr:rowOff>47625</xdr:rowOff>
    </xdr:from>
    <xdr:to>
      <xdr:col>14</xdr:col>
      <xdr:colOff>1101090</xdr:colOff>
      <xdr:row>4</xdr:row>
      <xdr:rowOff>34739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3155" y="47625"/>
          <a:ext cx="2964853" cy="6011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206189</xdr:colOff>
      <xdr:row>0</xdr:row>
      <xdr:rowOff>71718</xdr:rowOff>
    </xdr:from>
    <xdr:to>
      <xdr:col>1</xdr:col>
      <xdr:colOff>3171042</xdr:colOff>
      <xdr:row>3</xdr:row>
      <xdr:rowOff>81243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765" y="71718"/>
          <a:ext cx="2964853" cy="6011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53"/>
  <sheetViews>
    <sheetView topLeftCell="A76" zoomScaleNormal="100" workbookViewId="0">
      <selection activeCell="H13" sqref="H13"/>
    </sheetView>
  </sheetViews>
  <sheetFormatPr baseColWidth="10" defaultRowHeight="15" x14ac:dyDescent="0.25"/>
  <cols>
    <col min="1" max="1" width="3.5703125" customWidth="1"/>
    <col min="2" max="2" width="16.28515625" customWidth="1"/>
  </cols>
  <sheetData>
    <row r="1" spans="1:10" ht="16.5" thickBot="1" x14ac:dyDescent="0.3">
      <c r="A1" s="126"/>
      <c r="B1" s="127"/>
      <c r="C1" s="130" t="s">
        <v>61</v>
      </c>
      <c r="D1" s="131"/>
      <c r="E1" s="131"/>
      <c r="F1" s="131"/>
      <c r="G1" s="131"/>
      <c r="H1" s="132"/>
      <c r="I1" s="133"/>
      <c r="J1" s="134"/>
    </row>
    <row r="2" spans="1:10" ht="16.5" thickBot="1" x14ac:dyDescent="0.3">
      <c r="A2" s="128"/>
      <c r="B2" s="129"/>
      <c r="C2" s="135" t="s">
        <v>62</v>
      </c>
      <c r="D2" s="136"/>
      <c r="E2" s="136"/>
      <c r="F2" s="136"/>
      <c r="G2" s="136"/>
      <c r="H2" s="137"/>
      <c r="I2" s="138" t="s">
        <v>63</v>
      </c>
      <c r="J2" s="139"/>
    </row>
    <row r="3" spans="1:10" ht="21.75" thickBot="1" x14ac:dyDescent="0.3">
      <c r="A3" s="123" t="s">
        <v>64</v>
      </c>
      <c r="B3" s="124"/>
      <c r="C3" s="124"/>
      <c r="D3" s="124"/>
      <c r="E3" s="124"/>
      <c r="F3" s="124"/>
      <c r="G3" s="124"/>
      <c r="H3" s="124"/>
      <c r="I3" s="124"/>
      <c r="J3" s="125"/>
    </row>
    <row r="5" spans="1:10" ht="15.75" x14ac:dyDescent="0.25">
      <c r="A5" s="39" t="s">
        <v>65</v>
      </c>
      <c r="B5" s="121" t="s">
        <v>66</v>
      </c>
      <c r="C5" s="121"/>
      <c r="D5" s="121"/>
      <c r="E5" s="121"/>
      <c r="F5" s="121"/>
      <c r="G5" s="121"/>
      <c r="H5" s="121"/>
      <c r="I5" s="121"/>
      <c r="J5" s="121"/>
    </row>
    <row r="6" spans="1:10" ht="31.9" customHeight="1" x14ac:dyDescent="0.25">
      <c r="A6" s="39"/>
      <c r="B6" s="122" t="s">
        <v>68</v>
      </c>
      <c r="C6" s="122"/>
      <c r="D6" s="122"/>
      <c r="E6" s="122"/>
      <c r="F6" s="122"/>
      <c r="G6" s="122"/>
      <c r="H6" s="122"/>
      <c r="I6" s="122"/>
      <c r="J6" s="122"/>
    </row>
    <row r="7" spans="1:10" ht="15.75" x14ac:dyDescent="0.25">
      <c r="A7" s="39"/>
      <c r="B7" s="120" t="s">
        <v>67</v>
      </c>
      <c r="C7" s="120"/>
      <c r="D7" s="120"/>
      <c r="E7" s="120"/>
      <c r="F7" s="120"/>
      <c r="G7" s="120"/>
      <c r="H7" s="120"/>
      <c r="I7" s="120"/>
      <c r="J7" s="120"/>
    </row>
    <row r="8" spans="1:10" ht="15.75" x14ac:dyDescent="0.25">
      <c r="B8" s="120" t="s">
        <v>69</v>
      </c>
      <c r="C8" s="120"/>
      <c r="D8" s="120"/>
      <c r="E8" s="120"/>
      <c r="F8" s="120"/>
      <c r="G8" s="120"/>
      <c r="H8" s="120"/>
      <c r="I8" s="120"/>
      <c r="J8" s="120"/>
    </row>
    <row r="9" spans="1:10" ht="15.75" x14ac:dyDescent="0.25">
      <c r="B9" s="120" t="s">
        <v>70</v>
      </c>
      <c r="C9" s="120"/>
      <c r="D9" s="120"/>
      <c r="E9" s="120"/>
      <c r="F9" s="120"/>
      <c r="G9" s="120"/>
      <c r="H9" s="120"/>
      <c r="I9" s="120"/>
      <c r="J9" s="120"/>
    </row>
    <row r="17" spans="1:8" x14ac:dyDescent="0.25">
      <c r="A17" s="39">
        <v>2</v>
      </c>
      <c r="B17" t="s">
        <v>73</v>
      </c>
    </row>
    <row r="18" spans="1:8" x14ac:dyDescent="0.25">
      <c r="A18" s="39"/>
    </row>
    <row r="19" spans="1:8" x14ac:dyDescent="0.25">
      <c r="A19" s="39"/>
    </row>
    <row r="20" spans="1:8" x14ac:dyDescent="0.25">
      <c r="A20" s="39"/>
    </row>
    <row r="21" spans="1:8" x14ac:dyDescent="0.25">
      <c r="A21" s="39"/>
    </row>
    <row r="22" spans="1:8" x14ac:dyDescent="0.25">
      <c r="A22" s="39"/>
    </row>
    <row r="23" spans="1:8" x14ac:dyDescent="0.25">
      <c r="A23" s="39"/>
    </row>
    <row r="24" spans="1:8" x14ac:dyDescent="0.25">
      <c r="A24" s="39"/>
    </row>
    <row r="25" spans="1:8" x14ac:dyDescent="0.25">
      <c r="A25" s="39"/>
    </row>
    <row r="26" spans="1:8" x14ac:dyDescent="0.25">
      <c r="B26" s="40" t="s">
        <v>74</v>
      </c>
    </row>
    <row r="27" spans="1:8" x14ac:dyDescent="0.25">
      <c r="B27" s="41" t="s">
        <v>71</v>
      </c>
      <c r="C27" s="41"/>
      <c r="D27" s="41"/>
      <c r="E27" s="41"/>
      <c r="F27" s="41"/>
      <c r="G27" s="41"/>
      <c r="H27" s="41"/>
    </row>
    <row r="28" spans="1:8" x14ac:dyDescent="0.25">
      <c r="B28" s="41" t="s">
        <v>72</v>
      </c>
      <c r="C28" s="41"/>
      <c r="D28" s="41"/>
      <c r="E28" s="41"/>
      <c r="F28" s="41"/>
      <c r="G28" s="41"/>
      <c r="H28" s="41"/>
    </row>
    <row r="38" spans="1:2" x14ac:dyDescent="0.25">
      <c r="A38" t="s">
        <v>75</v>
      </c>
      <c r="B38" t="s">
        <v>76</v>
      </c>
    </row>
    <row r="46" spans="1:2" x14ac:dyDescent="0.25">
      <c r="A46" t="s">
        <v>77</v>
      </c>
      <c r="B46" t="s">
        <v>91</v>
      </c>
    </row>
    <row r="53" spans="1:2" x14ac:dyDescent="0.25">
      <c r="A53" t="s">
        <v>79</v>
      </c>
      <c r="B53" t="s">
        <v>78</v>
      </c>
    </row>
  </sheetData>
  <sheetProtection algorithmName="SHA-512" hashValue="sZqdmCuvzErb587GFrRONfn+8i4Ehlgjhg5TRzipy/aEEeP8uKymX0HdNDDXSZ6V0J4DzRWx4sMEjXoYIYKgSw==" saltValue="oGV1My72BEq1e6g2u7NYgg==" spinCount="100000" sheet="1" objects="1" scenarios="1"/>
  <mergeCells count="11">
    <mergeCell ref="A3:J3"/>
    <mergeCell ref="A1:B2"/>
    <mergeCell ref="C1:H1"/>
    <mergeCell ref="I1:J1"/>
    <mergeCell ref="C2:H2"/>
    <mergeCell ref="I2:J2"/>
    <mergeCell ref="B7:J7"/>
    <mergeCell ref="B5:J5"/>
    <mergeCell ref="B6:J6"/>
    <mergeCell ref="B9:J9"/>
    <mergeCell ref="B8:J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111"/>
  <sheetViews>
    <sheetView showGridLines="0" tabSelected="1" topLeftCell="A74" zoomScale="85" zoomScaleNormal="85" workbookViewId="0">
      <selection activeCell="B7" sqref="B7:M19"/>
    </sheetView>
  </sheetViews>
  <sheetFormatPr baseColWidth="10" defaultRowHeight="15" x14ac:dyDescent="0.25"/>
  <cols>
    <col min="1" max="1" width="1.5703125" customWidth="1"/>
    <col min="2" max="2" width="30.5703125" customWidth="1"/>
    <col min="3" max="3" width="6.5703125" customWidth="1"/>
    <col min="4" max="4" width="10.42578125" customWidth="1"/>
    <col min="6" max="6" width="9.7109375" customWidth="1"/>
    <col min="7" max="7" width="11" customWidth="1"/>
    <col min="8" max="8" width="10.42578125" customWidth="1"/>
    <col min="9" max="9" width="11.7109375" bestFit="1" customWidth="1"/>
    <col min="10" max="10" width="11.5703125" bestFit="1" customWidth="1"/>
    <col min="11" max="11" width="11.7109375" bestFit="1" customWidth="1"/>
    <col min="13" max="13" width="15.5703125" bestFit="1" customWidth="1"/>
    <col min="14" max="14" width="9.7109375" customWidth="1"/>
    <col min="15" max="15" width="19.7109375" customWidth="1"/>
    <col min="16" max="16" width="11.5703125" customWidth="1"/>
    <col min="17" max="17" width="7.85546875" style="64" customWidth="1"/>
    <col min="18" max="19" width="11.5703125" style="64" customWidth="1"/>
    <col min="22" max="24" width="11.5703125" customWidth="1"/>
  </cols>
  <sheetData>
    <row r="1" spans="2:15" ht="12.75" customHeight="1" x14ac:dyDescent="0.25">
      <c r="B1" s="12" t="s">
        <v>39</v>
      </c>
      <c r="C1" s="60" t="s">
        <v>143</v>
      </c>
      <c r="D1" s="61"/>
    </row>
    <row r="2" spans="2:15" ht="12" customHeight="1" x14ac:dyDescent="0.25">
      <c r="B2" s="12" t="s">
        <v>40</v>
      </c>
      <c r="C2" s="60" t="s">
        <v>144</v>
      </c>
      <c r="D2" s="61"/>
    </row>
    <row r="3" spans="2:15" ht="11.25" customHeight="1" x14ac:dyDescent="0.25">
      <c r="B3" s="12" t="s">
        <v>41</v>
      </c>
      <c r="C3" s="60" t="s">
        <v>145</v>
      </c>
      <c r="D3" s="61"/>
    </row>
    <row r="4" spans="2:15" ht="13.5" customHeight="1" x14ac:dyDescent="0.25">
      <c r="B4" s="12" t="s">
        <v>0</v>
      </c>
      <c r="C4" s="60" t="s">
        <v>146</v>
      </c>
      <c r="D4" s="61"/>
    </row>
    <row r="5" spans="2:15" ht="5.25" customHeight="1" x14ac:dyDescent="0.25"/>
    <row r="6" spans="2:15" ht="15.75" x14ac:dyDescent="0.25">
      <c r="B6" s="15" t="s">
        <v>28</v>
      </c>
      <c r="C6" s="15" t="s">
        <v>29</v>
      </c>
      <c r="D6" s="16" t="s">
        <v>30</v>
      </c>
      <c r="E6" s="15" t="s">
        <v>15</v>
      </c>
      <c r="F6" s="15" t="s">
        <v>31</v>
      </c>
      <c r="G6" s="15" t="s">
        <v>16</v>
      </c>
      <c r="H6" s="15" t="s">
        <v>32</v>
      </c>
      <c r="I6" s="15" t="s">
        <v>17</v>
      </c>
      <c r="J6" s="15" t="s">
        <v>20</v>
      </c>
      <c r="K6" s="15" t="s">
        <v>33</v>
      </c>
      <c r="L6" s="15" t="s">
        <v>34</v>
      </c>
      <c r="M6" s="15" t="s">
        <v>60</v>
      </c>
      <c r="N6" s="15" t="s">
        <v>3</v>
      </c>
      <c r="O6" s="15" t="s">
        <v>35</v>
      </c>
    </row>
    <row r="7" spans="2:15" s="64" customFormat="1" x14ac:dyDescent="0.25">
      <c r="B7" s="99" t="s">
        <v>132</v>
      </c>
      <c r="C7" s="108" t="s">
        <v>113</v>
      </c>
      <c r="D7" s="110">
        <v>17</v>
      </c>
      <c r="E7" s="100">
        <v>4</v>
      </c>
      <c r="F7" s="108" t="s">
        <v>133</v>
      </c>
      <c r="G7" s="100">
        <v>0.4</v>
      </c>
      <c r="H7" s="100">
        <v>0.38400000000000001</v>
      </c>
      <c r="I7" s="101">
        <v>68</v>
      </c>
      <c r="J7" s="101">
        <v>26.11</v>
      </c>
      <c r="K7" s="108" t="s">
        <v>134</v>
      </c>
      <c r="L7" s="101">
        <v>108.29</v>
      </c>
      <c r="M7" s="101">
        <v>7363.72</v>
      </c>
      <c r="N7" s="80">
        <f t="shared" ref="N7:N26" si="0">IF(ISNUMBER(FIND(" ", B7)), IF(ISNUMBER(FIND("PLACA", B7)), $C$37,IF(ISNUMBER(FIND("PRETENSADO", B7)), $C$37,$C$36))," ")</f>
        <v>2895.44</v>
      </c>
      <c r="O7" s="81">
        <f>IF(M7&lt;&gt;0,+M7*N7," ")</f>
        <v>21321209.436799999</v>
      </c>
    </row>
    <row r="8" spans="2:15" s="64" customFormat="1" x14ac:dyDescent="0.25">
      <c r="B8" s="102" t="s">
        <v>135</v>
      </c>
      <c r="C8" s="109" t="s">
        <v>113</v>
      </c>
      <c r="D8" s="111">
        <v>2</v>
      </c>
      <c r="E8" s="103">
        <v>2.1</v>
      </c>
      <c r="F8" s="109" t="s">
        <v>133</v>
      </c>
      <c r="G8" s="103">
        <v>0</v>
      </c>
      <c r="H8" s="103">
        <v>0.19700000000000001</v>
      </c>
      <c r="I8" s="104">
        <v>4.2</v>
      </c>
      <c r="J8" s="104">
        <v>0.83</v>
      </c>
      <c r="K8" s="109" t="s">
        <v>134</v>
      </c>
      <c r="L8" s="104">
        <v>70</v>
      </c>
      <c r="M8" s="104">
        <v>294</v>
      </c>
      <c r="N8" s="87">
        <f t="shared" si="0"/>
        <v>2895.44</v>
      </c>
      <c r="O8" s="88">
        <f t="shared" ref="O8:O15" si="1">IF(M8&lt;&gt;0,+M8*N8," ")</f>
        <v>851259.36</v>
      </c>
    </row>
    <row r="9" spans="2:15" s="64" customFormat="1" x14ac:dyDescent="0.25">
      <c r="B9" s="102" t="s">
        <v>136</v>
      </c>
      <c r="C9" s="109" t="s">
        <v>113</v>
      </c>
      <c r="D9" s="111">
        <v>2</v>
      </c>
      <c r="E9" s="103">
        <v>5</v>
      </c>
      <c r="F9" s="109" t="s">
        <v>133</v>
      </c>
      <c r="G9" s="103">
        <v>0</v>
      </c>
      <c r="H9" s="103">
        <v>0.29599999999999999</v>
      </c>
      <c r="I9" s="104">
        <v>10</v>
      </c>
      <c r="J9" s="104">
        <v>2.96</v>
      </c>
      <c r="K9" s="109" t="s">
        <v>134</v>
      </c>
      <c r="L9" s="104">
        <v>77.25</v>
      </c>
      <c r="M9" s="104">
        <v>772.5</v>
      </c>
      <c r="N9" s="87">
        <f t="shared" si="0"/>
        <v>2895.44</v>
      </c>
      <c r="O9" s="88">
        <f t="shared" si="1"/>
        <v>2236727.4</v>
      </c>
    </row>
    <row r="10" spans="2:15" s="64" customFormat="1" x14ac:dyDescent="0.25">
      <c r="B10" s="102" t="s">
        <v>137</v>
      </c>
      <c r="C10" s="109" t="s">
        <v>113</v>
      </c>
      <c r="D10" s="111">
        <v>28</v>
      </c>
      <c r="E10" s="103">
        <v>5</v>
      </c>
      <c r="F10" s="109" t="s">
        <v>133</v>
      </c>
      <c r="G10" s="103">
        <v>0</v>
      </c>
      <c r="H10" s="103">
        <v>0.49399999999999999</v>
      </c>
      <c r="I10" s="104">
        <v>140</v>
      </c>
      <c r="J10" s="104">
        <v>69.16</v>
      </c>
      <c r="K10" s="109" t="s">
        <v>134</v>
      </c>
      <c r="L10" s="104">
        <v>128.75</v>
      </c>
      <c r="M10" s="104">
        <v>18025</v>
      </c>
      <c r="N10" s="87">
        <f t="shared" si="0"/>
        <v>2895.44</v>
      </c>
      <c r="O10" s="88">
        <f t="shared" si="1"/>
        <v>52190306</v>
      </c>
    </row>
    <row r="11" spans="2:15" s="64" customFormat="1" x14ac:dyDescent="0.25">
      <c r="B11" s="102" t="s">
        <v>137</v>
      </c>
      <c r="C11" s="109" t="s">
        <v>113</v>
      </c>
      <c r="D11" s="111">
        <v>2</v>
      </c>
      <c r="E11" s="103">
        <v>2.1</v>
      </c>
      <c r="F11" s="109" t="s">
        <v>133</v>
      </c>
      <c r="G11" s="103">
        <v>0</v>
      </c>
      <c r="H11" s="103">
        <v>0.49399999999999999</v>
      </c>
      <c r="I11" s="104">
        <v>4.2</v>
      </c>
      <c r="J11" s="104">
        <v>2.0699999999999998</v>
      </c>
      <c r="K11" s="109" t="s">
        <v>134</v>
      </c>
      <c r="L11" s="104">
        <v>128.75</v>
      </c>
      <c r="M11" s="104">
        <v>540.75</v>
      </c>
      <c r="N11" s="87">
        <f t="shared" si="0"/>
        <v>2895.44</v>
      </c>
      <c r="O11" s="88">
        <f t="shared" si="1"/>
        <v>1565709.18</v>
      </c>
    </row>
    <row r="12" spans="2:15" s="64" customFormat="1" x14ac:dyDescent="0.25">
      <c r="B12" s="82" t="s">
        <v>138</v>
      </c>
      <c r="C12" s="83" t="s">
        <v>113</v>
      </c>
      <c r="D12" s="112">
        <v>16</v>
      </c>
      <c r="E12" s="85">
        <v>5</v>
      </c>
      <c r="F12" s="83" t="s">
        <v>139</v>
      </c>
      <c r="G12" s="85">
        <v>1.8</v>
      </c>
      <c r="H12" s="85">
        <v>0.23300000000000001</v>
      </c>
      <c r="I12" s="86">
        <v>144</v>
      </c>
      <c r="J12" s="86">
        <v>33.549999999999997</v>
      </c>
      <c r="K12" s="83" t="s">
        <v>134</v>
      </c>
      <c r="L12" s="86">
        <v>55.5</v>
      </c>
      <c r="M12" s="86">
        <v>7992</v>
      </c>
      <c r="N12" s="87">
        <f t="shared" si="0"/>
        <v>2316.15</v>
      </c>
      <c r="O12" s="88">
        <f t="shared" si="1"/>
        <v>18510670.800000001</v>
      </c>
    </row>
    <row r="13" spans="2:15" s="64" customFormat="1" x14ac:dyDescent="0.25">
      <c r="B13" s="82" t="s">
        <v>140</v>
      </c>
      <c r="C13" s="83" t="s">
        <v>113</v>
      </c>
      <c r="D13" s="112">
        <v>2</v>
      </c>
      <c r="E13" s="85">
        <v>2.9</v>
      </c>
      <c r="F13" s="83" t="s">
        <v>139</v>
      </c>
      <c r="G13" s="85">
        <v>0.7</v>
      </c>
      <c r="H13" s="85">
        <v>0.28799999999999998</v>
      </c>
      <c r="I13" s="86">
        <v>4.0599999999999996</v>
      </c>
      <c r="J13" s="86">
        <v>1.17</v>
      </c>
      <c r="K13" s="83" t="s">
        <v>134</v>
      </c>
      <c r="L13" s="86">
        <v>56</v>
      </c>
      <c r="M13" s="86">
        <v>227.36</v>
      </c>
      <c r="N13" s="87">
        <f t="shared" si="0"/>
        <v>2316.15</v>
      </c>
      <c r="O13" s="88">
        <f t="shared" si="1"/>
        <v>526599.86400000006</v>
      </c>
    </row>
    <row r="14" spans="2:15" s="64" customFormat="1" x14ac:dyDescent="0.25">
      <c r="B14" s="82" t="s">
        <v>140</v>
      </c>
      <c r="C14" s="83" t="s">
        <v>113</v>
      </c>
      <c r="D14" s="112">
        <v>4</v>
      </c>
      <c r="E14" s="85">
        <v>3.4</v>
      </c>
      <c r="F14" s="83" t="s">
        <v>139</v>
      </c>
      <c r="G14" s="85">
        <v>1</v>
      </c>
      <c r="H14" s="85">
        <v>0.2</v>
      </c>
      <c r="I14" s="86">
        <v>13.6</v>
      </c>
      <c r="J14" s="86">
        <v>2.72</v>
      </c>
      <c r="K14" s="83" t="s">
        <v>134</v>
      </c>
      <c r="L14" s="86">
        <v>56</v>
      </c>
      <c r="M14" s="86">
        <v>761.6</v>
      </c>
      <c r="N14" s="87">
        <f t="shared" si="0"/>
        <v>2316.15</v>
      </c>
      <c r="O14" s="88">
        <f t="shared" si="1"/>
        <v>1763979.84</v>
      </c>
    </row>
    <row r="15" spans="2:15" s="64" customFormat="1" x14ac:dyDescent="0.25">
      <c r="B15" s="82" t="s">
        <v>140</v>
      </c>
      <c r="C15" s="83" t="s">
        <v>113</v>
      </c>
      <c r="D15" s="112">
        <v>2</v>
      </c>
      <c r="E15" s="85">
        <v>6.9</v>
      </c>
      <c r="F15" s="83" t="s">
        <v>139</v>
      </c>
      <c r="G15" s="85">
        <v>1</v>
      </c>
      <c r="H15" s="85">
        <v>0.2</v>
      </c>
      <c r="I15" s="86">
        <v>13.8</v>
      </c>
      <c r="J15" s="86">
        <v>2.76</v>
      </c>
      <c r="K15" s="83" t="s">
        <v>134</v>
      </c>
      <c r="L15" s="86">
        <v>56</v>
      </c>
      <c r="M15" s="86">
        <v>772.8</v>
      </c>
      <c r="N15" s="87">
        <f t="shared" si="0"/>
        <v>2316.15</v>
      </c>
      <c r="O15" s="88">
        <f t="shared" si="1"/>
        <v>1789920.72</v>
      </c>
    </row>
    <row r="16" spans="2:15" s="64" customFormat="1" x14ac:dyDescent="0.25">
      <c r="B16" s="82" t="s">
        <v>140</v>
      </c>
      <c r="C16" s="83" t="s">
        <v>113</v>
      </c>
      <c r="D16" s="112">
        <v>16</v>
      </c>
      <c r="E16" s="85">
        <v>5</v>
      </c>
      <c r="F16" s="83" t="s">
        <v>139</v>
      </c>
      <c r="G16" s="85">
        <v>2.1</v>
      </c>
      <c r="H16" s="85">
        <v>0.2</v>
      </c>
      <c r="I16" s="86">
        <v>168</v>
      </c>
      <c r="J16" s="86">
        <v>33.6</v>
      </c>
      <c r="K16" s="83" t="s">
        <v>134</v>
      </c>
      <c r="L16" s="86">
        <v>56</v>
      </c>
      <c r="M16" s="86">
        <v>9408</v>
      </c>
      <c r="N16" s="87">
        <f t="shared" si="0"/>
        <v>2316.15</v>
      </c>
      <c r="O16" s="88">
        <f t="shared" ref="O16:O20" si="2">IF(M16&lt;&gt;0,+M16*N16," ")</f>
        <v>21790339.199999999</v>
      </c>
    </row>
    <row r="17" spans="2:15" s="64" customFormat="1" x14ac:dyDescent="0.25">
      <c r="B17" s="82" t="s">
        <v>141</v>
      </c>
      <c r="C17" s="83" t="s">
        <v>113</v>
      </c>
      <c r="D17" s="112">
        <v>14</v>
      </c>
      <c r="E17" s="85">
        <v>5</v>
      </c>
      <c r="F17" s="83" t="s">
        <v>133</v>
      </c>
      <c r="G17" s="85">
        <v>0.1</v>
      </c>
      <c r="H17" s="85">
        <v>9.6000000000000002E-2</v>
      </c>
      <c r="I17" s="86">
        <v>70</v>
      </c>
      <c r="J17" s="86">
        <v>6.72</v>
      </c>
      <c r="K17" s="83" t="s">
        <v>134</v>
      </c>
      <c r="L17" s="86">
        <v>33.85</v>
      </c>
      <c r="M17" s="86">
        <v>2369.5</v>
      </c>
      <c r="N17" s="87">
        <f t="shared" si="0"/>
        <v>2895.44</v>
      </c>
      <c r="O17" s="88">
        <f t="shared" si="2"/>
        <v>6860745.0800000001</v>
      </c>
    </row>
    <row r="18" spans="2:15" s="64" customFormat="1" x14ac:dyDescent="0.25">
      <c r="B18" s="82" t="s">
        <v>141</v>
      </c>
      <c r="C18" s="83" t="s">
        <v>113</v>
      </c>
      <c r="D18" s="112">
        <v>2</v>
      </c>
      <c r="E18" s="85">
        <v>2.1</v>
      </c>
      <c r="F18" s="83" t="s">
        <v>133</v>
      </c>
      <c r="G18" s="85">
        <v>0.1</v>
      </c>
      <c r="H18" s="85">
        <v>9.6000000000000002E-2</v>
      </c>
      <c r="I18" s="86">
        <v>4.2</v>
      </c>
      <c r="J18" s="86">
        <v>0.4</v>
      </c>
      <c r="K18" s="83" t="s">
        <v>134</v>
      </c>
      <c r="L18" s="86">
        <v>33.85</v>
      </c>
      <c r="M18" s="86">
        <v>142.16999999999999</v>
      </c>
      <c r="N18" s="87">
        <f t="shared" si="0"/>
        <v>2895.44</v>
      </c>
      <c r="O18" s="88">
        <f t="shared" si="2"/>
        <v>411644.70479999995</v>
      </c>
    </row>
    <row r="19" spans="2:15" s="64" customFormat="1" x14ac:dyDescent="0.25">
      <c r="B19" s="82" t="s">
        <v>142</v>
      </c>
      <c r="C19" s="83" t="s">
        <v>113</v>
      </c>
      <c r="D19" s="112">
        <v>17</v>
      </c>
      <c r="E19" s="85">
        <v>7.75</v>
      </c>
      <c r="F19" s="83" t="s">
        <v>133</v>
      </c>
      <c r="G19" s="85">
        <v>0.6</v>
      </c>
      <c r="H19" s="85">
        <v>0.57599999999999996</v>
      </c>
      <c r="I19" s="86">
        <v>131.75</v>
      </c>
      <c r="J19" s="86">
        <v>75.89</v>
      </c>
      <c r="K19" s="83" t="s">
        <v>134</v>
      </c>
      <c r="L19" s="86">
        <v>76.09</v>
      </c>
      <c r="M19" s="86">
        <v>10024.86</v>
      </c>
      <c r="N19" s="87">
        <f t="shared" si="0"/>
        <v>2895.44</v>
      </c>
      <c r="O19" s="88">
        <f t="shared" si="2"/>
        <v>29026380.638400003</v>
      </c>
    </row>
    <row r="20" spans="2:15" s="64" customFormat="1" x14ac:dyDescent="0.25">
      <c r="B20" s="82"/>
      <c r="C20" s="83"/>
      <c r="D20" s="112"/>
      <c r="E20" s="85"/>
      <c r="F20" s="83"/>
      <c r="G20" s="85"/>
      <c r="H20" s="85"/>
      <c r="I20" s="86"/>
      <c r="J20" s="86"/>
      <c r="K20" s="83"/>
      <c r="L20" s="86"/>
      <c r="M20" s="86"/>
      <c r="N20" s="87" t="str">
        <f t="shared" si="0"/>
        <v xml:space="preserve"> </v>
      </c>
      <c r="O20" s="88" t="str">
        <f t="shared" si="2"/>
        <v xml:space="preserve"> </v>
      </c>
    </row>
    <row r="21" spans="2:15" s="64" customFormat="1" x14ac:dyDescent="0.25">
      <c r="B21" s="82"/>
      <c r="C21" s="83"/>
      <c r="D21" s="112"/>
      <c r="E21" s="85"/>
      <c r="F21" s="83"/>
      <c r="G21" s="85"/>
      <c r="H21" s="85"/>
      <c r="I21" s="86"/>
      <c r="J21" s="86"/>
      <c r="K21" s="83"/>
      <c r="L21" s="86"/>
      <c r="M21" s="86"/>
      <c r="N21" s="87" t="str">
        <f t="shared" si="0"/>
        <v xml:space="preserve"> </v>
      </c>
      <c r="O21" s="88" t="str">
        <f t="shared" ref="O21:O26" si="3">IF(M21&lt;&gt;0,+M21*N21," ")</f>
        <v xml:space="preserve"> </v>
      </c>
    </row>
    <row r="22" spans="2:15" s="64" customFormat="1" x14ac:dyDescent="0.25">
      <c r="B22" s="82"/>
      <c r="C22" s="83"/>
      <c r="D22" s="112"/>
      <c r="E22" s="85"/>
      <c r="F22" s="83"/>
      <c r="G22" s="85"/>
      <c r="H22" s="85"/>
      <c r="I22" s="86"/>
      <c r="J22" s="86"/>
      <c r="K22" s="83"/>
      <c r="L22" s="86"/>
      <c r="M22" s="86"/>
      <c r="N22" s="87" t="str">
        <f t="shared" si="0"/>
        <v xml:space="preserve"> </v>
      </c>
      <c r="O22" s="88" t="str">
        <f t="shared" si="3"/>
        <v xml:space="preserve"> </v>
      </c>
    </row>
    <row r="23" spans="2:15" s="64" customFormat="1" x14ac:dyDescent="0.25">
      <c r="B23" s="82"/>
      <c r="C23" s="83"/>
      <c r="D23" s="112"/>
      <c r="E23" s="85"/>
      <c r="F23" s="83"/>
      <c r="G23" s="85"/>
      <c r="H23" s="85"/>
      <c r="I23" s="86"/>
      <c r="J23" s="86"/>
      <c r="K23" s="83"/>
      <c r="L23" s="86"/>
      <c r="M23" s="86"/>
      <c r="N23" s="87" t="str">
        <f t="shared" si="0"/>
        <v xml:space="preserve"> </v>
      </c>
      <c r="O23" s="88" t="str">
        <f t="shared" si="3"/>
        <v xml:space="preserve"> </v>
      </c>
    </row>
    <row r="24" spans="2:15" s="64" customFormat="1" x14ac:dyDescent="0.25">
      <c r="B24" s="82"/>
      <c r="C24" s="83"/>
      <c r="D24" s="112"/>
      <c r="E24" s="85"/>
      <c r="F24" s="83"/>
      <c r="G24" s="85"/>
      <c r="H24" s="85"/>
      <c r="I24" s="86"/>
      <c r="J24" s="86"/>
      <c r="K24" s="83"/>
      <c r="L24" s="86"/>
      <c r="M24" s="86"/>
      <c r="N24" s="87" t="str">
        <f t="shared" si="0"/>
        <v xml:space="preserve"> </v>
      </c>
      <c r="O24" s="88" t="str">
        <f t="shared" si="3"/>
        <v xml:space="preserve"> </v>
      </c>
    </row>
    <row r="25" spans="2:15" s="64" customFormat="1" x14ac:dyDescent="0.25">
      <c r="B25" s="82"/>
      <c r="C25" s="83"/>
      <c r="D25" s="112"/>
      <c r="E25" s="85"/>
      <c r="F25" s="83"/>
      <c r="G25" s="85"/>
      <c r="H25" s="85"/>
      <c r="I25" s="86"/>
      <c r="J25" s="86"/>
      <c r="K25" s="83"/>
      <c r="L25" s="86"/>
      <c r="M25" s="86"/>
      <c r="N25" s="87" t="str">
        <f t="shared" si="0"/>
        <v xml:space="preserve"> </v>
      </c>
      <c r="O25" s="88" t="str">
        <f t="shared" si="3"/>
        <v xml:space="preserve"> </v>
      </c>
    </row>
    <row r="26" spans="2:15" s="64" customFormat="1" x14ac:dyDescent="0.25">
      <c r="B26" s="89"/>
      <c r="C26" s="90"/>
      <c r="D26" s="91"/>
      <c r="E26" s="92"/>
      <c r="F26" s="90"/>
      <c r="G26" s="92"/>
      <c r="H26" s="92"/>
      <c r="I26" s="93"/>
      <c r="J26" s="86"/>
      <c r="K26" s="90"/>
      <c r="L26" s="93"/>
      <c r="M26" s="86"/>
      <c r="N26" s="87" t="str">
        <f t="shared" si="0"/>
        <v xml:space="preserve"> </v>
      </c>
      <c r="O26" s="88" t="str">
        <f t="shared" si="3"/>
        <v xml:space="preserve"> </v>
      </c>
    </row>
    <row r="27" spans="2:15" ht="15.75" x14ac:dyDescent="0.25">
      <c r="J27" s="14">
        <f>+SUM(J7:J26)</f>
        <v>257.94</v>
      </c>
      <c r="K27" s="6"/>
      <c r="L27" s="6"/>
      <c r="M27" s="26">
        <f>+SUM(M7:M26)</f>
        <v>58694.26</v>
      </c>
      <c r="O27" s="30">
        <f>+SUM(O7:O26)</f>
        <v>158845492.22400001</v>
      </c>
    </row>
    <row r="28" spans="2:15" ht="4.5" customHeight="1" x14ac:dyDescent="0.25">
      <c r="J28" s="6"/>
      <c r="K28" s="6"/>
      <c r="L28" s="6"/>
      <c r="M28" s="6"/>
    </row>
    <row r="29" spans="2:15" x14ac:dyDescent="0.25">
      <c r="E29" s="226"/>
      <c r="F29" s="227"/>
      <c r="G29" s="14" t="s">
        <v>43</v>
      </c>
      <c r="H29" s="14" t="s">
        <v>44</v>
      </c>
      <c r="I29" s="14" t="s">
        <v>45</v>
      </c>
      <c r="J29" s="14" t="s">
        <v>46</v>
      </c>
      <c r="K29" s="14" t="s">
        <v>47</v>
      </c>
      <c r="L29" s="14" t="s">
        <v>80</v>
      </c>
    </row>
    <row r="30" spans="2:15" x14ac:dyDescent="0.25">
      <c r="E30" s="228" t="s">
        <v>36</v>
      </c>
      <c r="F30" s="229"/>
      <c r="G30" s="17">
        <f>+(SUMIF(B7:B26,"*PANEL TT 30 CASETONADO*",J7:J26))+SUMIF(B7:B26,"*PANEL W*",J7:J26)+(SUMIF(B7:B26,"*PANEL TT 40 GENERACION M.J.P.*",J7:J26))</f>
        <v>0</v>
      </c>
      <c r="H30" s="17">
        <f>+(SUMIF(B7:B26,"*PRETENSADO*",J7:J26))+(SUMIF(B7:B26,"*PANEL TT 34*",J7:J26))+(SUMIF(B7:B26,"*PANEL TT 54*",J7:J26))+(SUMIF(B7:B26,"*PANEL TT 69*",J7:J26))++(SUMIF(B7:B26,"*PANEL TT 84*",J7:J26))+(SUMIF(B7:B26,"*PASARELA CAJON*",J7:J26))</f>
        <v>33.549999999999997</v>
      </c>
      <c r="I30" s="17">
        <f>+(SUMIF(B7:B26,"*TT 30 N*",J7:J26))+(SUMIF(B7:B26,"*PLACA*",J7:J26))+(SUMIF(B7:B26,"*AUTOP*",J7:J26))+(SUMIF(B7:B26,"*TT 35 N*",J7:J26))+(SUMIF(B7:B26,"*TT 40 N*",J7:J26))</f>
        <v>40.25</v>
      </c>
      <c r="J30" s="17">
        <f>+$J$27-I30-H30-G30</f>
        <v>184.14</v>
      </c>
      <c r="K30" s="62">
        <f>+SUM(G30:J30)</f>
        <v>257.94</v>
      </c>
      <c r="L30" s="42">
        <f>IF(((G31+H31)=0),0,+K30/(G31+H31))</f>
        <v>1.79125</v>
      </c>
    </row>
    <row r="31" spans="2:15" x14ac:dyDescent="0.25">
      <c r="E31" s="228" t="s">
        <v>37</v>
      </c>
      <c r="F31" s="229"/>
      <c r="G31" s="17">
        <f>+(SUMIF(B7:B26,"*PANEL TT 30 CASETONADO*",I7:I26))+SUMIF(B7:B26,"*PANEL W*",I7:I26)+(SUMIF(B7:B26,"*PANEL TT 40 GENERACION M.J.P.*",I7:I26))</f>
        <v>0</v>
      </c>
      <c r="H31" s="17">
        <f>+(SUMIF(B7:B26,"*PRETENSADO*",I7:I26))+(SUMIF(B7:B26,"*PANEL TT 34*",I7:I26))+(SUMIF(B7:B26,"*PANEL TT 54*",I7:I26))+(SUMIF(B7:B26,"*PANEL TT 69*",I7:I26))++(SUMIF(B7:B26,"*PANEL TT 84*",I7:I26))+(SUMIF(B7:B26,"*PASARELA CAJON*",I7:I26))</f>
        <v>144</v>
      </c>
      <c r="I31" s="17">
        <f>+(SUMIF(B7:B26,"*TT 30 N*",I7:I26))+(SUMIF(B7:B26,"*PLACA*",I7:I26))+(SUMIF(B7:B26,"*AUTOP*",I7:I26))+(SUMIF(B7:B26,"*TT 35 N*",I7:I26))+(SUMIF(B7:B26,"*TT 40 N*",I7:I26))</f>
        <v>199.46</v>
      </c>
      <c r="J31" s="59">
        <v>0</v>
      </c>
      <c r="K31" s="62">
        <f>+SUM(G31:H31)</f>
        <v>144</v>
      </c>
    </row>
    <row r="32" spans="2:15" ht="5.25" customHeight="1" x14ac:dyDescent="0.25"/>
    <row r="33" spans="2:19" x14ac:dyDescent="0.25">
      <c r="B33" s="168" t="s">
        <v>1</v>
      </c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</row>
    <row r="34" spans="2:19" ht="3" customHeight="1" x14ac:dyDescent="0.25">
      <c r="D34" s="7"/>
      <c r="E34" s="7"/>
      <c r="F34" s="7"/>
      <c r="G34" s="7"/>
      <c r="K34" s="7"/>
    </row>
    <row r="35" spans="2:19" ht="18.75" x14ac:dyDescent="0.25">
      <c r="B35" s="29" t="s">
        <v>38</v>
      </c>
      <c r="C35" s="230">
        <v>45775</v>
      </c>
      <c r="D35" s="231"/>
      <c r="E35" s="232" t="s">
        <v>103</v>
      </c>
      <c r="F35" s="233"/>
      <c r="G35" s="230" t="s">
        <v>131</v>
      </c>
      <c r="H35" s="231"/>
    </row>
    <row r="36" spans="2:19" x14ac:dyDescent="0.25">
      <c r="B36" s="20" t="s">
        <v>2</v>
      </c>
      <c r="C36" s="212">
        <v>2895.44</v>
      </c>
      <c r="D36" s="212"/>
      <c r="E36" s="31"/>
      <c r="F36" s="31"/>
      <c r="G36" s="7"/>
    </row>
    <row r="37" spans="2:19" x14ac:dyDescent="0.25">
      <c r="B37" s="20" t="s">
        <v>59</v>
      </c>
      <c r="C37" s="212">
        <v>2316.15</v>
      </c>
      <c r="D37" s="212"/>
      <c r="G37" s="31"/>
      <c r="H37" s="31"/>
      <c r="I37" s="7"/>
      <c r="M37" s="156">
        <f>O27</f>
        <v>158845492.22400001</v>
      </c>
      <c r="N37" s="213"/>
      <c r="O37" s="157"/>
    </row>
    <row r="38" spans="2:19" x14ac:dyDescent="0.25">
      <c r="B38" s="19" t="s">
        <v>3</v>
      </c>
      <c r="C38" s="211">
        <v>-0.2</v>
      </c>
      <c r="D38" s="211"/>
      <c r="I38" s="7"/>
      <c r="Q38" s="217">
        <f>(+M37)*C38</f>
        <v>-31769098.444800004</v>
      </c>
      <c r="R38" s="218"/>
      <c r="S38" s="219"/>
    </row>
    <row r="39" spans="2:19" x14ac:dyDescent="0.25">
      <c r="B39" s="223" t="s">
        <v>81</v>
      </c>
      <c r="C39" s="224"/>
      <c r="D39" s="224"/>
      <c r="E39" s="224"/>
      <c r="F39" s="224"/>
      <c r="G39" s="224"/>
      <c r="H39" s="224"/>
      <c r="I39" s="224"/>
      <c r="J39" s="224"/>
      <c r="K39" s="224"/>
      <c r="L39" s="225"/>
      <c r="M39" s="220">
        <f>+M37+Q38</f>
        <v>127076393.7792</v>
      </c>
      <c r="N39" s="221"/>
      <c r="O39" s="222"/>
    </row>
    <row r="40" spans="2:19" x14ac:dyDescent="0.25">
      <c r="B40" s="19" t="s">
        <v>54</v>
      </c>
      <c r="C40" s="211">
        <v>0</v>
      </c>
      <c r="D40" s="211"/>
      <c r="I40" s="7"/>
      <c r="M40" s="214">
        <f>(+M39)*C40</f>
        <v>0</v>
      </c>
      <c r="N40" s="215"/>
      <c r="O40" s="216"/>
    </row>
    <row r="41" spans="2:19" x14ac:dyDescent="0.25">
      <c r="B41" s="223" t="s">
        <v>82</v>
      </c>
      <c r="C41" s="224"/>
      <c r="D41" s="224"/>
      <c r="E41" s="224"/>
      <c r="F41" s="224"/>
      <c r="G41" s="224"/>
      <c r="H41" s="224"/>
      <c r="I41" s="224"/>
      <c r="J41" s="224"/>
      <c r="K41" s="224"/>
      <c r="L41" s="225"/>
      <c r="M41" s="220">
        <f>SUM(M39:O40)</f>
        <v>127076393.7792</v>
      </c>
      <c r="N41" s="221"/>
      <c r="O41" s="222"/>
    </row>
    <row r="42" spans="2:19" x14ac:dyDescent="0.25">
      <c r="G42" s="158" t="s">
        <v>4</v>
      </c>
      <c r="H42" s="159"/>
      <c r="I42" s="158" t="s">
        <v>5</v>
      </c>
      <c r="J42" s="159"/>
      <c r="K42" s="158" t="s">
        <v>6</v>
      </c>
      <c r="L42" s="159"/>
      <c r="M42" s="158" t="s">
        <v>106</v>
      </c>
      <c r="N42" s="160"/>
      <c r="O42" s="159"/>
    </row>
    <row r="43" spans="2:19" ht="15.75" x14ac:dyDescent="0.25">
      <c r="G43" s="145">
        <f ca="1">IF(K31=0,0,M43/(K31+SUMIF(B48:E53,"Lucera*",I48:I53)))</f>
        <v>882474.95680000004</v>
      </c>
      <c r="H43" s="146"/>
      <c r="I43" s="145">
        <f>M43/K30</f>
        <v>492658.73373342637</v>
      </c>
      <c r="J43" s="146"/>
      <c r="K43" s="145">
        <f>I43*2.4</f>
        <v>1182380.9609602233</v>
      </c>
      <c r="L43" s="146"/>
      <c r="M43" s="161">
        <f>M41</f>
        <v>127076393.7792</v>
      </c>
      <c r="N43" s="162"/>
      <c r="O43" s="163"/>
    </row>
    <row r="44" spans="2:19" ht="6.75" customHeight="1" x14ac:dyDescent="0.25">
      <c r="B44" s="9"/>
      <c r="C44" s="8"/>
      <c r="D44" s="8"/>
      <c r="E44" s="10"/>
      <c r="F44" s="10"/>
      <c r="G44" s="8"/>
      <c r="H44" s="8"/>
      <c r="I44" s="11"/>
      <c r="J44" s="11"/>
      <c r="K44" s="11"/>
      <c r="L44" s="9"/>
    </row>
    <row r="45" spans="2:19" x14ac:dyDescent="0.25">
      <c r="B45" s="168" t="s">
        <v>13</v>
      </c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</row>
    <row r="46" spans="2:19" ht="4.5" customHeight="1" x14ac:dyDescent="0.25">
      <c r="D46" s="7"/>
      <c r="E46" s="1"/>
      <c r="F46" s="7"/>
      <c r="G46" s="7"/>
      <c r="H46" s="7"/>
      <c r="I46" s="7"/>
      <c r="J46" s="7"/>
      <c r="K46" s="2"/>
    </row>
    <row r="47" spans="2:19" ht="15.75" x14ac:dyDescent="0.25">
      <c r="B47" s="150" t="s">
        <v>14</v>
      </c>
      <c r="C47" s="151"/>
      <c r="D47" s="151"/>
      <c r="E47" s="152"/>
      <c r="F47" s="74" t="s">
        <v>55</v>
      </c>
      <c r="G47" s="74" t="s">
        <v>15</v>
      </c>
      <c r="H47" s="74" t="s">
        <v>16</v>
      </c>
      <c r="I47" s="74" t="s">
        <v>17</v>
      </c>
      <c r="J47" s="74" t="s">
        <v>18</v>
      </c>
      <c r="K47" s="74" t="s">
        <v>19</v>
      </c>
      <c r="L47" s="74" t="s">
        <v>20</v>
      </c>
      <c r="M47" s="74" t="s">
        <v>21</v>
      </c>
      <c r="N47" s="209" t="s">
        <v>22</v>
      </c>
      <c r="O47" s="209"/>
    </row>
    <row r="48" spans="2:19" x14ac:dyDescent="0.25">
      <c r="B48" s="204" t="s">
        <v>23</v>
      </c>
      <c r="C48" s="205"/>
      <c r="D48" s="205"/>
      <c r="E48" s="206"/>
      <c r="F48" s="57">
        <v>0</v>
      </c>
      <c r="G48" s="53">
        <v>0</v>
      </c>
      <c r="H48" s="53">
        <v>0</v>
      </c>
      <c r="I48" s="65">
        <f>+G48*F48</f>
        <v>0</v>
      </c>
      <c r="J48" s="65" t="s">
        <v>122</v>
      </c>
      <c r="K48" s="55">
        <v>0</v>
      </c>
      <c r="L48" s="65">
        <f>+K48*F48*I48</f>
        <v>0</v>
      </c>
      <c r="M48" s="53">
        <v>6565</v>
      </c>
      <c r="N48" s="210">
        <f>+M48*I48</f>
        <v>0</v>
      </c>
      <c r="O48" s="210"/>
    </row>
    <row r="49" spans="1:24" x14ac:dyDescent="0.25">
      <c r="B49" s="204" t="s">
        <v>24</v>
      </c>
      <c r="C49" s="205"/>
      <c r="D49" s="205"/>
      <c r="E49" s="206"/>
      <c r="F49" s="58">
        <v>0</v>
      </c>
      <c r="G49" s="54">
        <v>0</v>
      </c>
      <c r="H49" s="54">
        <v>0</v>
      </c>
      <c r="I49" s="66">
        <f>+F49</f>
        <v>0</v>
      </c>
      <c r="J49" s="67" t="s">
        <v>57</v>
      </c>
      <c r="K49" s="56">
        <v>0</v>
      </c>
      <c r="L49" s="66">
        <f t="shared" ref="L49:L53" si="4">+K49*F49*I49</f>
        <v>0</v>
      </c>
      <c r="M49" s="54">
        <v>0</v>
      </c>
      <c r="N49" s="180">
        <f t="shared" ref="N49:N52" si="5">+M49*I49</f>
        <v>0</v>
      </c>
      <c r="O49" s="180"/>
    </row>
    <row r="50" spans="1:24" x14ac:dyDescent="0.25">
      <c r="B50" s="204" t="s">
        <v>25</v>
      </c>
      <c r="C50" s="205"/>
      <c r="D50" s="205"/>
      <c r="E50" s="206"/>
      <c r="F50" s="58">
        <v>0</v>
      </c>
      <c r="G50" s="54">
        <v>0</v>
      </c>
      <c r="H50" s="54">
        <v>0</v>
      </c>
      <c r="I50" s="66">
        <f t="shared" ref="I50" si="6">+H50*G50*F50</f>
        <v>0</v>
      </c>
      <c r="J50" s="67" t="s">
        <v>122</v>
      </c>
      <c r="K50" s="56">
        <v>0</v>
      </c>
      <c r="L50" s="66">
        <f t="shared" si="4"/>
        <v>0</v>
      </c>
      <c r="M50" s="54">
        <v>11010</v>
      </c>
      <c r="N50" s="180">
        <f t="shared" si="5"/>
        <v>0</v>
      </c>
      <c r="O50" s="180"/>
    </row>
    <row r="51" spans="1:24" x14ac:dyDescent="0.25">
      <c r="B51" s="204" t="s">
        <v>120</v>
      </c>
      <c r="C51" s="205"/>
      <c r="D51" s="205"/>
      <c r="E51" s="206"/>
      <c r="F51" s="58">
        <v>0</v>
      </c>
      <c r="G51" s="54">
        <v>0</v>
      </c>
      <c r="H51" s="54">
        <v>0</v>
      </c>
      <c r="I51" s="66">
        <f>+H51*G51*F51</f>
        <v>0</v>
      </c>
      <c r="J51" s="67" t="s">
        <v>26</v>
      </c>
      <c r="K51" s="56">
        <v>0</v>
      </c>
      <c r="L51" s="66">
        <f t="shared" si="4"/>
        <v>0</v>
      </c>
      <c r="M51" s="54">
        <v>8102</v>
      </c>
      <c r="N51" s="180">
        <f t="shared" si="5"/>
        <v>0</v>
      </c>
      <c r="O51" s="180"/>
    </row>
    <row r="52" spans="1:24" x14ac:dyDescent="0.25">
      <c r="B52" s="204" t="s">
        <v>56</v>
      </c>
      <c r="C52" s="205"/>
      <c r="D52" s="205"/>
      <c r="E52" s="206"/>
      <c r="F52" s="58">
        <v>0</v>
      </c>
      <c r="G52" s="54">
        <v>0</v>
      </c>
      <c r="H52" s="54">
        <v>0</v>
      </c>
      <c r="I52" s="66">
        <f t="shared" ref="I52:I53" si="7">+H52*G52*F52</f>
        <v>0</v>
      </c>
      <c r="J52" s="67" t="s">
        <v>26</v>
      </c>
      <c r="K52" s="56">
        <v>0</v>
      </c>
      <c r="L52" s="66">
        <f t="shared" si="4"/>
        <v>0</v>
      </c>
      <c r="M52" s="54">
        <v>29033</v>
      </c>
      <c r="N52" s="180">
        <f t="shared" si="5"/>
        <v>0</v>
      </c>
      <c r="O52" s="180"/>
    </row>
    <row r="53" spans="1:24" x14ac:dyDescent="0.25">
      <c r="B53" s="153" t="s">
        <v>108</v>
      </c>
      <c r="C53" s="154"/>
      <c r="D53" s="154"/>
      <c r="E53" s="155"/>
      <c r="F53" s="58">
        <v>0</v>
      </c>
      <c r="G53" s="54">
        <v>0</v>
      </c>
      <c r="H53" s="54">
        <v>0</v>
      </c>
      <c r="I53" s="66">
        <f t="shared" si="7"/>
        <v>0</v>
      </c>
      <c r="J53" s="67" t="s">
        <v>26</v>
      </c>
      <c r="K53" s="56">
        <v>0</v>
      </c>
      <c r="L53" s="66">
        <f t="shared" si="4"/>
        <v>0</v>
      </c>
      <c r="M53" s="54">
        <v>167706</v>
      </c>
      <c r="N53" s="180">
        <f t="shared" ref="N53" si="8">+M53*I53</f>
        <v>0</v>
      </c>
      <c r="O53" s="180"/>
    </row>
    <row r="54" spans="1:24" ht="6" customHeight="1" x14ac:dyDescent="0.25">
      <c r="B54" s="37"/>
      <c r="C54" s="38"/>
      <c r="F54" s="32"/>
      <c r="G54" s="32"/>
      <c r="H54" s="32"/>
      <c r="I54" s="32"/>
      <c r="J54" s="32"/>
      <c r="K54" s="32"/>
      <c r="L54" s="32"/>
      <c r="M54" s="32"/>
      <c r="N54" s="32"/>
      <c r="O54" s="33"/>
    </row>
    <row r="55" spans="1:24" x14ac:dyDescent="0.25">
      <c r="B55" s="34" t="s">
        <v>27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6"/>
      <c r="N55" s="175">
        <f>SUM(N48:O53)*0.1</f>
        <v>0</v>
      </c>
      <c r="O55" s="176"/>
    </row>
    <row r="56" spans="1:24" x14ac:dyDescent="0.25">
      <c r="B56" s="27"/>
      <c r="C56" s="25"/>
      <c r="F56" s="25"/>
      <c r="G56" s="25"/>
      <c r="H56" s="27"/>
      <c r="I56" s="28">
        <f>SUM(I48:I53)</f>
        <v>0</v>
      </c>
      <c r="J56" s="25"/>
      <c r="K56" s="3"/>
      <c r="L56" s="28">
        <f>SUM(L48:L53)</f>
        <v>0</v>
      </c>
      <c r="M56" s="25"/>
      <c r="N56" s="207">
        <f>SUM(N48:O55)</f>
        <v>0</v>
      </c>
      <c r="O56" s="208"/>
    </row>
    <row r="57" spans="1:24" ht="4.9000000000000004" customHeight="1" x14ac:dyDescent="0.25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</row>
    <row r="58" spans="1:24" x14ac:dyDescent="0.25">
      <c r="G58" s="158" t="s">
        <v>4</v>
      </c>
      <c r="H58" s="159"/>
      <c r="I58" s="158" t="s">
        <v>5</v>
      </c>
      <c r="J58" s="159"/>
      <c r="K58" s="158" t="s">
        <v>6</v>
      </c>
      <c r="L58" s="159"/>
      <c r="M58" s="158" t="s">
        <v>128</v>
      </c>
      <c r="N58" s="160"/>
      <c r="O58" s="159"/>
    </row>
    <row r="59" spans="1:24" ht="14.45" customHeight="1" x14ac:dyDescent="0.25">
      <c r="G59" s="145">
        <f ca="1">IF(K31=0,0,M59/(K31+SUMIF(B48:E53,"Lucera*",I48:I53)))</f>
        <v>882474.95680000004</v>
      </c>
      <c r="H59" s="146"/>
      <c r="I59" s="145">
        <f>M59/K30</f>
        <v>492658.73373342637</v>
      </c>
      <c r="J59" s="146"/>
      <c r="K59" s="145">
        <f>I59*2.4</f>
        <v>1182380.9609602233</v>
      </c>
      <c r="L59" s="146"/>
      <c r="M59" s="161">
        <f>M43+N56</f>
        <v>127076393.7792</v>
      </c>
      <c r="N59" s="162"/>
      <c r="O59" s="163"/>
    </row>
    <row r="60" spans="1:24" ht="6" customHeight="1" x14ac:dyDescent="0.25">
      <c r="V60" s="63">
        <f>+F63/50</f>
        <v>8</v>
      </c>
      <c r="W60" s="63">
        <f>+ROUNDUP(V60,0)</f>
        <v>8</v>
      </c>
      <c r="X60" s="63">
        <f>IF(F63=0,"LOCAL",IF(F63="LOCAL","LOCAL",+W60*50))</f>
        <v>400</v>
      </c>
    </row>
    <row r="61" spans="1:24" ht="13.5" customHeight="1" x14ac:dyDescent="0.25">
      <c r="B61" s="186" t="s">
        <v>117</v>
      </c>
      <c r="C61" s="186"/>
      <c r="D61" s="186"/>
      <c r="E61" s="186"/>
      <c r="F61" s="186"/>
      <c r="G61" s="186"/>
      <c r="H61" s="186"/>
      <c r="I61" s="185" t="s">
        <v>118</v>
      </c>
      <c r="J61" s="185"/>
      <c r="K61" s="185"/>
      <c r="L61" s="185"/>
      <c r="M61" s="234" t="s">
        <v>107</v>
      </c>
      <c r="N61" s="234"/>
      <c r="O61" s="234"/>
      <c r="T61" s="64"/>
      <c r="V61" t="s">
        <v>107</v>
      </c>
    </row>
    <row r="62" spans="1:24" ht="4.9000000000000004" customHeight="1" x14ac:dyDescent="0.25">
      <c r="T62" s="64"/>
      <c r="V62" t="s">
        <v>113</v>
      </c>
    </row>
    <row r="63" spans="1:24" x14ac:dyDescent="0.25">
      <c r="B63" s="202" t="s">
        <v>48</v>
      </c>
      <c r="C63" s="202"/>
      <c r="D63" s="202"/>
      <c r="E63" s="202"/>
      <c r="F63" s="203">
        <v>400</v>
      </c>
      <c r="G63" s="203"/>
      <c r="H63" s="25" t="s">
        <v>42</v>
      </c>
      <c r="Q63" s="181" t="s">
        <v>105</v>
      </c>
      <c r="R63" s="181"/>
      <c r="S63" s="181"/>
      <c r="T63" s="64"/>
    </row>
    <row r="64" spans="1:24" x14ac:dyDescent="0.25">
      <c r="B64" s="187" t="s">
        <v>49</v>
      </c>
      <c r="C64" s="188"/>
      <c r="D64" s="188"/>
      <c r="E64" s="188"/>
      <c r="F64" s="94">
        <v>0</v>
      </c>
      <c r="G64" s="95">
        <f t="shared" ref="G64:G70" si="9">IF(F64=0,(+_xlfn.CEILING.MATH(Q64,1))*26,0)</f>
        <v>260</v>
      </c>
      <c r="H64" s="21" t="s">
        <v>7</v>
      </c>
      <c r="I64" s="7" t="s">
        <v>8</v>
      </c>
      <c r="J64" s="184">
        <f>IF($X$60="Local",VLOOKUP("Local",'Precio Transporte'!B3:F23,{2;3;4;5},FALSE),IF($X$60&gt;1000,VLOOKUP(1000,'Precio Transporte'!$B$3:$F$23,{2;3;4;5},TRUE)+($X$60-1000)/100*VLOOKUP(1000,'Precio Transporte'!$B$3:$F$23,{2;3;4;5},TRUE)*0.1,VLOOKUP($X$60,'Precio Transporte'!$B$3:$F$23,{2;3;4;5},TRUE)))</f>
        <v>32791.775900000001</v>
      </c>
      <c r="K64" s="184"/>
      <c r="N64" s="189">
        <f>IF(M61="SI",IF(F64=0,+G64*J64,F64*J64),0)</f>
        <v>8525861.7339999992</v>
      </c>
      <c r="O64" s="190"/>
      <c r="Q64" s="181">
        <f>IF(COUNTIF(B7:B26,"*PANEL TT 30 CASETONADO*"),(((SUMIF(E7:E26,"&lt;=13,5",J7:J26))-((SUMIF(B7:B26,"*PANEL TT 30 CASETONADO*",J7:J26))+(SUMIF(B7:B26,"TIMPANO BORDE CASETONADO",J7:J26))+(SUMIF(B7:B26,"TIMPANO BORDE CASETONADO",J7:J26))))/26),((SUMIF(E7:E26,"&lt;=13,5",J7:J26))/26))</f>
        <v>9.9207692307692312</v>
      </c>
      <c r="R64" s="181"/>
      <c r="S64" s="181"/>
      <c r="T64" s="64"/>
      <c r="V64" t="s">
        <v>118</v>
      </c>
    </row>
    <row r="65" spans="2:22" ht="14.45" customHeight="1" x14ac:dyDescent="0.25">
      <c r="B65" s="187" t="s">
        <v>50</v>
      </c>
      <c r="C65" s="188"/>
      <c r="D65" s="188"/>
      <c r="E65" s="188"/>
      <c r="F65" s="94">
        <v>0</v>
      </c>
      <c r="G65" s="95">
        <f t="shared" si="9"/>
        <v>0</v>
      </c>
      <c r="H65" s="21" t="s">
        <v>7</v>
      </c>
      <c r="I65" s="7" t="s">
        <v>8</v>
      </c>
      <c r="J65" s="183">
        <f>J64</f>
        <v>32791.775900000001</v>
      </c>
      <c r="K65" s="183"/>
      <c r="N65" s="189">
        <f>IF(M61="SI",IF(F65=0,+G65*J65,F65*J65),0)</f>
        <v>0</v>
      </c>
      <c r="O65" s="190"/>
      <c r="Q65" s="181">
        <f>IF(COUNTIF(B7:B26,"*PANEL TT 30 CASETONADO*"),(SUMIF(B7:B26,"*PANEL TT 30 CASETONADO*",D7:D26))/6+((SUMIFS(J7:J26,B7:B26,"TIMPANO BORDE CASETONADO",B7:B26,"VIGA BORDE CASETONADO"))/26),0)</f>
        <v>0</v>
      </c>
      <c r="R65" s="181"/>
      <c r="S65" s="181"/>
      <c r="T65" s="64"/>
      <c r="V65" t="s">
        <v>119</v>
      </c>
    </row>
    <row r="66" spans="2:22" ht="14.45" customHeight="1" x14ac:dyDescent="0.25">
      <c r="B66" s="187" t="s">
        <v>125</v>
      </c>
      <c r="C66" s="188"/>
      <c r="D66" s="188"/>
      <c r="E66" s="188"/>
      <c r="F66" s="94">
        <v>0</v>
      </c>
      <c r="G66" s="95">
        <f t="shared" si="9"/>
        <v>0</v>
      </c>
      <c r="H66" s="21" t="s">
        <v>7</v>
      </c>
      <c r="I66" s="7" t="s">
        <v>8</v>
      </c>
      <c r="J66" s="183">
        <f>J65</f>
        <v>32791.775900000001</v>
      </c>
      <c r="K66" s="183"/>
      <c r="N66" s="189">
        <f>IF(M61="SI",IF(F66=0,+G66*J66,F66*J66),0)</f>
        <v>0</v>
      </c>
      <c r="O66" s="190"/>
      <c r="Q66" s="181">
        <f>(L106/26)</f>
        <v>0</v>
      </c>
      <c r="R66" s="181"/>
      <c r="S66" s="181"/>
      <c r="T66" s="64"/>
      <c r="V66" t="s">
        <v>119</v>
      </c>
    </row>
    <row r="67" spans="2:22" x14ac:dyDescent="0.25">
      <c r="B67" s="187" t="s">
        <v>51</v>
      </c>
      <c r="C67" s="188"/>
      <c r="D67" s="188"/>
      <c r="E67" s="188"/>
      <c r="F67" s="94">
        <v>0</v>
      </c>
      <c r="G67" s="95">
        <f t="shared" si="9"/>
        <v>0</v>
      </c>
      <c r="H67" s="21" t="s">
        <v>7</v>
      </c>
      <c r="I67" s="7" t="s">
        <v>8</v>
      </c>
      <c r="J67" s="184">
        <f>IF($X$60="Local",VLOOKUP("Local",'Precio Transporte'!B3:F23,{3;4;5},FALSE),IF($X$60&gt;1000,VLOOKUP(1000,'Precio Transporte'!$B$3:$F$23,{3;4;5},TRUE)+($X$60-1000)/100*VLOOKUP(1000,'Precio Transporte'!$B$3:$F$23,{3;4;5},TRUE)*0.1,VLOOKUP($X$60,'Precio Transporte'!$B$3:$F$23,{3;4;5},TRUE)))</f>
        <v>45908.486199999999</v>
      </c>
      <c r="K67" s="184"/>
      <c r="N67" s="189">
        <f>IF(M61="SI",IF(F67=0,+G67*J67,F67*J67),0)</f>
        <v>0</v>
      </c>
      <c r="O67" s="190"/>
      <c r="Q67" s="181">
        <f>SUMIFS($J$7:$J$26,$E$7:$E$26,"&lt;=16",$E$7:$E$26,"&gt;13,5")/26</f>
        <v>0</v>
      </c>
      <c r="R67" s="181"/>
      <c r="S67" s="181"/>
    </row>
    <row r="68" spans="2:22" ht="14.45" customHeight="1" x14ac:dyDescent="0.25">
      <c r="B68" s="187" t="s">
        <v>52</v>
      </c>
      <c r="C68" s="188"/>
      <c r="D68" s="188"/>
      <c r="E68" s="188"/>
      <c r="F68" s="94">
        <v>0</v>
      </c>
      <c r="G68" s="95">
        <f t="shared" si="9"/>
        <v>0</v>
      </c>
      <c r="H68" s="21" t="s">
        <v>7</v>
      </c>
      <c r="I68" s="7" t="s">
        <v>8</v>
      </c>
      <c r="J68" s="184">
        <f>IF($X$60="Local",VLOOKUP("Local",'Precio Transporte'!B3:F23,{4;5},FALSE),IF($X$60&gt;1000,VLOOKUP(1000,'Precio Transporte'!$B$3:$F$23,{4;5},TRUE)+($X$60-1000)/100*VLOOKUP(1000,'Precio Transporte'!$B$3:$F$23,{4;5},TRUE)*0.1,VLOOKUP($X$60,'Precio Transporte'!$B$3:$F$23,{4;5},TRUE)))</f>
        <v>52466.841399999998</v>
      </c>
      <c r="K68" s="184"/>
      <c r="N68" s="189">
        <f>IF(M61="SI",IF(F68=0,+G68*J68,F68*J68),0)</f>
        <v>0</v>
      </c>
      <c r="O68" s="190"/>
      <c r="Q68" s="181">
        <f>(SUMIFS($J$7:$J$26,$E$7:$E$26,"&lt;=26",$E$7:$E$26,"&gt;16"))/26</f>
        <v>0</v>
      </c>
      <c r="R68" s="181"/>
      <c r="S68" s="181"/>
    </row>
    <row r="69" spans="2:22" ht="14.45" customHeight="1" x14ac:dyDescent="0.25">
      <c r="B69" s="187" t="s">
        <v>53</v>
      </c>
      <c r="C69" s="188"/>
      <c r="D69" s="188"/>
      <c r="E69" s="188"/>
      <c r="F69" s="94">
        <v>0</v>
      </c>
      <c r="G69" s="95">
        <f t="shared" si="9"/>
        <v>0</v>
      </c>
      <c r="H69" s="21" t="s">
        <v>7</v>
      </c>
      <c r="I69" s="7" t="s">
        <v>8</v>
      </c>
      <c r="J69" s="184">
        <f>IF($X$60="Local",VLOOKUP("Local",'Precio Transporte'!B2:F22,{5},FALSE),IF($X$60&gt;1000,VLOOKUP(1000,'Precio Transporte'!$B$3:$F$23,{5},TRUE)+($X$60-1000)/100*VLOOKUP(1000,'Precio Transporte'!$B$3:$F$23,{5},TRUE)*0.1,VLOOKUP($X$60,'Precio Transporte'!$B$3:$F$23,{5},TRUE)))</f>
        <v>57713.525600000001</v>
      </c>
      <c r="K69" s="184"/>
      <c r="N69" s="189">
        <f>IF(M61="SI",IF(F69=0,+G69*J69,F69*J69),0)</f>
        <v>0</v>
      </c>
      <c r="O69" s="190"/>
      <c r="Q69" s="181">
        <f>SUMIFS($J$7:$J$26,$E$7:$E$26,"&lt;=31",$E$7:$E$26,"&gt;26")/26</f>
        <v>0</v>
      </c>
      <c r="R69" s="181"/>
      <c r="S69" s="181"/>
    </row>
    <row r="70" spans="2:22" x14ac:dyDescent="0.25">
      <c r="B70" s="187" t="s">
        <v>112</v>
      </c>
      <c r="C70" s="188"/>
      <c r="D70" s="188"/>
      <c r="E70" s="188"/>
      <c r="F70" s="94">
        <v>0</v>
      </c>
      <c r="G70" s="95">
        <f t="shared" si="9"/>
        <v>0</v>
      </c>
      <c r="H70" s="21" t="s">
        <v>7</v>
      </c>
      <c r="I70" s="7" t="s">
        <v>8</v>
      </c>
      <c r="J70" s="182">
        <v>0</v>
      </c>
      <c r="K70" s="182"/>
      <c r="N70" s="189">
        <f>IF(M61="SI",+IF(F70=0,+G70*J70,F70*J70),0)</f>
        <v>0</v>
      </c>
      <c r="O70" s="190"/>
      <c r="Q70" s="181">
        <f>SUMIFS($J$7:$J$26,$E$7:$E$26,"&gt;=31",$E$7:$E$26,"&gt;26")/26</f>
        <v>0</v>
      </c>
      <c r="R70" s="181"/>
      <c r="S70" s="181"/>
    </row>
    <row r="71" spans="2:22" x14ac:dyDescent="0.25">
      <c r="B71" s="23" t="s">
        <v>12</v>
      </c>
      <c r="D71" s="1"/>
      <c r="E71" s="1"/>
      <c r="F71" s="7"/>
      <c r="G71" s="7"/>
      <c r="N71" s="197">
        <f>SUM(N64:O70)*0.1</f>
        <v>852586.17339999997</v>
      </c>
      <c r="O71" s="198"/>
      <c r="Q71" s="107"/>
      <c r="R71" s="107"/>
      <c r="S71" s="107"/>
    </row>
    <row r="72" spans="2:22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M72" s="9"/>
      <c r="N72" s="9"/>
    </row>
    <row r="73" spans="2:22" x14ac:dyDescent="0.25">
      <c r="D73" s="1"/>
      <c r="G73" s="158" t="s">
        <v>4</v>
      </c>
      <c r="H73" s="159"/>
      <c r="I73" s="158" t="s">
        <v>5</v>
      </c>
      <c r="J73" s="159"/>
      <c r="K73" s="158" t="s">
        <v>6</v>
      </c>
      <c r="L73" s="159"/>
      <c r="M73" s="158" t="s">
        <v>115</v>
      </c>
      <c r="N73" s="160"/>
      <c r="O73" s="159"/>
    </row>
    <row r="74" spans="2:22" ht="15.75" x14ac:dyDescent="0.25">
      <c r="D74" s="1"/>
      <c r="G74" s="145">
        <f ca="1">IF(K31=0,0,M74/(K31+SUMIF(B48:E53,"Lucera*",I48:I53)))</f>
        <v>65128.110468055551</v>
      </c>
      <c r="H74" s="146"/>
      <c r="I74" s="235">
        <f>M74/K30</f>
        <v>36359.028872606032</v>
      </c>
      <c r="J74" s="146"/>
      <c r="K74" s="145">
        <f>I74*2.4</f>
        <v>87261.669294254476</v>
      </c>
      <c r="L74" s="146"/>
      <c r="M74" s="161">
        <f>SUM(N64:O71)</f>
        <v>9378447.907399999</v>
      </c>
      <c r="N74" s="162"/>
      <c r="O74" s="163"/>
    </row>
    <row r="75" spans="2:22" ht="6" customHeight="1" x14ac:dyDescent="0.25">
      <c r="D75" s="1"/>
      <c r="G75" s="105"/>
      <c r="H75" s="105"/>
      <c r="I75" s="105"/>
      <c r="J75" s="105"/>
      <c r="K75" s="105"/>
      <c r="L75" s="105"/>
      <c r="M75" s="106"/>
      <c r="N75" s="106"/>
      <c r="O75" s="106"/>
    </row>
    <row r="76" spans="2:22" ht="12" customHeight="1" x14ac:dyDescent="0.25">
      <c r="B76" s="168" t="s">
        <v>114</v>
      </c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234" t="s">
        <v>107</v>
      </c>
      <c r="N76" s="234"/>
      <c r="O76" s="234"/>
    </row>
    <row r="77" spans="2:22" ht="14.45" customHeight="1" x14ac:dyDescent="0.25">
      <c r="B77" s="20" t="s">
        <v>9</v>
      </c>
      <c r="F77" s="199">
        <f>IF(F78=0,(J27+L106),0)</f>
        <v>257.94</v>
      </c>
      <c r="G77" s="199"/>
      <c r="H77" s="21" t="s">
        <v>7</v>
      </c>
      <c r="I77" s="22" t="s">
        <v>10</v>
      </c>
      <c r="J77" s="200">
        <v>85381</v>
      </c>
      <c r="K77" s="200"/>
      <c r="N77" s="189">
        <f>IF(M76="SI",F77*J77,0)</f>
        <v>22023175.140000001</v>
      </c>
      <c r="O77" s="190"/>
    </row>
    <row r="78" spans="2:22" ht="14.45" customHeight="1" x14ac:dyDescent="0.25">
      <c r="B78" s="20" t="s">
        <v>90</v>
      </c>
      <c r="F78" s="200">
        <v>0</v>
      </c>
      <c r="G78" s="200"/>
      <c r="H78" s="21" t="s">
        <v>57</v>
      </c>
      <c r="I78" s="22" t="s">
        <v>89</v>
      </c>
      <c r="J78" s="200">
        <v>4269062</v>
      </c>
      <c r="K78" s="200"/>
      <c r="N78" s="189">
        <f>IF(M76="SI",+F78*J78,0)</f>
        <v>0</v>
      </c>
      <c r="O78" s="190"/>
    </row>
    <row r="79" spans="2:22" x14ac:dyDescent="0.25">
      <c r="B79" s="20" t="s">
        <v>111</v>
      </c>
      <c r="F79" s="200">
        <v>0</v>
      </c>
      <c r="G79" s="200"/>
      <c r="H79" s="21" t="s">
        <v>57</v>
      </c>
      <c r="I79" s="22" t="s">
        <v>89</v>
      </c>
      <c r="J79" s="200">
        <v>2206451</v>
      </c>
      <c r="K79" s="200"/>
      <c r="N79" s="189">
        <f>IF(M76="SI",F79*J79,0)</f>
        <v>0</v>
      </c>
      <c r="O79" s="190"/>
    </row>
    <row r="80" spans="2:22" x14ac:dyDescent="0.25">
      <c r="B80" s="20" t="s">
        <v>110</v>
      </c>
      <c r="D80" t="str">
        <f>+IF(F79=0,"1 GRÚA","2 GRÚAS")</f>
        <v>1 GRÚA</v>
      </c>
      <c r="F80" s="201">
        <f>IF(F63="LOCAL",0,IF(F79=0,+F63*2,+F63*4))</f>
        <v>800</v>
      </c>
      <c r="G80" s="201"/>
      <c r="H80" s="21" t="s">
        <v>42</v>
      </c>
      <c r="I80" s="7" t="s">
        <v>11</v>
      </c>
      <c r="J80" s="200">
        <v>2625</v>
      </c>
      <c r="K80" s="200"/>
      <c r="N80" s="189">
        <f>IF(M76="SI",F80*J80,0)</f>
        <v>2100000</v>
      </c>
      <c r="O80" s="190"/>
    </row>
    <row r="81" spans="2:15" ht="14.45" customHeight="1" x14ac:dyDescent="0.25">
      <c r="B81" s="23" t="s">
        <v>12</v>
      </c>
      <c r="D81" s="1"/>
      <c r="E81" s="1"/>
      <c r="F81" s="7"/>
      <c r="G81" s="7"/>
      <c r="N81" s="197">
        <f>SUM(N77:O80)*0.1</f>
        <v>2412317.514</v>
      </c>
      <c r="O81" s="198"/>
    </row>
    <row r="82" spans="2:15" ht="14.45" customHeight="1" x14ac:dyDescent="0.25">
      <c r="D82" s="1"/>
      <c r="E82" s="1"/>
      <c r="F82" s="7"/>
      <c r="G82" s="7"/>
    </row>
    <row r="83" spans="2:15" x14ac:dyDescent="0.25">
      <c r="D83" s="1"/>
      <c r="G83" s="158" t="s">
        <v>4</v>
      </c>
      <c r="H83" s="159"/>
      <c r="I83" s="158" t="s">
        <v>5</v>
      </c>
      <c r="J83" s="159"/>
      <c r="K83" s="158" t="s">
        <v>6</v>
      </c>
      <c r="L83" s="159"/>
      <c r="M83" s="158" t="s">
        <v>116</v>
      </c>
      <c r="N83" s="160"/>
      <c r="O83" s="159"/>
    </row>
    <row r="84" spans="2:15" ht="14.45" customHeight="1" x14ac:dyDescent="0.25">
      <c r="D84" s="1"/>
      <c r="G84" s="145">
        <f ca="1">IF(K31=0,0,M84/(K31+SUMIF(B48:E53,"Lucera*",I48:I53)))</f>
        <v>184274.25454166665</v>
      </c>
      <c r="H84" s="146"/>
      <c r="I84" s="145">
        <f>M84/K30</f>
        <v>102874.67106303791</v>
      </c>
      <c r="J84" s="146"/>
      <c r="K84" s="145">
        <f>I84*2.4</f>
        <v>246899.21055129098</v>
      </c>
      <c r="L84" s="146"/>
      <c r="M84" s="161">
        <f>SUM(N77:O81)</f>
        <v>26535492.653999999</v>
      </c>
      <c r="N84" s="162"/>
      <c r="O84" s="163"/>
    </row>
    <row r="85" spans="2:15" ht="7.15" customHeight="1" x14ac:dyDescent="0.25">
      <c r="D85" s="1"/>
      <c r="G85" s="8"/>
      <c r="H85" s="8"/>
      <c r="I85" s="8"/>
      <c r="J85" s="8"/>
      <c r="K85" s="8"/>
      <c r="L85" s="8"/>
      <c r="M85" s="13"/>
      <c r="N85" s="13"/>
      <c r="O85" s="13"/>
    </row>
    <row r="86" spans="2:15" x14ac:dyDescent="0.25">
      <c r="D86" s="7"/>
      <c r="G86" s="158" t="s">
        <v>4</v>
      </c>
      <c r="H86" s="159"/>
      <c r="I86" s="158" t="s">
        <v>5</v>
      </c>
      <c r="J86" s="159"/>
      <c r="K86" s="158" t="s">
        <v>6</v>
      </c>
      <c r="L86" s="159"/>
      <c r="M86" s="158" t="s">
        <v>127</v>
      </c>
      <c r="N86" s="160"/>
      <c r="O86" s="159"/>
    </row>
    <row r="87" spans="2:15" ht="20.25" customHeight="1" x14ac:dyDescent="0.25">
      <c r="C87" s="18"/>
      <c r="D87" s="7"/>
      <c r="G87" s="145">
        <f ca="1">IF(K31=0,0,M87/(K31+SUMIF(B48:E53,"Lucera*",I48:I53)))</f>
        <v>1131877.3218097223</v>
      </c>
      <c r="H87" s="146"/>
      <c r="I87" s="145">
        <f>M87/K30</f>
        <v>631892.43366907036</v>
      </c>
      <c r="J87" s="146"/>
      <c r="K87" s="145">
        <f>I87*2.4</f>
        <v>1516541.8408057687</v>
      </c>
      <c r="L87" s="146"/>
      <c r="M87" s="177">
        <f>M84+M59+M74</f>
        <v>162990334.34060001</v>
      </c>
      <c r="N87" s="178"/>
      <c r="O87" s="179"/>
    </row>
    <row r="88" spans="2:15" ht="6" customHeight="1" x14ac:dyDescent="0.25">
      <c r="D88" s="7"/>
      <c r="E88" s="1"/>
      <c r="F88" s="7"/>
      <c r="G88" s="7"/>
      <c r="H88" s="7"/>
      <c r="I88" s="7"/>
      <c r="J88" s="7"/>
      <c r="K88" s="2"/>
    </row>
    <row r="89" spans="2:15" x14ac:dyDescent="0.25">
      <c r="B89" s="168" t="s">
        <v>104</v>
      </c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2:15" ht="6" customHeight="1" x14ac:dyDescent="0.25">
      <c r="D90" s="7"/>
      <c r="E90" s="1"/>
      <c r="F90" s="7"/>
      <c r="G90" s="7"/>
      <c r="H90" s="7"/>
      <c r="I90" s="7"/>
      <c r="J90" s="7"/>
      <c r="K90" s="2"/>
    </row>
    <row r="91" spans="2:15" ht="15.75" x14ac:dyDescent="0.25">
      <c r="B91" s="150" t="s">
        <v>14</v>
      </c>
      <c r="C91" s="151"/>
      <c r="D91" s="151"/>
      <c r="E91" s="152"/>
      <c r="F91" s="74" t="s">
        <v>55</v>
      </c>
      <c r="G91" s="74" t="s">
        <v>15</v>
      </c>
      <c r="H91" s="74" t="s">
        <v>16</v>
      </c>
      <c r="I91" s="74" t="s">
        <v>17</v>
      </c>
      <c r="J91" s="74" t="s">
        <v>18</v>
      </c>
      <c r="K91" s="74" t="s">
        <v>19</v>
      </c>
      <c r="L91" s="74" t="s">
        <v>20</v>
      </c>
      <c r="M91" s="74" t="s">
        <v>21</v>
      </c>
      <c r="N91" s="164" t="s">
        <v>22</v>
      </c>
      <c r="O91" s="165"/>
    </row>
    <row r="92" spans="2:15" x14ac:dyDescent="0.25">
      <c r="B92" s="153" t="s">
        <v>58</v>
      </c>
      <c r="C92" s="154"/>
      <c r="D92" s="154"/>
      <c r="E92" s="155"/>
      <c r="F92" s="58">
        <v>1</v>
      </c>
      <c r="G92" s="54">
        <v>0</v>
      </c>
      <c r="H92" s="54">
        <v>0</v>
      </c>
      <c r="I92" s="66">
        <f>+H92*G92*F92</f>
        <v>0</v>
      </c>
      <c r="J92" s="67" t="s">
        <v>26</v>
      </c>
      <c r="K92" s="56">
        <v>0</v>
      </c>
      <c r="L92" s="66">
        <f t="shared" ref="L92" si="10">+K92*F92*I92</f>
        <v>0</v>
      </c>
      <c r="M92" s="54">
        <v>19734</v>
      </c>
      <c r="N92" s="156">
        <f t="shared" ref="N92" si="11">+M92*I92</f>
        <v>0</v>
      </c>
      <c r="O92" s="157"/>
    </row>
    <row r="93" spans="2:15" ht="7.15" customHeight="1" x14ac:dyDescent="0.25">
      <c r="B93" s="37"/>
      <c r="C93" s="38"/>
      <c r="F93" s="32"/>
      <c r="G93" s="32"/>
      <c r="H93" s="32"/>
      <c r="I93" s="32"/>
      <c r="J93" s="32"/>
      <c r="K93" s="32"/>
      <c r="L93" s="32"/>
      <c r="M93" s="32"/>
      <c r="N93" s="32"/>
      <c r="O93" s="33"/>
    </row>
    <row r="94" spans="2:15" x14ac:dyDescent="0.25">
      <c r="B94" s="34" t="s">
        <v>27</v>
      </c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6"/>
      <c r="N94" s="175">
        <f>SUM(N92:O92)*0.1</f>
        <v>0</v>
      </c>
      <c r="O94" s="176"/>
    </row>
    <row r="95" spans="2:15" ht="16.5" customHeight="1" x14ac:dyDescent="0.25">
      <c r="B95" s="27"/>
      <c r="C95" s="25"/>
      <c r="F95" s="25"/>
      <c r="G95" s="25"/>
      <c r="H95" s="27"/>
      <c r="I95" s="28">
        <f>SUM(I92:I92)</f>
        <v>0</v>
      </c>
      <c r="J95" s="25"/>
      <c r="K95" s="3"/>
      <c r="L95" s="28">
        <f>SUM(L92:L92)</f>
        <v>0</v>
      </c>
      <c r="M95" s="25"/>
      <c r="N95" s="195">
        <f>SUM(N92:O94)</f>
        <v>0</v>
      </c>
      <c r="O95" s="196"/>
    </row>
    <row r="96" spans="2:15" ht="7.15" customHeight="1" x14ac:dyDescent="0.25">
      <c r="D96" s="7"/>
      <c r="E96" s="7"/>
      <c r="F96" s="3"/>
      <c r="G96" s="3"/>
      <c r="H96" s="5"/>
      <c r="I96" s="3"/>
      <c r="J96" s="4"/>
      <c r="K96" s="4"/>
    </row>
    <row r="97" spans="2:15" x14ac:dyDescent="0.25">
      <c r="D97" s="7"/>
      <c r="G97" s="158" t="s">
        <v>4</v>
      </c>
      <c r="H97" s="159"/>
      <c r="I97" s="158" t="s">
        <v>5</v>
      </c>
      <c r="J97" s="159"/>
      <c r="K97" s="158" t="s">
        <v>6</v>
      </c>
      <c r="L97" s="159"/>
      <c r="M97" s="158" t="s">
        <v>129</v>
      </c>
      <c r="N97" s="160"/>
      <c r="O97" s="159"/>
    </row>
    <row r="98" spans="2:15" ht="18" customHeight="1" x14ac:dyDescent="0.25">
      <c r="C98" s="24"/>
      <c r="D98" s="7"/>
      <c r="G98" s="145">
        <f ca="1">IF(K31=0,0,M98/(K31+SUMIF(B48:E53,"Lucera*",I48:I53)))</f>
        <v>1131877.3218097223</v>
      </c>
      <c r="H98" s="146"/>
      <c r="I98" s="145">
        <f>M98/K30</f>
        <v>631892.43366907036</v>
      </c>
      <c r="J98" s="146"/>
      <c r="K98" s="145">
        <f>I98*2.4</f>
        <v>1516541.8408057687</v>
      </c>
      <c r="L98" s="146"/>
      <c r="M98" s="177">
        <f>M87+N95</f>
        <v>162990334.34060001</v>
      </c>
      <c r="N98" s="178"/>
      <c r="O98" s="179"/>
    </row>
    <row r="99" spans="2:15" ht="3" customHeight="1" x14ac:dyDescent="0.25">
      <c r="B99" s="9"/>
      <c r="C99" s="8"/>
      <c r="D99" s="8"/>
      <c r="E99" s="10"/>
      <c r="F99" s="10"/>
      <c r="G99" s="8"/>
      <c r="H99" s="8"/>
      <c r="I99" s="11"/>
      <c r="J99" s="11"/>
      <c r="K99" s="11"/>
      <c r="L99" s="9"/>
    </row>
    <row r="100" spans="2:15" ht="12" customHeight="1" x14ac:dyDescent="0.25">
      <c r="B100" s="168" t="s">
        <v>123</v>
      </c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2:15" ht="2.25" customHeight="1" x14ac:dyDescent="0.25">
      <c r="D101" s="7"/>
      <c r="E101" s="1"/>
      <c r="F101" s="7"/>
      <c r="G101" s="7"/>
      <c r="H101" s="7"/>
      <c r="I101" s="7"/>
      <c r="J101" s="7"/>
      <c r="K101" s="2"/>
    </row>
    <row r="102" spans="2:15" ht="15.75" x14ac:dyDescent="0.25">
      <c r="B102" s="169" t="s">
        <v>14</v>
      </c>
      <c r="C102" s="170"/>
      <c r="D102" s="170"/>
      <c r="E102" s="171"/>
      <c r="F102" s="118" t="s">
        <v>55</v>
      </c>
      <c r="G102" s="118" t="s">
        <v>15</v>
      </c>
      <c r="H102" s="118" t="s">
        <v>16</v>
      </c>
      <c r="I102" s="118" t="s">
        <v>17</v>
      </c>
      <c r="J102" s="118" t="s">
        <v>18</v>
      </c>
      <c r="K102" s="118" t="s">
        <v>19</v>
      </c>
      <c r="L102" s="118" t="s">
        <v>20</v>
      </c>
      <c r="M102" s="118" t="s">
        <v>21</v>
      </c>
      <c r="N102" s="166" t="s">
        <v>22</v>
      </c>
      <c r="O102" s="167"/>
    </row>
    <row r="103" spans="2:15" x14ac:dyDescent="0.25">
      <c r="B103" s="172" t="s">
        <v>130</v>
      </c>
      <c r="C103" s="173"/>
      <c r="D103" s="173"/>
      <c r="E103" s="174"/>
      <c r="F103" s="58">
        <v>0</v>
      </c>
      <c r="G103" s="54">
        <v>0</v>
      </c>
      <c r="H103" s="54">
        <v>0</v>
      </c>
      <c r="I103" s="54">
        <f>+H103*G103*F103</f>
        <v>0</v>
      </c>
      <c r="J103" s="116" t="s">
        <v>26</v>
      </c>
      <c r="K103" s="56">
        <v>0</v>
      </c>
      <c r="L103" s="54">
        <f t="shared" ref="L103" si="12">+K103*F103*I103</f>
        <v>0</v>
      </c>
      <c r="M103" s="54">
        <v>0</v>
      </c>
      <c r="N103" s="156">
        <f t="shared" ref="N103" si="13">+M103*I103</f>
        <v>0</v>
      </c>
      <c r="O103" s="157"/>
    </row>
    <row r="104" spans="2:15" ht="7.15" customHeight="1" x14ac:dyDescent="0.25">
      <c r="B104" s="37"/>
      <c r="C104" s="38"/>
      <c r="F104" s="32"/>
      <c r="G104" s="32"/>
      <c r="H104" s="32"/>
      <c r="I104" s="32"/>
      <c r="J104" s="32"/>
      <c r="K104" s="32"/>
      <c r="L104" s="32"/>
      <c r="M104" s="32"/>
      <c r="N104" s="32"/>
      <c r="O104" s="33"/>
    </row>
    <row r="105" spans="2:15" x14ac:dyDescent="0.25">
      <c r="B105" s="34" t="s">
        <v>126</v>
      </c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117">
        <v>0</v>
      </c>
      <c r="N105" s="175">
        <f>SUM(N103:O103)*M105</f>
        <v>0</v>
      </c>
      <c r="O105" s="176"/>
    </row>
    <row r="106" spans="2:15" x14ac:dyDescent="0.25">
      <c r="B106" s="27"/>
      <c r="C106" s="25"/>
      <c r="F106" s="25"/>
      <c r="G106" s="25"/>
      <c r="H106" s="27"/>
      <c r="I106" s="119">
        <f>SUM(I103:I103)</f>
        <v>0</v>
      </c>
      <c r="J106" s="25"/>
      <c r="K106" s="3"/>
      <c r="L106" s="119">
        <f>SUM(L103:L103)</f>
        <v>0</v>
      </c>
      <c r="M106" s="25"/>
      <c r="N106" s="140">
        <f>SUM(N103:O105)</f>
        <v>0</v>
      </c>
      <c r="O106" s="141"/>
    </row>
    <row r="107" spans="2:15" ht="3.75" customHeight="1" x14ac:dyDescent="0.25">
      <c r="D107" s="7"/>
      <c r="E107" s="7"/>
      <c r="F107" s="3"/>
      <c r="G107" s="3"/>
      <c r="H107" s="5"/>
      <c r="I107" s="3"/>
      <c r="J107" s="4"/>
      <c r="K107" s="4"/>
    </row>
    <row r="108" spans="2:15" x14ac:dyDescent="0.25">
      <c r="D108" s="7"/>
      <c r="G108" s="142" t="s">
        <v>4</v>
      </c>
      <c r="H108" s="143"/>
      <c r="I108" s="142" t="s">
        <v>5</v>
      </c>
      <c r="J108" s="143"/>
      <c r="K108" s="142" t="s">
        <v>6</v>
      </c>
      <c r="L108" s="143"/>
      <c r="M108" s="142" t="s">
        <v>124</v>
      </c>
      <c r="N108" s="144"/>
      <c r="O108" s="143"/>
    </row>
    <row r="109" spans="2:15" ht="18.75" x14ac:dyDescent="0.25">
      <c r="C109" s="24"/>
      <c r="D109" s="7"/>
      <c r="G109" s="145">
        <f>IF(I106=0,0,M109/(I106))</f>
        <v>0</v>
      </c>
      <c r="H109" s="146"/>
      <c r="I109" s="145" t="e">
        <f>M109/L106</f>
        <v>#DIV/0!</v>
      </c>
      <c r="J109" s="146"/>
      <c r="K109" s="145" t="e">
        <f>I109*2.4</f>
        <v>#DIV/0!</v>
      </c>
      <c r="L109" s="146"/>
      <c r="M109" s="147">
        <f>N106</f>
        <v>0</v>
      </c>
      <c r="N109" s="148"/>
      <c r="O109" s="149"/>
    </row>
    <row r="110" spans="2:15" ht="6.75" customHeight="1" x14ac:dyDescent="0.25">
      <c r="D110" s="7"/>
      <c r="E110" s="7"/>
      <c r="F110" s="7"/>
      <c r="G110" s="7"/>
    </row>
    <row r="111" spans="2:15" ht="26.25" x14ac:dyDescent="0.25">
      <c r="B111" s="191" t="str">
        <f>IF(N106&gt;0,+_xlfn.CONCAT(M97," + ",B103),M97)</f>
        <v>TOTAL GENERAL PRETENSA</v>
      </c>
      <c r="C111" s="192"/>
      <c r="D111" s="192"/>
      <c r="E111" s="192"/>
      <c r="F111" s="192"/>
      <c r="G111" s="193">
        <f>+M109+M98</f>
        <v>162990334.34060001</v>
      </c>
      <c r="H111" s="194"/>
      <c r="I111" s="194"/>
      <c r="J111" s="194"/>
      <c r="K111" s="194"/>
      <c r="L111" s="194"/>
      <c r="M111" s="194"/>
      <c r="N111" s="194"/>
      <c r="O111" s="194"/>
    </row>
  </sheetData>
  <sheetProtection algorithmName="SHA-512" hashValue="FZ2372JhxF0MsIKfl/1KN23iaPJyecab32T83SpvejfiW64t6LytV/WQ+m2whLZEpPG+XfVvRf5oY1dLjGRm2A==" saltValue="traJkJ+F5+tKoW0KoYJPUA==" spinCount="100000" sheet="1" insertRows="0"/>
  <mergeCells count="157">
    <mergeCell ref="N71:O71"/>
    <mergeCell ref="B69:E69"/>
    <mergeCell ref="J69:K69"/>
    <mergeCell ref="N69:O69"/>
    <mergeCell ref="Q69:S69"/>
    <mergeCell ref="M61:O61"/>
    <mergeCell ref="B76:L76"/>
    <mergeCell ref="M76:O76"/>
    <mergeCell ref="G73:H73"/>
    <mergeCell ref="I73:J73"/>
    <mergeCell ref="K73:L73"/>
    <mergeCell ref="M73:O73"/>
    <mergeCell ref="G74:H74"/>
    <mergeCell ref="I74:J74"/>
    <mergeCell ref="K74:L74"/>
    <mergeCell ref="M74:O74"/>
    <mergeCell ref="J68:K68"/>
    <mergeCell ref="B70:E70"/>
    <mergeCell ref="B65:E65"/>
    <mergeCell ref="B67:E67"/>
    <mergeCell ref="B68:E68"/>
    <mergeCell ref="E29:F29"/>
    <mergeCell ref="E30:F30"/>
    <mergeCell ref="E31:F31"/>
    <mergeCell ref="C35:D35"/>
    <mergeCell ref="C37:D37"/>
    <mergeCell ref="B33:O33"/>
    <mergeCell ref="E35:F35"/>
    <mergeCell ref="G35:H35"/>
    <mergeCell ref="C38:D38"/>
    <mergeCell ref="C40:D40"/>
    <mergeCell ref="C36:D36"/>
    <mergeCell ref="M37:O37"/>
    <mergeCell ref="I42:J42"/>
    <mergeCell ref="K42:L42"/>
    <mergeCell ref="M42:O42"/>
    <mergeCell ref="M40:O40"/>
    <mergeCell ref="Q38:S38"/>
    <mergeCell ref="G42:H42"/>
    <mergeCell ref="M39:O39"/>
    <mergeCell ref="B39:L39"/>
    <mergeCell ref="B41:L41"/>
    <mergeCell ref="M41:O41"/>
    <mergeCell ref="I43:J43"/>
    <mergeCell ref="K43:L43"/>
    <mergeCell ref="M43:O43"/>
    <mergeCell ref="B63:E63"/>
    <mergeCell ref="F63:G63"/>
    <mergeCell ref="G43:H43"/>
    <mergeCell ref="B64:E64"/>
    <mergeCell ref="J64:K64"/>
    <mergeCell ref="B51:E51"/>
    <mergeCell ref="N51:O51"/>
    <mergeCell ref="B52:E52"/>
    <mergeCell ref="N52:O52"/>
    <mergeCell ref="B53:E53"/>
    <mergeCell ref="N53:O53"/>
    <mergeCell ref="N55:O55"/>
    <mergeCell ref="N56:O56"/>
    <mergeCell ref="B45:O45"/>
    <mergeCell ref="B47:E47"/>
    <mergeCell ref="N47:O47"/>
    <mergeCell ref="B48:E48"/>
    <mergeCell ref="N48:O48"/>
    <mergeCell ref="B49:E49"/>
    <mergeCell ref="N49:O49"/>
    <mergeCell ref="B50:E50"/>
    <mergeCell ref="N81:O81"/>
    <mergeCell ref="F77:G77"/>
    <mergeCell ref="J77:K77"/>
    <mergeCell ref="F80:G80"/>
    <mergeCell ref="J80:K80"/>
    <mergeCell ref="N79:O79"/>
    <mergeCell ref="F78:G78"/>
    <mergeCell ref="J78:K78"/>
    <mergeCell ref="N78:O78"/>
    <mergeCell ref="F79:G79"/>
    <mergeCell ref="J79:K79"/>
    <mergeCell ref="N80:O80"/>
    <mergeCell ref="B111:F111"/>
    <mergeCell ref="G111:O111"/>
    <mergeCell ref="B89:O89"/>
    <mergeCell ref="N64:O64"/>
    <mergeCell ref="N65:O65"/>
    <mergeCell ref="N67:O67"/>
    <mergeCell ref="N68:O68"/>
    <mergeCell ref="N70:O70"/>
    <mergeCell ref="N77:O77"/>
    <mergeCell ref="G86:H86"/>
    <mergeCell ref="I86:J86"/>
    <mergeCell ref="K86:L86"/>
    <mergeCell ref="M86:O86"/>
    <mergeCell ref="G87:H87"/>
    <mergeCell ref="I87:J87"/>
    <mergeCell ref="K87:L87"/>
    <mergeCell ref="M87:O87"/>
    <mergeCell ref="G83:H83"/>
    <mergeCell ref="N94:O94"/>
    <mergeCell ref="N95:O95"/>
    <mergeCell ref="G97:H97"/>
    <mergeCell ref="I97:J97"/>
    <mergeCell ref="K97:L97"/>
    <mergeCell ref="M97:O97"/>
    <mergeCell ref="N50:O50"/>
    <mergeCell ref="Q64:S64"/>
    <mergeCell ref="Q65:S65"/>
    <mergeCell ref="Q67:S67"/>
    <mergeCell ref="Q68:S68"/>
    <mergeCell ref="Q70:S70"/>
    <mergeCell ref="G58:H58"/>
    <mergeCell ref="I58:J58"/>
    <mergeCell ref="K58:L58"/>
    <mergeCell ref="M58:O58"/>
    <mergeCell ref="G59:H59"/>
    <mergeCell ref="I59:J59"/>
    <mergeCell ref="K59:L59"/>
    <mergeCell ref="M59:O59"/>
    <mergeCell ref="Q63:S63"/>
    <mergeCell ref="J70:K70"/>
    <mergeCell ref="J65:K65"/>
    <mergeCell ref="J67:K67"/>
    <mergeCell ref="I61:L61"/>
    <mergeCell ref="B61:H61"/>
    <mergeCell ref="Q66:S66"/>
    <mergeCell ref="B66:E66"/>
    <mergeCell ref="J66:K66"/>
    <mergeCell ref="N66:O66"/>
    <mergeCell ref="N102:O102"/>
    <mergeCell ref="N103:O103"/>
    <mergeCell ref="B100:O100"/>
    <mergeCell ref="B102:E102"/>
    <mergeCell ref="B103:E103"/>
    <mergeCell ref="N105:O105"/>
    <mergeCell ref="G98:H98"/>
    <mergeCell ref="I98:J98"/>
    <mergeCell ref="K98:L98"/>
    <mergeCell ref="M98:O98"/>
    <mergeCell ref="B91:E91"/>
    <mergeCell ref="B92:E92"/>
    <mergeCell ref="N92:O92"/>
    <mergeCell ref="I83:J83"/>
    <mergeCell ref="K83:L83"/>
    <mergeCell ref="M83:O83"/>
    <mergeCell ref="G84:H84"/>
    <mergeCell ref="I84:J84"/>
    <mergeCell ref="K84:L84"/>
    <mergeCell ref="M84:O84"/>
    <mergeCell ref="N91:O91"/>
    <mergeCell ref="N106:O106"/>
    <mergeCell ref="G108:H108"/>
    <mergeCell ref="I108:J108"/>
    <mergeCell ref="K108:L108"/>
    <mergeCell ref="M108:O108"/>
    <mergeCell ref="G109:H109"/>
    <mergeCell ref="I109:J109"/>
    <mergeCell ref="K109:L109"/>
    <mergeCell ref="M109:O109"/>
  </mergeCells>
  <dataValidations disablePrompts="1" count="2">
    <dataValidation type="list" allowBlank="1" showInputMessage="1" showErrorMessage="1" sqref="M61:O61 M76:O76" xr:uid="{00000000-0002-0000-0100-000000000000}">
      <formula1>$V$61:$V$63</formula1>
    </dataValidation>
    <dataValidation type="list" allowBlank="1" showInputMessage="1" showErrorMessage="1" sqref="I61:L61" xr:uid="{8FB994C1-7738-4A00-9A95-FEC8259062B9}">
      <formula1>$V$64:$V$65</formula1>
    </dataValidation>
  </dataValidations>
  <pageMargins left="0.23622047244094491" right="0.23622047244094491" top="0.35433070866141736" bottom="0.35433070866141736" header="0.31496062992125984" footer="0.31496062992125984"/>
  <pageSetup paperSize="9" scale="54" fitToHeight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B1:W30"/>
  <sheetViews>
    <sheetView showGridLines="0" zoomScale="85" zoomScaleNormal="85" workbookViewId="0">
      <selection activeCell="J28" sqref="J28"/>
    </sheetView>
  </sheetViews>
  <sheetFormatPr baseColWidth="10" defaultRowHeight="15" x14ac:dyDescent="0.25"/>
  <cols>
    <col min="1" max="1" width="1.5703125" customWidth="1"/>
    <col min="2" max="2" width="50.7109375" customWidth="1"/>
    <col min="3" max="3" width="10.42578125" customWidth="1"/>
    <col min="5" max="5" width="9.7109375" customWidth="1"/>
    <col min="6" max="6" width="11" customWidth="1"/>
    <col min="7" max="7" width="11.7109375" bestFit="1" customWidth="1"/>
    <col min="8" max="8" width="11.5703125" customWidth="1"/>
    <col min="9" max="9" width="11.5703125" style="64" customWidth="1"/>
    <col min="10" max="10" width="50.7109375" style="64" customWidth="1"/>
    <col min="13" max="15" width="0" hidden="1" customWidth="1"/>
  </cols>
  <sheetData>
    <row r="1" spans="2:23" ht="15.75" x14ac:dyDescent="0.25">
      <c r="D1" s="236" t="s">
        <v>39</v>
      </c>
      <c r="E1" s="236"/>
      <c r="F1" s="60" t="str">
        <f>+'Alternativa 1'!C1</f>
        <v>MUNDO CONSTRUCCIONES S.A.</v>
      </c>
    </row>
    <row r="2" spans="2:23" ht="15.75" x14ac:dyDescent="0.25">
      <c r="D2" s="236" t="s">
        <v>40</v>
      </c>
      <c r="E2" s="236"/>
      <c r="F2" s="60" t="str">
        <f>+'Alternativa 1'!C2</f>
        <v xml:space="preserve">Centro de Alto Rendimiento Deportivo (C.A.R.D.) </v>
      </c>
    </row>
    <row r="3" spans="2:23" ht="15.75" x14ac:dyDescent="0.25">
      <c r="D3" s="236" t="s">
        <v>41</v>
      </c>
      <c r="E3" s="236"/>
      <c r="F3" s="60" t="str">
        <f>+'Alternativa 1'!C3</f>
        <v>SANTA FE - SANTA FE.</v>
      </c>
    </row>
    <row r="4" spans="2:23" ht="15.75" x14ac:dyDescent="0.25">
      <c r="D4" s="236" t="s">
        <v>0</v>
      </c>
      <c r="E4" s="236"/>
      <c r="F4" s="60" t="str">
        <f>+'Alternativa 1'!C4</f>
        <v xml:space="preserve">10440-1 </v>
      </c>
      <c r="J4" s="168" t="s">
        <v>13</v>
      </c>
      <c r="K4" s="168"/>
      <c r="L4" s="168"/>
      <c r="M4" s="168"/>
      <c r="N4" s="168"/>
      <c r="O4" s="168"/>
      <c r="P4" s="168"/>
      <c r="Q4" s="168"/>
      <c r="R4" s="168"/>
      <c r="S4" s="168"/>
      <c r="T4" s="96"/>
      <c r="U4" s="96"/>
      <c r="V4" s="96"/>
      <c r="W4" s="96"/>
    </row>
    <row r="5" spans="2:23" ht="5.25" customHeight="1" x14ac:dyDescent="0.25"/>
    <row r="6" spans="2:23" ht="15.75" x14ac:dyDescent="0.25">
      <c r="B6" s="15" t="s">
        <v>109</v>
      </c>
      <c r="C6" s="16" t="s">
        <v>30</v>
      </c>
      <c r="D6" s="15" t="s">
        <v>15</v>
      </c>
      <c r="E6" s="15" t="s">
        <v>16</v>
      </c>
      <c r="F6" s="15" t="s">
        <v>17</v>
      </c>
      <c r="G6" s="15" t="s">
        <v>31</v>
      </c>
      <c r="H6" s="15" t="s">
        <v>29</v>
      </c>
      <c r="J6" s="15" t="s">
        <v>109</v>
      </c>
      <c r="K6" s="16" t="s">
        <v>30</v>
      </c>
      <c r="L6" s="15" t="s">
        <v>15</v>
      </c>
      <c r="M6" s="15" t="s">
        <v>16</v>
      </c>
      <c r="N6" s="15" t="s">
        <v>17</v>
      </c>
      <c r="O6" s="15" t="s">
        <v>31</v>
      </c>
      <c r="P6" s="15" t="s">
        <v>16</v>
      </c>
      <c r="Q6" s="15" t="s">
        <v>17</v>
      </c>
      <c r="R6" s="15" t="s">
        <v>31</v>
      </c>
      <c r="S6" s="15" t="s">
        <v>29</v>
      </c>
    </row>
    <row r="7" spans="2:23" s="64" customFormat="1" x14ac:dyDescent="0.25">
      <c r="B7" s="75" t="str">
        <f>+'Alternativa 1'!B7</f>
        <v>COLUMNA 40 x 40 (TRIBUNA)</v>
      </c>
      <c r="C7" s="77">
        <f>+'Alternativa 1'!D7</f>
        <v>17</v>
      </c>
      <c r="D7" s="78">
        <f>+'Alternativa 1'!E7</f>
        <v>4</v>
      </c>
      <c r="E7" s="78">
        <f>+'Alternativa 1'!G7</f>
        <v>0.4</v>
      </c>
      <c r="F7" s="79">
        <f>+'Alternativa 1'!I7</f>
        <v>68</v>
      </c>
      <c r="G7" s="76" t="str">
        <f>+'Alternativa 1'!F7</f>
        <v>MT</v>
      </c>
      <c r="H7" s="76" t="str">
        <f>+'Alternativa 1'!C7</f>
        <v>NO</v>
      </c>
      <c r="J7" s="75" t="str">
        <f>UPPER(+'Alternativa 1'!B48)</f>
        <v>JUNTAS TT ACRILICA EXTERIOR</v>
      </c>
      <c r="K7" s="77">
        <f>+'Alternativa 1'!F48</f>
        <v>0</v>
      </c>
      <c r="L7" s="78">
        <f>+'Alternativa 1'!G48</f>
        <v>0</v>
      </c>
      <c r="M7" s="78">
        <f>+'Alternativa 1'!P7</f>
        <v>0</v>
      </c>
      <c r="N7" s="79">
        <f>+'Alternativa 1'!R7</f>
        <v>0</v>
      </c>
      <c r="O7" s="76">
        <f>+'Alternativa 1'!O7</f>
        <v>21321209.436799999</v>
      </c>
      <c r="P7" s="78">
        <f>+'Alternativa 1'!H48</f>
        <v>0</v>
      </c>
      <c r="Q7" s="79">
        <f>+'Alternativa 1'!I48</f>
        <v>0</v>
      </c>
      <c r="R7" s="97" t="str">
        <f>UPPER(+'Alternativa 1'!J48)</f>
        <v>ML</v>
      </c>
      <c r="S7" s="76" t="s">
        <v>107</v>
      </c>
    </row>
    <row r="8" spans="2:23" s="64" customFormat="1" x14ac:dyDescent="0.25">
      <c r="B8" s="82" t="str">
        <f>+'Alternativa 1'!B8</f>
        <v>PANEL GRADAS (2 ESCALONES</v>
      </c>
      <c r="C8" s="84">
        <f>+'Alternativa 1'!D8</f>
        <v>2</v>
      </c>
      <c r="D8" s="85">
        <f>+'Alternativa 1'!E8</f>
        <v>2.1</v>
      </c>
      <c r="E8" s="85">
        <f>+'Alternativa 1'!G8</f>
        <v>0</v>
      </c>
      <c r="F8" s="86">
        <f>+'Alternativa 1'!I8</f>
        <v>4.2</v>
      </c>
      <c r="G8" s="83" t="str">
        <f>+'Alternativa 1'!F8</f>
        <v>MT</v>
      </c>
      <c r="H8" s="83" t="str">
        <f>+'Alternativa 1'!C8</f>
        <v>NO</v>
      </c>
      <c r="J8" s="82" t="str">
        <f>UPPER(+'Alternativa 1'!B49)</f>
        <v>TRASLADO DE FACHADA</v>
      </c>
      <c r="K8" s="84">
        <f>+'Alternativa 1'!F49</f>
        <v>0</v>
      </c>
      <c r="L8" s="85">
        <f>+'Alternativa 1'!G49</f>
        <v>0</v>
      </c>
      <c r="M8" s="85">
        <f>+'Alternativa 1'!P8</f>
        <v>0</v>
      </c>
      <c r="N8" s="86">
        <f>+'Alternativa 1'!R8</f>
        <v>0</v>
      </c>
      <c r="O8" s="83">
        <f>+'Alternativa 1'!O8</f>
        <v>851259.36</v>
      </c>
      <c r="P8" s="85">
        <f>+'Alternativa 1'!H49</f>
        <v>0</v>
      </c>
      <c r="Q8" s="86">
        <f>+'Alternativa 1'!I49</f>
        <v>0</v>
      </c>
      <c r="R8" s="98" t="str">
        <f>UPPER(+'Alternativa 1'!J49)</f>
        <v>DIAS</v>
      </c>
      <c r="S8" s="83" t="s">
        <v>107</v>
      </c>
    </row>
    <row r="9" spans="2:23" s="64" customFormat="1" x14ac:dyDescent="0.25">
      <c r="B9" s="82" t="str">
        <f>+'Alternativa 1'!B9</f>
        <v>PANEL GRADAS (3 ESCALONES</v>
      </c>
      <c r="C9" s="84">
        <f>+'Alternativa 1'!D9</f>
        <v>2</v>
      </c>
      <c r="D9" s="85">
        <f>+'Alternativa 1'!E9</f>
        <v>5</v>
      </c>
      <c r="E9" s="85">
        <f>+'Alternativa 1'!G9</f>
        <v>0</v>
      </c>
      <c r="F9" s="86">
        <f>+'Alternativa 1'!I9</f>
        <v>10</v>
      </c>
      <c r="G9" s="83" t="str">
        <f>+'Alternativa 1'!F9</f>
        <v>MT</v>
      </c>
      <c r="H9" s="83" t="str">
        <f>+'Alternativa 1'!C9</f>
        <v>NO</v>
      </c>
      <c r="J9" s="82" t="str">
        <f>UPPER(+'Alternativa 1'!B50)</f>
        <v>JUNTA GEOTEXTIL W</v>
      </c>
      <c r="K9" s="84">
        <f>+'Alternativa 1'!F50</f>
        <v>0</v>
      </c>
      <c r="L9" s="85">
        <f>+'Alternativa 1'!G50</f>
        <v>0</v>
      </c>
      <c r="M9" s="85">
        <f>+'Alternativa 1'!P9</f>
        <v>0</v>
      </c>
      <c r="N9" s="86">
        <f>+'Alternativa 1'!R9</f>
        <v>0</v>
      </c>
      <c r="O9" s="83">
        <f>+'Alternativa 1'!O9</f>
        <v>2236727.4</v>
      </c>
      <c r="P9" s="85">
        <f>+'Alternativa 1'!H50</f>
        <v>0</v>
      </c>
      <c r="Q9" s="86">
        <f>+'Alternativa 1'!I50</f>
        <v>0</v>
      </c>
      <c r="R9" s="98" t="str">
        <f>UPPER(+'Alternativa 1'!J50)</f>
        <v>ML</v>
      </c>
      <c r="S9" s="83" t="s">
        <v>107</v>
      </c>
    </row>
    <row r="10" spans="2:23" s="64" customFormat="1" x14ac:dyDescent="0.25">
      <c r="B10" s="82" t="str">
        <f>+'Alternativa 1'!B10</f>
        <v>PANEL GRADAS (5 ESCALONES</v>
      </c>
      <c r="C10" s="84">
        <f>+'Alternativa 1'!D10</f>
        <v>28</v>
      </c>
      <c r="D10" s="85">
        <f>+'Alternativa 1'!E10</f>
        <v>5</v>
      </c>
      <c r="E10" s="85">
        <f>+'Alternativa 1'!G10</f>
        <v>0</v>
      </c>
      <c r="F10" s="86">
        <f>+'Alternativa 1'!I10</f>
        <v>140</v>
      </c>
      <c r="G10" s="83" t="str">
        <f>+'Alternativa 1'!F10</f>
        <v>MT</v>
      </c>
      <c r="H10" s="83" t="str">
        <f>+'Alternativa 1'!C10</f>
        <v>NO</v>
      </c>
      <c r="J10" s="82" t="str">
        <f>UPPER(+'Alternativa 1'!B51)</f>
        <v>LLANEADO MECANICO</v>
      </c>
      <c r="K10" s="84">
        <f>+'Alternativa 1'!F51</f>
        <v>0</v>
      </c>
      <c r="L10" s="85">
        <f>+'Alternativa 1'!G51</f>
        <v>0</v>
      </c>
      <c r="M10" s="85">
        <f>+'Alternativa 1'!P10</f>
        <v>0</v>
      </c>
      <c r="N10" s="86">
        <f>+'Alternativa 1'!R10</f>
        <v>0</v>
      </c>
      <c r="O10" s="83">
        <f>+'Alternativa 1'!O10</f>
        <v>52190306</v>
      </c>
      <c r="P10" s="85">
        <f>+'Alternativa 1'!H51</f>
        <v>0</v>
      </c>
      <c r="Q10" s="86">
        <f>+'Alternativa 1'!I51</f>
        <v>0</v>
      </c>
      <c r="R10" s="98" t="str">
        <f>UPPER(+'Alternativa 1'!J51)</f>
        <v>M2</v>
      </c>
      <c r="S10" s="83" t="s">
        <v>107</v>
      </c>
    </row>
    <row r="11" spans="2:23" s="64" customFormat="1" x14ac:dyDescent="0.25">
      <c r="B11" s="82" t="str">
        <f>+'Alternativa 1'!B11</f>
        <v>PANEL GRADAS (5 ESCALONES</v>
      </c>
      <c r="C11" s="84">
        <f>+'Alternativa 1'!D11</f>
        <v>2</v>
      </c>
      <c r="D11" s="85">
        <f>+'Alternativa 1'!E11</f>
        <v>2.1</v>
      </c>
      <c r="E11" s="85">
        <f>+'Alternativa 1'!G11</f>
        <v>0</v>
      </c>
      <c r="F11" s="86">
        <f>+'Alternativa 1'!I11</f>
        <v>4.2</v>
      </c>
      <c r="G11" s="83" t="str">
        <f>+'Alternativa 1'!F11</f>
        <v>MT</v>
      </c>
      <c r="H11" s="83" t="str">
        <f>+'Alternativa 1'!C11</f>
        <v>NO</v>
      </c>
      <c r="J11" s="82" t="str">
        <f>UPPER(+'Alternativa 1'!B52)</f>
        <v>PIEDRA LAVADA</v>
      </c>
      <c r="K11" s="84">
        <f>+'Alternativa 1'!F52</f>
        <v>0</v>
      </c>
      <c r="L11" s="85">
        <f>+'Alternativa 1'!G52</f>
        <v>0</v>
      </c>
      <c r="M11" s="85">
        <f>+'Alternativa 1'!P11</f>
        <v>0</v>
      </c>
      <c r="N11" s="86">
        <f>+'Alternativa 1'!R11</f>
        <v>0</v>
      </c>
      <c r="O11" s="83">
        <f>+'Alternativa 1'!O11</f>
        <v>1565709.18</v>
      </c>
      <c r="P11" s="85">
        <f>+'Alternativa 1'!H52</f>
        <v>0</v>
      </c>
      <c r="Q11" s="86">
        <f>+'Alternativa 1'!I52</f>
        <v>0</v>
      </c>
      <c r="R11" s="98" t="str">
        <f>UPPER(+'Alternativa 1'!J52)</f>
        <v>M2</v>
      </c>
      <c r="S11" s="83" t="s">
        <v>107</v>
      </c>
    </row>
    <row r="12" spans="2:23" s="64" customFormat="1" x14ac:dyDescent="0.25">
      <c r="B12" s="82" t="str">
        <f>+'Alternativa 1'!B12</f>
        <v>PANEL TT 30 PRETENSADO (x</v>
      </c>
      <c r="C12" s="84">
        <f>+'Alternativa 1'!D12</f>
        <v>16</v>
      </c>
      <c r="D12" s="85">
        <f>+'Alternativa 1'!E12</f>
        <v>5</v>
      </c>
      <c r="E12" s="85">
        <f>+'Alternativa 1'!G12</f>
        <v>1.8</v>
      </c>
      <c r="F12" s="86">
        <f>+'Alternativa 1'!I12</f>
        <v>144</v>
      </c>
      <c r="G12" s="83" t="str">
        <f>+'Alternativa 1'!F12</f>
        <v>M2</v>
      </c>
      <c r="H12" s="83" t="str">
        <f>+'Alternativa 1'!C12</f>
        <v>NO</v>
      </c>
      <c r="J12" s="82" t="str">
        <f>UPPER(+'Alternativa 1'!B53)</f>
        <v>LUCERAS</v>
      </c>
      <c r="K12" s="84">
        <f>+'Alternativa 1'!F53</f>
        <v>0</v>
      </c>
      <c r="L12" s="85">
        <f>+'Alternativa 1'!G53</f>
        <v>0</v>
      </c>
      <c r="M12"/>
      <c r="N12"/>
      <c r="O12"/>
      <c r="P12" s="85">
        <f>+'Alternativa 1'!H53</f>
        <v>0</v>
      </c>
      <c r="Q12" s="86">
        <f>+'Alternativa 1'!I53</f>
        <v>0</v>
      </c>
      <c r="R12" s="98" t="str">
        <f>UPPER(+'Alternativa 1'!J53)</f>
        <v>M2</v>
      </c>
      <c r="S12" s="83" t="s">
        <v>107</v>
      </c>
    </row>
    <row r="13" spans="2:23" s="64" customFormat="1" x14ac:dyDescent="0.25">
      <c r="B13" s="82" t="str">
        <f>+'Alternativa 1'!B13</f>
        <v>PLACA PLANA ESPESOR 0.12 m.</v>
      </c>
      <c r="C13" s="84">
        <f>+'Alternativa 1'!D13</f>
        <v>2</v>
      </c>
      <c r="D13" s="85">
        <f>+'Alternativa 1'!E13</f>
        <v>2.9</v>
      </c>
      <c r="E13" s="85">
        <f>+'Alternativa 1'!G13</f>
        <v>0.7</v>
      </c>
      <c r="F13" s="86">
        <f>+'Alternativa 1'!I13</f>
        <v>4.0599999999999996</v>
      </c>
      <c r="G13" s="83" t="str">
        <f>+'Alternativa 1'!F13</f>
        <v>M2</v>
      </c>
      <c r="H13" s="83" t="str">
        <f>+'Alternativa 1'!C13</f>
        <v>NO</v>
      </c>
      <c r="K13"/>
      <c r="L13"/>
      <c r="M13"/>
      <c r="N13"/>
      <c r="O13"/>
      <c r="P13"/>
    </row>
    <row r="14" spans="2:23" s="64" customFormat="1" x14ac:dyDescent="0.25">
      <c r="B14" s="82" t="str">
        <f>+'Alternativa 1'!B14</f>
        <v>PLACA PLANA ESPESOR 0.12 m.</v>
      </c>
      <c r="C14" s="84">
        <f>+'Alternativa 1'!D14</f>
        <v>4</v>
      </c>
      <c r="D14" s="85">
        <f>+'Alternativa 1'!E14</f>
        <v>3.4</v>
      </c>
      <c r="E14" s="85">
        <f>+'Alternativa 1'!G14</f>
        <v>1</v>
      </c>
      <c r="F14" s="86">
        <f>+'Alternativa 1'!I14</f>
        <v>13.6</v>
      </c>
      <c r="G14" s="83" t="str">
        <f>+'Alternativa 1'!F14</f>
        <v>M2</v>
      </c>
      <c r="H14" s="83" t="str">
        <f>+'Alternativa 1'!C14</f>
        <v>NO</v>
      </c>
      <c r="K14"/>
      <c r="L14"/>
      <c r="M14"/>
      <c r="N14"/>
      <c r="O14"/>
      <c r="P14"/>
    </row>
    <row r="15" spans="2:23" s="64" customFormat="1" x14ac:dyDescent="0.25">
      <c r="B15" s="82" t="str">
        <f>+'Alternativa 1'!B15</f>
        <v>PLACA PLANA ESPESOR 0.12 m.</v>
      </c>
      <c r="C15" s="84">
        <f>+'Alternativa 1'!D15</f>
        <v>2</v>
      </c>
      <c r="D15" s="85">
        <f>+'Alternativa 1'!E15</f>
        <v>6.9</v>
      </c>
      <c r="E15" s="85">
        <f>+'Alternativa 1'!G15</f>
        <v>1</v>
      </c>
      <c r="F15" s="86">
        <f>+'Alternativa 1'!I15</f>
        <v>13.8</v>
      </c>
      <c r="G15" s="83" t="str">
        <f>+'Alternativa 1'!F15</f>
        <v>M2</v>
      </c>
      <c r="H15" s="83" t="str">
        <f>+'Alternativa 1'!C15</f>
        <v>NO</v>
      </c>
      <c r="K15"/>
      <c r="L15"/>
      <c r="M15"/>
      <c r="N15"/>
      <c r="O15"/>
      <c r="P15"/>
    </row>
    <row r="16" spans="2:23" s="64" customFormat="1" x14ac:dyDescent="0.25">
      <c r="B16" s="82" t="str">
        <f>+'Alternativa 1'!B16</f>
        <v>PLACA PLANA ESPESOR 0.12 m.</v>
      </c>
      <c r="C16" s="84">
        <f>+'Alternativa 1'!D16</f>
        <v>16</v>
      </c>
      <c r="D16" s="85">
        <f>+'Alternativa 1'!E16</f>
        <v>5</v>
      </c>
      <c r="E16" s="85">
        <f>+'Alternativa 1'!G16</f>
        <v>2.1</v>
      </c>
      <c r="F16" s="86">
        <f>+'Alternativa 1'!I16</f>
        <v>168</v>
      </c>
      <c r="G16" s="83" t="str">
        <f>+'Alternativa 1'!F16</f>
        <v>M2</v>
      </c>
      <c r="H16" s="83" t="str">
        <f>+'Alternativa 1'!C16</f>
        <v>NO</v>
      </c>
      <c r="K16"/>
      <c r="L16"/>
      <c r="M16"/>
      <c r="N16"/>
      <c r="O16"/>
      <c r="P16"/>
    </row>
    <row r="17" spans="2:16" s="64" customFormat="1" x14ac:dyDescent="0.25">
      <c r="B17" s="82" t="str">
        <f>+'Alternativa 1'!B17</f>
        <v>VIGA RECTANGULAR 10 x 40</v>
      </c>
      <c r="C17" s="84">
        <f>+'Alternativa 1'!D17</f>
        <v>14</v>
      </c>
      <c r="D17" s="85">
        <f>+'Alternativa 1'!E17</f>
        <v>5</v>
      </c>
      <c r="E17" s="85">
        <f>+'Alternativa 1'!G17</f>
        <v>0.1</v>
      </c>
      <c r="F17" s="86">
        <f>+'Alternativa 1'!I17</f>
        <v>70</v>
      </c>
      <c r="G17" s="83" t="str">
        <f>+'Alternativa 1'!F17</f>
        <v>MT</v>
      </c>
      <c r="H17" s="83" t="str">
        <f>+'Alternativa 1'!C17</f>
        <v>NO</v>
      </c>
      <c r="K17"/>
      <c r="L17"/>
      <c r="M17"/>
      <c r="N17"/>
      <c r="O17"/>
      <c r="P17"/>
    </row>
    <row r="18" spans="2:16" s="64" customFormat="1" x14ac:dyDescent="0.25">
      <c r="B18" s="82" t="str">
        <f>+'Alternativa 1'!B18</f>
        <v>VIGA RECTANGULAR 10 x 40</v>
      </c>
      <c r="C18" s="84">
        <f>+'Alternativa 1'!D18</f>
        <v>2</v>
      </c>
      <c r="D18" s="85">
        <f>+'Alternativa 1'!E18</f>
        <v>2.1</v>
      </c>
      <c r="E18" s="85">
        <f>+'Alternativa 1'!G18</f>
        <v>0.1</v>
      </c>
      <c r="F18" s="86">
        <f>+'Alternativa 1'!I18</f>
        <v>4.2</v>
      </c>
      <c r="G18" s="83" t="str">
        <f>+'Alternativa 1'!F18</f>
        <v>MT</v>
      </c>
      <c r="H18" s="83" t="str">
        <f>+'Alternativa 1'!C18</f>
        <v>NO</v>
      </c>
      <c r="K18"/>
      <c r="L18"/>
      <c r="M18"/>
      <c r="N18"/>
      <c r="O18"/>
      <c r="P18"/>
    </row>
    <row r="19" spans="2:16" s="64" customFormat="1" x14ac:dyDescent="0.25">
      <c r="B19" s="82" t="str">
        <f>+'Alternativa 1'!B19</f>
        <v>VIGA RECTANGULAR 40 x 60</v>
      </c>
      <c r="C19" s="84">
        <f>+'Alternativa 1'!D19</f>
        <v>17</v>
      </c>
      <c r="D19" s="85">
        <f>+'Alternativa 1'!E19</f>
        <v>7.75</v>
      </c>
      <c r="E19" s="85">
        <f>+'Alternativa 1'!G19</f>
        <v>0.6</v>
      </c>
      <c r="F19" s="86">
        <f>+'Alternativa 1'!I19</f>
        <v>131.75</v>
      </c>
      <c r="G19" s="83" t="str">
        <f>+'Alternativa 1'!F19</f>
        <v>MT</v>
      </c>
      <c r="H19" s="83" t="str">
        <f>+'Alternativa 1'!C19</f>
        <v>NO</v>
      </c>
      <c r="K19"/>
      <c r="L19"/>
      <c r="M19"/>
      <c r="N19"/>
      <c r="O19"/>
      <c r="P19"/>
    </row>
    <row r="20" spans="2:16" s="64" customFormat="1" x14ac:dyDescent="0.25">
      <c r="B20" s="82">
        <f>+'Alternativa 1'!B20</f>
        <v>0</v>
      </c>
      <c r="C20" s="84">
        <f>+'Alternativa 1'!D20</f>
        <v>0</v>
      </c>
      <c r="D20" s="85">
        <f>+'Alternativa 1'!E20</f>
        <v>0</v>
      </c>
      <c r="E20" s="85">
        <f>+'Alternativa 1'!G20</f>
        <v>0</v>
      </c>
      <c r="F20" s="86">
        <f>+'Alternativa 1'!I20</f>
        <v>0</v>
      </c>
      <c r="G20" s="83">
        <f>+'Alternativa 1'!F20</f>
        <v>0</v>
      </c>
      <c r="H20" s="83">
        <f>+'Alternativa 1'!C20</f>
        <v>0</v>
      </c>
      <c r="K20"/>
      <c r="L20"/>
      <c r="M20"/>
      <c r="N20"/>
      <c r="O20"/>
      <c r="P20"/>
    </row>
    <row r="21" spans="2:16" s="64" customFormat="1" x14ac:dyDescent="0.25">
      <c r="B21" s="82">
        <f>+'Alternativa 1'!B21</f>
        <v>0</v>
      </c>
      <c r="C21" s="84">
        <f>+'Alternativa 1'!D21</f>
        <v>0</v>
      </c>
      <c r="D21" s="85">
        <f>+'Alternativa 1'!E21</f>
        <v>0</v>
      </c>
      <c r="E21" s="85">
        <f>+'Alternativa 1'!G21</f>
        <v>0</v>
      </c>
      <c r="F21" s="86">
        <f>+'Alternativa 1'!I21</f>
        <v>0</v>
      </c>
      <c r="G21" s="83">
        <f>+'Alternativa 1'!F21</f>
        <v>0</v>
      </c>
      <c r="H21" s="83">
        <f>+'Alternativa 1'!C21</f>
        <v>0</v>
      </c>
      <c r="K21"/>
      <c r="L21"/>
      <c r="M21"/>
      <c r="N21"/>
      <c r="O21"/>
      <c r="P21"/>
    </row>
    <row r="22" spans="2:16" s="64" customFormat="1" x14ac:dyDescent="0.25">
      <c r="B22" s="82">
        <f>+'Alternativa 1'!B22</f>
        <v>0</v>
      </c>
      <c r="C22" s="84">
        <f>+'Alternativa 1'!D22</f>
        <v>0</v>
      </c>
      <c r="D22" s="85">
        <f>+'Alternativa 1'!E22</f>
        <v>0</v>
      </c>
      <c r="E22" s="85">
        <f>+'Alternativa 1'!G22</f>
        <v>0</v>
      </c>
      <c r="F22" s="86">
        <f>+'Alternativa 1'!I22</f>
        <v>0</v>
      </c>
      <c r="G22" s="83">
        <f>+'Alternativa 1'!F22</f>
        <v>0</v>
      </c>
      <c r="H22" s="83">
        <f>+'Alternativa 1'!C22</f>
        <v>0</v>
      </c>
      <c r="K22"/>
      <c r="L22"/>
      <c r="M22"/>
      <c r="N22"/>
      <c r="O22"/>
      <c r="P22"/>
    </row>
    <row r="23" spans="2:16" s="64" customFormat="1" x14ac:dyDescent="0.25">
      <c r="B23" s="82">
        <f>+'Alternativa 1'!B23</f>
        <v>0</v>
      </c>
      <c r="C23" s="84">
        <f>+'Alternativa 1'!D23</f>
        <v>0</v>
      </c>
      <c r="D23" s="85">
        <f>+'Alternativa 1'!E23</f>
        <v>0</v>
      </c>
      <c r="E23" s="85">
        <f>+'Alternativa 1'!G23</f>
        <v>0</v>
      </c>
      <c r="F23" s="86">
        <f>+'Alternativa 1'!I23</f>
        <v>0</v>
      </c>
      <c r="G23" s="83">
        <f>+'Alternativa 1'!F23</f>
        <v>0</v>
      </c>
      <c r="H23" s="83">
        <f>+'Alternativa 1'!C23</f>
        <v>0</v>
      </c>
      <c r="K23"/>
      <c r="L23"/>
      <c r="M23"/>
      <c r="N23"/>
      <c r="O23"/>
      <c r="P23"/>
    </row>
    <row r="24" spans="2:16" s="64" customFormat="1" x14ac:dyDescent="0.25">
      <c r="B24" s="82">
        <f>+'Alternativa 1'!B24</f>
        <v>0</v>
      </c>
      <c r="C24" s="84">
        <f>+'Alternativa 1'!D24</f>
        <v>0</v>
      </c>
      <c r="D24" s="85">
        <f>+'Alternativa 1'!E24</f>
        <v>0</v>
      </c>
      <c r="E24" s="85">
        <f>+'Alternativa 1'!G24</f>
        <v>0</v>
      </c>
      <c r="F24" s="86">
        <f>+'Alternativa 1'!I24</f>
        <v>0</v>
      </c>
      <c r="G24" s="83">
        <f>+'Alternativa 1'!F24</f>
        <v>0</v>
      </c>
      <c r="H24" s="83">
        <f>+'Alternativa 1'!C24</f>
        <v>0</v>
      </c>
      <c r="K24"/>
      <c r="L24"/>
      <c r="M24"/>
      <c r="N24"/>
      <c r="O24"/>
      <c r="P24"/>
    </row>
    <row r="25" spans="2:16" s="64" customFormat="1" x14ac:dyDescent="0.25">
      <c r="B25" s="82">
        <f>+'Alternativa 1'!B25</f>
        <v>0</v>
      </c>
      <c r="C25" s="84">
        <f>+'Alternativa 1'!D25</f>
        <v>0</v>
      </c>
      <c r="D25" s="85">
        <f>+'Alternativa 1'!E25</f>
        <v>0</v>
      </c>
      <c r="E25" s="85">
        <f>+'Alternativa 1'!G25</f>
        <v>0</v>
      </c>
      <c r="F25" s="86">
        <f>+'Alternativa 1'!I25</f>
        <v>0</v>
      </c>
      <c r="G25" s="83">
        <f>+'Alternativa 1'!F25</f>
        <v>0</v>
      </c>
      <c r="H25" s="83">
        <f>+'Alternativa 1'!C25</f>
        <v>0</v>
      </c>
      <c r="K25"/>
      <c r="L25"/>
      <c r="M25"/>
      <c r="N25"/>
      <c r="O25"/>
      <c r="P25"/>
    </row>
    <row r="26" spans="2:16" s="64" customFormat="1" x14ac:dyDescent="0.25">
      <c r="B26" s="82">
        <f>+'Alternativa 1'!B26</f>
        <v>0</v>
      </c>
      <c r="C26" s="84">
        <f>+'Alternativa 1'!D26</f>
        <v>0</v>
      </c>
      <c r="D26" s="85">
        <f>+'Alternativa 1'!E26</f>
        <v>0</v>
      </c>
      <c r="E26" s="85">
        <f>+'Alternativa 1'!G26</f>
        <v>0</v>
      </c>
      <c r="F26" s="86">
        <f>+'Alternativa 1'!I26</f>
        <v>0</v>
      </c>
      <c r="G26" s="83">
        <f>+'Alternativa 1'!F26</f>
        <v>0</v>
      </c>
      <c r="H26" s="83">
        <f>+'Alternativa 1'!C26</f>
        <v>0</v>
      </c>
      <c r="K26"/>
      <c r="L26"/>
      <c r="M26"/>
      <c r="N26"/>
      <c r="O26"/>
      <c r="P26"/>
    </row>
    <row r="27" spans="2:16" s="64" customFormat="1" x14ac:dyDescent="0.25">
      <c r="B27" s="82">
        <f>+'Alternativa 1'!B27</f>
        <v>0</v>
      </c>
      <c r="C27" s="84">
        <f>+'Alternativa 1'!D27</f>
        <v>0</v>
      </c>
      <c r="D27" s="85">
        <f>+'Alternativa 1'!E27</f>
        <v>0</v>
      </c>
      <c r="E27" s="85">
        <f>+'Alternativa 1'!G27</f>
        <v>0</v>
      </c>
      <c r="F27" s="86">
        <f>+'Alternativa 1'!I27</f>
        <v>0</v>
      </c>
      <c r="G27" s="83">
        <f>+'Alternativa 1'!F27</f>
        <v>0</v>
      </c>
      <c r="H27" s="83">
        <f>+'Alternativa 1'!C27</f>
        <v>0</v>
      </c>
      <c r="K27"/>
      <c r="L27"/>
      <c r="M27"/>
      <c r="N27"/>
      <c r="O27"/>
      <c r="P27"/>
    </row>
    <row r="28" spans="2:16" s="64" customFormat="1" x14ac:dyDescent="0.25">
      <c r="B28" s="82">
        <f>+'Alternativa 1'!B28</f>
        <v>0</v>
      </c>
      <c r="C28" s="84">
        <f>+'Alternativa 1'!D28</f>
        <v>0</v>
      </c>
      <c r="D28" s="85">
        <f>+'Alternativa 1'!E28</f>
        <v>0</v>
      </c>
      <c r="E28" s="85">
        <f>+'Alternativa 1'!G28</f>
        <v>0</v>
      </c>
      <c r="F28" s="86">
        <f>+'Alternativa 1'!I28</f>
        <v>0</v>
      </c>
      <c r="G28" s="83">
        <f>+'Alternativa 1'!F28</f>
        <v>0</v>
      </c>
      <c r="H28" s="83">
        <f>+'Alternativa 1'!C28</f>
        <v>0</v>
      </c>
      <c r="K28"/>
      <c r="L28"/>
      <c r="M28"/>
      <c r="N28"/>
      <c r="O28"/>
      <c r="P28"/>
    </row>
    <row r="29" spans="2:16" s="64" customFormat="1" x14ac:dyDescent="0.25">
      <c r="B29" s="82"/>
      <c r="C29" s="84"/>
      <c r="D29" s="85"/>
      <c r="E29" s="85"/>
      <c r="F29" s="86"/>
      <c r="G29" s="83"/>
      <c r="H29" s="83"/>
      <c r="K29"/>
      <c r="L29"/>
      <c r="M29"/>
      <c r="N29"/>
      <c r="O29"/>
      <c r="P29"/>
    </row>
    <row r="30" spans="2:16" s="64" customFormat="1" x14ac:dyDescent="0.25">
      <c r="B30" s="82"/>
      <c r="C30" s="84"/>
      <c r="D30" s="85"/>
      <c r="E30" s="85"/>
      <c r="F30" s="86"/>
      <c r="G30" s="83"/>
      <c r="H30" s="83"/>
      <c r="K30"/>
      <c r="L30"/>
      <c r="M30"/>
      <c r="N30"/>
      <c r="O30"/>
      <c r="P30"/>
    </row>
  </sheetData>
  <sheetProtection insertRows="0"/>
  <mergeCells count="5">
    <mergeCell ref="D1:E1"/>
    <mergeCell ref="D2:E2"/>
    <mergeCell ref="D3:E3"/>
    <mergeCell ref="D4:E4"/>
    <mergeCell ref="J4:S4"/>
  </mergeCells>
  <pageMargins left="0.23622047244094491" right="0.23622047244094491" top="0.35433070866141736" bottom="0.35433070866141736" header="0.31496062992125984" footer="0.31496062992125984"/>
  <pageSetup paperSize="9" scale="39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1:F36"/>
  <sheetViews>
    <sheetView zoomScaleNormal="100" workbookViewId="0">
      <selection activeCell="F24" sqref="F24"/>
    </sheetView>
  </sheetViews>
  <sheetFormatPr baseColWidth="10" defaultRowHeight="15" x14ac:dyDescent="0.25"/>
  <cols>
    <col min="2" max="6" width="14.7109375" customWidth="1"/>
  </cols>
  <sheetData>
    <row r="1" spans="2:6" ht="15.75" thickBot="1" x14ac:dyDescent="0.3">
      <c r="B1" s="43" t="s">
        <v>121</v>
      </c>
      <c r="C1" s="44"/>
      <c r="D1" s="44"/>
      <c r="E1" s="44"/>
      <c r="F1" s="49"/>
    </row>
    <row r="2" spans="2:6" ht="15.75" thickBot="1" x14ac:dyDescent="0.3">
      <c r="B2" s="45" t="s">
        <v>83</v>
      </c>
      <c r="C2" s="46" t="s">
        <v>84</v>
      </c>
      <c r="D2" s="47" t="s">
        <v>85</v>
      </c>
      <c r="E2" s="48" t="s">
        <v>86</v>
      </c>
      <c r="F2" s="48" t="s">
        <v>87</v>
      </c>
    </row>
    <row r="3" spans="2:6" ht="15.75" x14ac:dyDescent="0.25">
      <c r="B3" s="52" t="s">
        <v>88</v>
      </c>
      <c r="C3" s="114">
        <v>8817.2104999999992</v>
      </c>
      <c r="D3" s="113">
        <v>12344.0947</v>
      </c>
      <c r="E3" s="115">
        <v>14107.5368</v>
      </c>
      <c r="F3" s="115">
        <v>15518.290499999999</v>
      </c>
    </row>
    <row r="4" spans="2:6" ht="15.75" x14ac:dyDescent="0.25">
      <c r="B4" s="50">
        <v>50</v>
      </c>
      <c r="C4" s="113">
        <v>10946.846299999999</v>
      </c>
      <c r="D4" s="113">
        <v>15325.5849</v>
      </c>
      <c r="E4" s="115">
        <v>17514.954099999999</v>
      </c>
      <c r="F4" s="115">
        <v>19266.4496</v>
      </c>
    </row>
    <row r="5" spans="2:6" ht="15.75" x14ac:dyDescent="0.25">
      <c r="B5" s="50">
        <v>100</v>
      </c>
      <c r="C5" s="113">
        <v>13172.114100000001</v>
      </c>
      <c r="D5" s="113">
        <v>18440.959699999999</v>
      </c>
      <c r="E5" s="115">
        <v>21075.3825</v>
      </c>
      <c r="F5" s="115">
        <v>23182.9208</v>
      </c>
    </row>
    <row r="6" spans="2:6" ht="15.75" x14ac:dyDescent="0.25">
      <c r="B6" s="50">
        <v>150</v>
      </c>
      <c r="C6" s="113">
        <v>15811.393</v>
      </c>
      <c r="D6" s="113">
        <v>22135.950199999999</v>
      </c>
      <c r="E6" s="115">
        <v>25298.228800000001</v>
      </c>
      <c r="F6" s="115">
        <v>27828.0517</v>
      </c>
    </row>
    <row r="7" spans="2:6" ht="15.75" x14ac:dyDescent="0.25">
      <c r="B7" s="50">
        <v>200</v>
      </c>
      <c r="C7" s="113">
        <v>19193.741300000002</v>
      </c>
      <c r="D7" s="113">
        <v>26871.237799999999</v>
      </c>
      <c r="E7" s="115">
        <v>30709.986000000001</v>
      </c>
      <c r="F7" s="115">
        <v>33780.984600000003</v>
      </c>
    </row>
    <row r="8" spans="2:6" ht="15.75" x14ac:dyDescent="0.25">
      <c r="B8" s="50">
        <v>250</v>
      </c>
      <c r="C8" s="113">
        <v>22606.709699999999</v>
      </c>
      <c r="D8" s="113">
        <v>31649.393499999998</v>
      </c>
      <c r="E8" s="115">
        <v>36170.735500000003</v>
      </c>
      <c r="F8" s="115">
        <v>39787.809000000001</v>
      </c>
    </row>
    <row r="9" spans="2:6" ht="15.75" x14ac:dyDescent="0.25">
      <c r="B9" s="50">
        <v>300</v>
      </c>
      <c r="C9" s="113">
        <v>26003.7435</v>
      </c>
      <c r="D9" s="113">
        <v>36405.240899999997</v>
      </c>
      <c r="E9" s="115">
        <v>41605.989600000001</v>
      </c>
      <c r="F9" s="115">
        <v>45766.588600000003</v>
      </c>
    </row>
    <row r="10" spans="2:6" ht="15.75" x14ac:dyDescent="0.25">
      <c r="B10" s="50">
        <v>350</v>
      </c>
      <c r="C10" s="113">
        <v>29402.03</v>
      </c>
      <c r="D10" s="113">
        <v>41162.841999999997</v>
      </c>
      <c r="E10" s="115">
        <v>47043.248</v>
      </c>
      <c r="F10" s="115">
        <v>51747.572800000002</v>
      </c>
    </row>
    <row r="11" spans="2:6" ht="15.75" x14ac:dyDescent="0.25">
      <c r="B11" s="50">
        <v>400</v>
      </c>
      <c r="C11" s="113">
        <v>32791.775900000001</v>
      </c>
      <c r="D11" s="113">
        <v>45908.486199999999</v>
      </c>
      <c r="E11" s="115">
        <v>52466.841399999998</v>
      </c>
      <c r="F11" s="115">
        <v>57713.525600000001</v>
      </c>
    </row>
    <row r="12" spans="2:6" ht="15.75" x14ac:dyDescent="0.25">
      <c r="B12" s="50">
        <v>450</v>
      </c>
      <c r="C12" s="113">
        <v>34995.445699999997</v>
      </c>
      <c r="D12" s="113">
        <v>48993.624000000003</v>
      </c>
      <c r="E12" s="115">
        <v>55992.713199999998</v>
      </c>
      <c r="F12" s="115">
        <v>61591.984499999999</v>
      </c>
    </row>
    <row r="13" spans="2:6" ht="15.75" x14ac:dyDescent="0.25">
      <c r="B13" s="50">
        <v>500</v>
      </c>
      <c r="C13" s="113">
        <v>37191.8226</v>
      </c>
      <c r="D13" s="113">
        <v>52068.551700000004</v>
      </c>
      <c r="E13" s="115">
        <v>59506.9162</v>
      </c>
      <c r="F13" s="115">
        <v>65457.607900000003</v>
      </c>
    </row>
    <row r="14" spans="2:6" ht="15.75" x14ac:dyDescent="0.25">
      <c r="B14" s="50">
        <v>550</v>
      </c>
      <c r="C14" s="113">
        <v>41023.2166</v>
      </c>
      <c r="D14" s="113">
        <v>57432.503299999997</v>
      </c>
      <c r="E14" s="115">
        <v>65637.146599999993</v>
      </c>
      <c r="F14" s="115">
        <v>72200.861300000004</v>
      </c>
    </row>
    <row r="15" spans="2:6" ht="15.75" x14ac:dyDescent="0.25">
      <c r="B15" s="50">
        <v>600</v>
      </c>
      <c r="C15" s="113">
        <v>44278.7549</v>
      </c>
      <c r="D15" s="113">
        <v>61990.2569</v>
      </c>
      <c r="E15" s="115">
        <v>70846.007800000007</v>
      </c>
      <c r="F15" s="115">
        <v>77930.608600000007</v>
      </c>
    </row>
    <row r="16" spans="2:6" ht="15.75" x14ac:dyDescent="0.25">
      <c r="B16" s="50">
        <v>650</v>
      </c>
      <c r="C16" s="113">
        <v>47503.681600000004</v>
      </c>
      <c r="D16" s="113">
        <v>66505.154299999995</v>
      </c>
      <c r="E16" s="115">
        <v>76005.890599999999</v>
      </c>
      <c r="F16" s="115">
        <v>83606.479699999996</v>
      </c>
    </row>
    <row r="17" spans="2:6" ht="15.75" x14ac:dyDescent="0.25">
      <c r="B17" s="50">
        <v>700</v>
      </c>
      <c r="C17" s="113">
        <v>51509.593200000003</v>
      </c>
      <c r="D17" s="113">
        <v>72113.430500000002</v>
      </c>
      <c r="E17" s="115">
        <v>82415.349100000007</v>
      </c>
      <c r="F17" s="115">
        <v>90656.884000000005</v>
      </c>
    </row>
    <row r="18" spans="2:6" ht="15.75" x14ac:dyDescent="0.25">
      <c r="B18" s="50">
        <v>750</v>
      </c>
      <c r="C18" s="113">
        <v>55783.987699999998</v>
      </c>
      <c r="D18" s="113">
        <v>78097.582800000004</v>
      </c>
      <c r="E18" s="115">
        <v>89254.380399999995</v>
      </c>
      <c r="F18" s="115">
        <v>98179.818400000004</v>
      </c>
    </row>
    <row r="19" spans="2:6" ht="15.75" x14ac:dyDescent="0.25">
      <c r="B19" s="50">
        <v>800</v>
      </c>
      <c r="C19" s="113">
        <v>59149.342199999999</v>
      </c>
      <c r="D19" s="113">
        <v>82809.079100000003</v>
      </c>
      <c r="E19" s="115">
        <v>94638.947499999995</v>
      </c>
      <c r="F19" s="115">
        <v>104102.8422</v>
      </c>
    </row>
    <row r="20" spans="2:6" ht="15.75" x14ac:dyDescent="0.25">
      <c r="B20" s="50">
        <v>850</v>
      </c>
      <c r="C20" s="113">
        <v>62235.1751</v>
      </c>
      <c r="D20" s="113">
        <v>87129.245200000005</v>
      </c>
      <c r="E20" s="115">
        <v>99576.280199999994</v>
      </c>
      <c r="F20" s="115">
        <v>109533.90820000001</v>
      </c>
    </row>
    <row r="21" spans="2:6" ht="15.75" x14ac:dyDescent="0.25">
      <c r="B21" s="50">
        <v>900</v>
      </c>
      <c r="C21" s="113">
        <v>65494.366600000001</v>
      </c>
      <c r="D21" s="113">
        <v>91692.113299999997</v>
      </c>
      <c r="E21" s="115">
        <v>104790.9866</v>
      </c>
      <c r="F21" s="115">
        <v>115270.0852</v>
      </c>
    </row>
    <row r="22" spans="2:6" ht="15.75" x14ac:dyDescent="0.25">
      <c r="B22" s="50">
        <v>950</v>
      </c>
      <c r="C22" s="113">
        <v>68727.938699999999</v>
      </c>
      <c r="D22" s="113">
        <v>96219.114100000006</v>
      </c>
      <c r="E22" s="115">
        <v>109964.7019</v>
      </c>
      <c r="F22" s="115">
        <v>120961.17200000001</v>
      </c>
    </row>
    <row r="23" spans="2:6" ht="16.5" thickBot="1" x14ac:dyDescent="0.3">
      <c r="B23" s="51">
        <v>1000</v>
      </c>
      <c r="C23" s="113">
        <v>73409.4133</v>
      </c>
      <c r="D23" s="113">
        <v>102770.3786</v>
      </c>
      <c r="E23" s="115">
        <v>11451.8613</v>
      </c>
      <c r="F23" s="115">
        <v>129197.0474</v>
      </c>
    </row>
    <row r="26" spans="2:6" x14ac:dyDescent="0.25">
      <c r="B26" s="68" t="s">
        <v>92</v>
      </c>
    </row>
    <row r="27" spans="2:6" x14ac:dyDescent="0.25">
      <c r="B27" s="69" t="s">
        <v>93</v>
      </c>
    </row>
    <row r="28" spans="2:6" x14ac:dyDescent="0.25">
      <c r="B28" s="70" t="s">
        <v>94</v>
      </c>
    </row>
    <row r="29" spans="2:6" x14ac:dyDescent="0.25">
      <c r="B29" s="70" t="s">
        <v>95</v>
      </c>
    </row>
    <row r="30" spans="2:6" x14ac:dyDescent="0.25">
      <c r="B30" s="71" t="s">
        <v>96</v>
      </c>
    </row>
    <row r="31" spans="2:6" x14ac:dyDescent="0.25">
      <c r="B31" s="72" t="s">
        <v>97</v>
      </c>
    </row>
    <row r="32" spans="2:6" x14ac:dyDescent="0.25">
      <c r="B32" s="72" t="s">
        <v>98</v>
      </c>
    </row>
    <row r="33" spans="2:2" x14ac:dyDescent="0.25">
      <c r="B33" s="73" t="s">
        <v>99</v>
      </c>
    </row>
    <row r="34" spans="2:2" x14ac:dyDescent="0.25">
      <c r="B34" s="70" t="s">
        <v>100</v>
      </c>
    </row>
    <row r="35" spans="2:2" x14ac:dyDescent="0.25">
      <c r="B35" s="72" t="s">
        <v>101</v>
      </c>
    </row>
    <row r="36" spans="2:2" x14ac:dyDescent="0.25">
      <c r="B36" s="72" t="s">
        <v>102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INSTRUCTIVO</vt:lpstr>
      <vt:lpstr>Alternativa 1</vt:lpstr>
      <vt:lpstr>COPIAR A NOTA DE OFERTA</vt:lpstr>
      <vt:lpstr>Precio Transporte</vt:lpstr>
      <vt:lpstr>'Alternativa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Ventas Pretensa</cp:lastModifiedBy>
  <cp:lastPrinted>2025-05-12T20:08:43Z</cp:lastPrinted>
  <dcterms:created xsi:type="dcterms:W3CDTF">2024-01-02T16:45:30Z</dcterms:created>
  <dcterms:modified xsi:type="dcterms:W3CDTF">2025-05-12T20:08:46Z</dcterms:modified>
</cp:coreProperties>
</file>