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4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P61" i="1" l="1"/>
  <c r="P62" i="1"/>
  <c r="P59" i="1"/>
  <c r="P60" i="1"/>
  <c r="P63" i="1"/>
  <c r="P64" i="1" s="1"/>
  <c r="P65" i="1" s="1"/>
  <c r="O15" i="2"/>
  <c r="O12" i="2"/>
  <c r="O9" i="2"/>
  <c r="O6" i="2"/>
  <c r="P15" i="1"/>
  <c r="P13" i="1"/>
  <c r="P8" i="1"/>
  <c r="I8" i="2"/>
  <c r="I9" i="2" s="1"/>
  <c r="I5" i="2"/>
  <c r="I6" i="2" s="1"/>
  <c r="C14" i="2"/>
  <c r="C15" i="2" s="1"/>
  <c r="C11" i="2"/>
  <c r="C12" i="2" s="1"/>
  <c r="C8" i="2"/>
  <c r="C5" i="2"/>
  <c r="C6" i="2" s="1"/>
  <c r="I15" i="2"/>
  <c r="I12" i="2"/>
  <c r="C9" i="2"/>
  <c r="J15" i="1"/>
  <c r="D15" i="1"/>
  <c r="P46" i="1"/>
  <c r="D14" i="1"/>
  <c r="C18" i="2" l="1"/>
  <c r="P54" i="1"/>
  <c r="P50" i="1"/>
  <c r="P57" i="1" s="1"/>
  <c r="J46" i="1"/>
  <c r="J14" i="1"/>
  <c r="P12" i="1"/>
  <c r="O18" i="2" l="1"/>
  <c r="D10" i="1" l="1"/>
  <c r="I11" i="2" l="1"/>
  <c r="E50" i="1" l="1"/>
  <c r="J10" i="1"/>
  <c r="I14" i="2"/>
  <c r="J50" i="1" l="1"/>
  <c r="J57" i="1" l="1"/>
  <c r="J59" i="1" s="1"/>
  <c r="P14" i="2"/>
  <c r="P11" i="2"/>
  <c r="P8" i="2"/>
  <c r="P5" i="2"/>
  <c r="I18" i="2"/>
  <c r="I22" i="2" s="1"/>
  <c r="J62" i="1" l="1"/>
  <c r="C22" i="2"/>
  <c r="C20" i="2"/>
  <c r="C21" i="2"/>
  <c r="C23" i="2"/>
  <c r="I23" i="2"/>
  <c r="I21" i="2"/>
  <c r="I20" i="2"/>
  <c r="O21" i="2"/>
  <c r="E46" i="1"/>
  <c r="J54" i="1"/>
  <c r="E54" i="1"/>
  <c r="C25" i="2" l="1"/>
  <c r="C26" i="2" s="1"/>
  <c r="C28" i="2" s="1"/>
  <c r="E57" i="1"/>
  <c r="I25" i="2"/>
  <c r="I26" i="2" s="1"/>
  <c r="I28" i="2" s="1"/>
  <c r="O20" i="2"/>
  <c r="O22" i="2"/>
  <c r="O23" i="2"/>
  <c r="E61" i="1" l="1"/>
  <c r="E62" i="1"/>
  <c r="E59" i="1"/>
  <c r="E60" i="1"/>
  <c r="O25" i="2"/>
  <c r="O26" i="2" s="1"/>
  <c r="O28" i="2" s="1"/>
  <c r="E63" i="1" l="1"/>
  <c r="E64" i="1" s="1"/>
  <c r="E65" i="1" s="1"/>
  <c r="J61" i="1"/>
  <c r="J60" i="1"/>
  <c r="J63" i="1" s="1"/>
  <c r="J64" i="1" s="1"/>
  <c r="J65" i="1" s="1"/>
</calcChain>
</file>

<file path=xl/sharedStrings.xml><?xml version="1.0" encoding="utf-8"?>
<sst xmlns="http://schemas.openxmlformats.org/spreadsheetml/2006/main" count="85" uniqueCount="34">
  <si>
    <t>Sodium absorbed</t>
  </si>
  <si>
    <t>Model:</t>
  </si>
  <si>
    <t>J_Enac + J_NHE3 + J_SGLT1</t>
  </si>
  <si>
    <t>J_Na_Abs. =</t>
  </si>
  <si>
    <t>umol/sec</t>
  </si>
  <si>
    <t>mmol/min</t>
  </si>
  <si>
    <t>Exp.</t>
  </si>
  <si>
    <t>J_Na_Abs .=</t>
  </si>
  <si>
    <t>Glucose absorbed</t>
  </si>
  <si>
    <t>J_Gl_Abs. =</t>
  </si>
  <si>
    <t>J_GLUT2</t>
  </si>
  <si>
    <t>J_Gl_Abs .=</t>
  </si>
  <si>
    <t>Water absorbed</t>
  </si>
  <si>
    <t>J_W_Abs .=</t>
  </si>
  <si>
    <t>J_W_Abs.</t>
  </si>
  <si>
    <t>Model</t>
  </si>
  <si>
    <t>ml/min</t>
  </si>
  <si>
    <t>v_w</t>
  </si>
  <si>
    <t>m3/mole</t>
  </si>
  <si>
    <t>umole/sec</t>
  </si>
  <si>
    <t>Number</t>
  </si>
  <si>
    <t>J_A_Na</t>
  </si>
  <si>
    <t xml:space="preserve">J_w </t>
  </si>
  <si>
    <t xml:space="preserve">J_Gl_Abs. </t>
  </si>
  <si>
    <t>Inf.</t>
  </si>
  <si>
    <t>Mean</t>
  </si>
  <si>
    <t>Sum</t>
  </si>
  <si>
    <t>/4</t>
  </si>
  <si>
    <t>SQRT</t>
  </si>
  <si>
    <t>Q_in = Q_in/2</t>
  </si>
  <si>
    <t>Q= 7e-17</t>
  </si>
  <si>
    <t>Q_in = Q_in*2</t>
  </si>
  <si>
    <t>The experiments values are in sheet2</t>
  </si>
  <si>
    <t>G_NaK = 5e6 to 3.5e6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</si>
</sst>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5">
    <border>
      <left/>
      <right/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00B050"/>
      </right>
      <top style="medium">
        <color rgb="FFC00000"/>
      </top>
      <bottom/>
      <diagonal/>
    </border>
    <border>
      <left style="medium">
        <color rgb="FF00B05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00B050"/>
      </right>
      <top/>
      <bottom style="medium">
        <color rgb="FFC00000"/>
      </bottom>
      <diagonal/>
    </border>
    <border>
      <left style="medium">
        <color rgb="FF00B05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0" fillId="0" borderId="0" xfId="0" applyNumberFormat="1" applyBorder="1"/>
    <xf numFmtId="11" fontId="0" fillId="0" borderId="0" xfId="0" applyNumberFormat="1"/>
    <xf numFmtId="0" fontId="0" fillId="0" borderId="1" xfId="0" applyBorder="1"/>
    <xf numFmtId="0" fontId="0" fillId="0" borderId="0" xfId="0" applyNumberFormat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2" xfId="0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9" xfId="0" applyFill="1" applyBorder="1"/>
    <xf numFmtId="11" fontId="0" fillId="2" borderId="0" xfId="0" applyNumberFormat="1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1" fontId="0" fillId="2" borderId="21" xfId="0" applyNumberFormat="1" applyFill="1" applyBorder="1"/>
    <xf numFmtId="0" fontId="0" fillId="2" borderId="2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5"/>
  <sheetViews>
    <sheetView tabSelected="1" topLeftCell="A25" workbookViewId="0">
      <selection activeCell="P62" sqref="P62"/>
    </sheetView>
  </sheetViews>
  <sheetFormatPr defaultRowHeight="15" x14ac:dyDescent="0.25"/>
  <cols>
    <col min="3" max="3" width="12.28515625" customWidth="1"/>
    <col min="4" max="4" width="17.42578125" customWidth="1"/>
    <col min="5" max="5" width="12" bestFit="1" customWidth="1"/>
    <col min="9" max="9" width="12.85546875" customWidth="1"/>
    <col min="10" max="10" width="12.28515625" customWidth="1"/>
    <col min="13" max="13" width="12" bestFit="1" customWidth="1"/>
    <col min="16" max="16" width="12" bestFit="1" customWidth="1"/>
  </cols>
  <sheetData>
    <row r="2" spans="3:24" ht="15.75" thickBot="1" x14ac:dyDescent="0.3"/>
    <row r="3" spans="3:24" x14ac:dyDescent="0.25">
      <c r="C3" s="2" t="s">
        <v>0</v>
      </c>
      <c r="D3" s="3"/>
      <c r="E3" s="3"/>
      <c r="F3" s="4"/>
      <c r="I3" s="2" t="s">
        <v>8</v>
      </c>
      <c r="J3" s="3"/>
      <c r="K3" s="3"/>
      <c r="L3" s="4"/>
      <c r="O3" s="2" t="s">
        <v>12</v>
      </c>
      <c r="P3" s="3"/>
      <c r="Q3" s="3"/>
      <c r="R3" s="4"/>
      <c r="U3" s="2"/>
      <c r="V3" s="3"/>
      <c r="W3" s="3"/>
      <c r="X3" s="4"/>
    </row>
    <row r="4" spans="3:24" x14ac:dyDescent="0.25">
      <c r="C4" s="5"/>
      <c r="D4" s="1"/>
      <c r="E4" s="1"/>
      <c r="F4" s="6"/>
      <c r="I4" s="5"/>
      <c r="J4" s="1"/>
      <c r="K4" s="1"/>
      <c r="L4" s="6"/>
      <c r="O4" s="5"/>
      <c r="P4" s="1"/>
      <c r="Q4" s="1"/>
      <c r="R4" s="6"/>
      <c r="U4" s="5"/>
      <c r="V4" s="1"/>
      <c r="W4" s="1"/>
      <c r="X4" s="6"/>
    </row>
    <row r="5" spans="3:24" x14ac:dyDescent="0.25">
      <c r="C5" s="5" t="s">
        <v>1</v>
      </c>
      <c r="D5" s="1" t="s">
        <v>30</v>
      </c>
      <c r="E5" s="1"/>
      <c r="F5" s="6"/>
      <c r="I5" s="5" t="s">
        <v>1</v>
      </c>
      <c r="J5" s="1"/>
      <c r="K5" s="1"/>
      <c r="L5" s="6"/>
      <c r="O5" s="5" t="s">
        <v>15</v>
      </c>
      <c r="P5" s="1"/>
      <c r="Q5" s="1"/>
      <c r="R5" s="6"/>
      <c r="U5" s="5"/>
      <c r="V5" s="10"/>
      <c r="W5" s="1"/>
      <c r="X5" s="6"/>
    </row>
    <row r="6" spans="3:24" x14ac:dyDescent="0.25">
      <c r="C6" s="5"/>
      <c r="D6" s="1"/>
      <c r="E6" s="1"/>
      <c r="F6" s="6"/>
      <c r="I6" s="5"/>
      <c r="J6" s="1"/>
      <c r="K6" s="1"/>
      <c r="L6" s="6"/>
      <c r="O6" s="5" t="s">
        <v>14</v>
      </c>
      <c r="P6" s="10">
        <v>2.8000000000000002E-7</v>
      </c>
      <c r="Q6" s="1" t="s">
        <v>19</v>
      </c>
      <c r="R6" s="6"/>
      <c r="U6" s="5"/>
      <c r="V6" s="10"/>
      <c r="W6" s="1"/>
      <c r="X6" s="6"/>
    </row>
    <row r="7" spans="3:24" x14ac:dyDescent="0.25">
      <c r="C7" s="5" t="s">
        <v>3</v>
      </c>
      <c r="D7" s="1" t="s">
        <v>2</v>
      </c>
      <c r="E7" s="1"/>
      <c r="F7" s="6"/>
      <c r="I7" s="5" t="s">
        <v>9</v>
      </c>
      <c r="J7" s="1" t="s">
        <v>10</v>
      </c>
      <c r="K7" s="1"/>
      <c r="L7" s="6"/>
      <c r="O7" s="5" t="s">
        <v>17</v>
      </c>
      <c r="P7" s="10">
        <v>1.8E-5</v>
      </c>
      <c r="Q7" s="1" t="s">
        <v>18</v>
      </c>
      <c r="R7" s="6"/>
      <c r="U7" s="5"/>
      <c r="V7" s="10"/>
      <c r="W7" s="1"/>
      <c r="X7" s="6"/>
    </row>
    <row r="8" spans="3:24" x14ac:dyDescent="0.25">
      <c r="C8" s="5"/>
      <c r="D8" s="11">
        <v>6.9999999999999996E-10</v>
      </c>
      <c r="E8" s="1" t="s">
        <v>4</v>
      </c>
      <c r="F8" s="6"/>
      <c r="I8" s="5"/>
      <c r="J8" s="10">
        <v>5.0300000000000002E-10</v>
      </c>
      <c r="K8" s="1" t="s">
        <v>4</v>
      </c>
      <c r="L8" s="6"/>
      <c r="O8" s="5"/>
      <c r="P8" s="10">
        <f>P6*P7*60</f>
        <v>3.0240000000000001E-10</v>
      </c>
      <c r="Q8" s="1" t="s">
        <v>16</v>
      </c>
      <c r="R8" s="6"/>
      <c r="U8" s="5"/>
      <c r="V8" s="1"/>
      <c r="W8" s="1"/>
      <c r="X8" s="6"/>
    </row>
    <row r="9" spans="3:24" x14ac:dyDescent="0.25">
      <c r="C9" s="5"/>
      <c r="E9" s="1"/>
      <c r="F9" s="6"/>
      <c r="I9" s="5"/>
      <c r="J9" s="1"/>
      <c r="K9" s="1"/>
      <c r="L9" s="6"/>
      <c r="O9" s="5"/>
      <c r="P9" s="1"/>
      <c r="Q9" s="1"/>
      <c r="R9" s="6"/>
      <c r="U9" s="5"/>
      <c r="V9" s="1"/>
      <c r="W9" s="1"/>
      <c r="X9" s="6"/>
    </row>
    <row r="10" spans="3:24" ht="15.75" thickBot="1" x14ac:dyDescent="0.3">
      <c r="C10" s="5"/>
      <c r="D10" s="11">
        <f>D8*60*0.001</f>
        <v>4.1999999999999997E-11</v>
      </c>
      <c r="E10" s="1" t="s">
        <v>5</v>
      </c>
      <c r="F10" s="6"/>
      <c r="I10" s="5"/>
      <c r="J10" s="10">
        <f>J8*0.001*60</f>
        <v>3.0180000000000006E-11</v>
      </c>
      <c r="K10" s="1" t="s">
        <v>5</v>
      </c>
      <c r="L10" s="6"/>
      <c r="O10" s="5"/>
      <c r="P10" s="1"/>
      <c r="Q10" s="1"/>
      <c r="R10" s="6"/>
      <c r="U10" s="5"/>
      <c r="V10" s="1"/>
      <c r="W10" s="1"/>
      <c r="X10" s="6"/>
    </row>
    <row r="11" spans="3:24" x14ac:dyDescent="0.25">
      <c r="C11" s="21"/>
      <c r="D11" s="22"/>
      <c r="E11" s="22"/>
      <c r="F11" s="23"/>
      <c r="G11" s="22"/>
      <c r="H11" s="22"/>
      <c r="I11" s="24"/>
      <c r="J11" s="22"/>
      <c r="K11" s="22"/>
      <c r="L11" s="23"/>
      <c r="M11" s="22"/>
      <c r="N11" s="22"/>
      <c r="O11" s="24" t="s">
        <v>6</v>
      </c>
      <c r="P11" s="22"/>
      <c r="Q11" s="22"/>
      <c r="R11" s="25"/>
      <c r="U11" s="5"/>
      <c r="V11" s="1"/>
      <c r="W11" s="1"/>
      <c r="X11" s="6"/>
    </row>
    <row r="12" spans="3:24" x14ac:dyDescent="0.25">
      <c r="C12" s="26" t="s">
        <v>6</v>
      </c>
      <c r="D12" s="27"/>
      <c r="E12" s="27"/>
      <c r="F12" s="28"/>
      <c r="G12" s="27"/>
      <c r="H12" s="27"/>
      <c r="I12" s="29" t="s">
        <v>6</v>
      </c>
      <c r="J12" s="27"/>
      <c r="K12" s="27"/>
      <c r="L12" s="28"/>
      <c r="M12" s="27"/>
      <c r="N12" s="27"/>
      <c r="O12" s="29" t="s">
        <v>14</v>
      </c>
      <c r="P12" s="27">
        <f>1.6</f>
        <v>1.6</v>
      </c>
      <c r="Q12" s="27" t="s">
        <v>16</v>
      </c>
      <c r="R12" s="30"/>
      <c r="U12" s="5"/>
      <c r="V12" s="10"/>
      <c r="W12" s="1"/>
      <c r="X12" s="6"/>
    </row>
    <row r="13" spans="3:24" x14ac:dyDescent="0.25">
      <c r="C13" s="26"/>
      <c r="D13" s="27"/>
      <c r="E13" s="27"/>
      <c r="F13" s="28"/>
      <c r="G13" s="27"/>
      <c r="H13" s="27"/>
      <c r="I13" s="29"/>
      <c r="J13" s="27"/>
      <c r="K13" s="27"/>
      <c r="L13" s="28"/>
      <c r="M13" s="27"/>
      <c r="N13" s="27"/>
      <c r="O13" s="29"/>
      <c r="P13" s="31">
        <f>P12</f>
        <v>1.6</v>
      </c>
      <c r="Q13" s="27" t="s">
        <v>16</v>
      </c>
      <c r="R13" s="30"/>
      <c r="U13" s="5"/>
      <c r="V13" s="10"/>
      <c r="W13" s="1"/>
      <c r="X13" s="6"/>
    </row>
    <row r="14" spans="3:24" x14ac:dyDescent="0.25">
      <c r="C14" s="26" t="s">
        <v>7</v>
      </c>
      <c r="D14" s="27">
        <f>0.1*2.9 -0.15</f>
        <v>0.13999999999999999</v>
      </c>
      <c r="E14" s="27"/>
      <c r="F14" s="28"/>
      <c r="G14" s="27"/>
      <c r="H14" s="27"/>
      <c r="I14" s="29" t="s">
        <v>11</v>
      </c>
      <c r="J14" s="27">
        <f>0.09*2.9 -0.15</f>
        <v>0.11100000000000002</v>
      </c>
      <c r="K14" s="27"/>
      <c r="L14" s="28"/>
      <c r="M14" s="27"/>
      <c r="N14" s="27"/>
      <c r="O14" s="29" t="s">
        <v>20</v>
      </c>
      <c r="P14" s="31">
        <v>3000000000</v>
      </c>
      <c r="Q14" s="27"/>
      <c r="R14" s="30"/>
      <c r="U14" s="5"/>
      <c r="V14" s="10"/>
      <c r="W14" s="1"/>
      <c r="X14" s="6"/>
    </row>
    <row r="15" spans="3:24" ht="15.75" thickBot="1" x14ac:dyDescent="0.3">
      <c r="C15" s="32"/>
      <c r="D15" s="33">
        <f>D14/4000000000</f>
        <v>3.4999999999999995E-11</v>
      </c>
      <c r="E15" s="33" t="s">
        <v>5</v>
      </c>
      <c r="F15" s="34"/>
      <c r="G15" s="33"/>
      <c r="H15" s="33"/>
      <c r="I15" s="35"/>
      <c r="J15" s="33">
        <f>J14/4000000000</f>
        <v>2.7750000000000004E-11</v>
      </c>
      <c r="K15" s="33" t="s">
        <v>5</v>
      </c>
      <c r="L15" s="34"/>
      <c r="M15" s="33"/>
      <c r="N15" s="33"/>
      <c r="O15" s="35"/>
      <c r="P15" s="36">
        <f>P13/4000000000</f>
        <v>4.0000000000000001E-10</v>
      </c>
      <c r="Q15" s="33" t="s">
        <v>16</v>
      </c>
      <c r="R15" s="37"/>
      <c r="U15" s="5"/>
      <c r="V15" s="1"/>
      <c r="W15" s="1"/>
      <c r="X15" s="6"/>
    </row>
    <row r="16" spans="3:24" ht="15.75" thickBot="1" x14ac:dyDescent="0.3">
      <c r="C16" s="5"/>
      <c r="D16" s="1"/>
      <c r="E16" s="1"/>
      <c r="F16" s="6"/>
      <c r="I16" s="5"/>
      <c r="J16" s="1"/>
      <c r="K16" s="1"/>
      <c r="L16" s="6"/>
      <c r="O16" s="5"/>
      <c r="P16" s="1"/>
      <c r="Q16" s="1"/>
      <c r="R16" s="6"/>
      <c r="U16" s="7"/>
      <c r="V16" s="8"/>
      <c r="W16" s="8"/>
      <c r="X16" s="9"/>
    </row>
    <row r="17" spans="3:22" ht="15.75" thickBot="1" x14ac:dyDescent="0.3">
      <c r="C17" s="7"/>
      <c r="D17" s="8"/>
      <c r="E17" s="8"/>
      <c r="F17" s="9"/>
      <c r="I17" s="7"/>
      <c r="J17" s="8"/>
      <c r="K17" s="8"/>
      <c r="L17" s="9"/>
      <c r="O17" s="7"/>
      <c r="P17" s="8"/>
      <c r="Q17" s="8"/>
      <c r="R17" s="9"/>
    </row>
    <row r="19" spans="3:22" ht="15.75" thickBot="1" x14ac:dyDescent="0.3"/>
    <row r="20" spans="3:22" ht="15.75" thickBot="1" x14ac:dyDescent="0.3">
      <c r="D20" s="12" t="s">
        <v>33</v>
      </c>
    </row>
    <row r="21" spans="3:22" x14ac:dyDescent="0.25">
      <c r="I21" s="5"/>
      <c r="J21" s="11"/>
      <c r="P21" s="11"/>
    </row>
    <row r="22" spans="3:22" x14ac:dyDescent="0.25">
      <c r="D22" s="13"/>
      <c r="F22" s="1"/>
      <c r="J22" s="11"/>
      <c r="K22" s="1"/>
      <c r="P22" s="11"/>
    </row>
    <row r="23" spans="3:22" x14ac:dyDescent="0.25">
      <c r="D23" t="s">
        <v>32</v>
      </c>
      <c r="J23" s="11"/>
      <c r="S23" s="11"/>
    </row>
    <row r="24" spans="3:22" x14ac:dyDescent="0.25">
      <c r="D24" s="11"/>
      <c r="J24" s="11"/>
    </row>
    <row r="25" spans="3:22" x14ac:dyDescent="0.25">
      <c r="I25" s="5"/>
      <c r="J25" s="11"/>
      <c r="P25" s="11"/>
      <c r="V25" s="11"/>
    </row>
    <row r="26" spans="3:22" x14ac:dyDescent="0.25">
      <c r="D26" s="13"/>
      <c r="F26" s="1"/>
      <c r="J26" s="11"/>
      <c r="P26" s="11"/>
    </row>
    <row r="27" spans="3:22" x14ac:dyDescent="0.25">
      <c r="D27" s="11"/>
    </row>
    <row r="28" spans="3:22" x14ac:dyDescent="0.25">
      <c r="D28" s="11"/>
    </row>
    <row r="29" spans="3:22" x14ac:dyDescent="0.25">
      <c r="E29" s="11"/>
      <c r="J29" s="11"/>
      <c r="P29" s="11"/>
    </row>
    <row r="30" spans="3:22" x14ac:dyDescent="0.25">
      <c r="E30" s="11"/>
      <c r="J30" s="11"/>
      <c r="P30" s="11"/>
    </row>
    <row r="33" spans="2:17" x14ac:dyDescent="0.25"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44" spans="2:17" x14ac:dyDescent="0.25">
      <c r="B44" s="11">
        <v>3.5000000000000002E-17</v>
      </c>
    </row>
    <row r="45" spans="2:17" x14ac:dyDescent="0.25">
      <c r="B45" t="s">
        <v>29</v>
      </c>
      <c r="D45" t="s">
        <v>21</v>
      </c>
      <c r="E45" s="11">
        <v>6.8000000000000003E-10</v>
      </c>
      <c r="I45" s="5" t="s">
        <v>23</v>
      </c>
      <c r="J45" s="11">
        <v>3.9499999999999998E-10</v>
      </c>
      <c r="O45" t="s">
        <v>22</v>
      </c>
      <c r="P45" s="11">
        <v>9.9999999999999995E-8</v>
      </c>
    </row>
    <row r="46" spans="2:17" x14ac:dyDescent="0.25">
      <c r="D46" s="13"/>
      <c r="E46">
        <f>E45*0.001*60</f>
        <v>4.0800000000000004E-11</v>
      </c>
      <c r="F46" s="1" t="s">
        <v>5</v>
      </c>
      <c r="J46" s="11">
        <f>J45*60*0.001</f>
        <v>2.37E-11</v>
      </c>
      <c r="K46" s="1" t="s">
        <v>5</v>
      </c>
      <c r="P46" s="11">
        <f>P45*P7*60</f>
        <v>1.08E-10</v>
      </c>
      <c r="Q46" s="1" t="s">
        <v>5</v>
      </c>
    </row>
    <row r="47" spans="2:17" x14ac:dyDescent="0.25">
      <c r="J47" s="11"/>
    </row>
    <row r="48" spans="2:17" x14ac:dyDescent="0.25">
      <c r="B48" s="11">
        <v>1.2E-16</v>
      </c>
      <c r="D48" s="11"/>
      <c r="J48" s="11"/>
    </row>
    <row r="49" spans="2:18" x14ac:dyDescent="0.25">
      <c r="B49" t="s">
        <v>31</v>
      </c>
      <c r="D49" t="s">
        <v>21</v>
      </c>
      <c r="E49" s="11">
        <v>7.2E-10</v>
      </c>
      <c r="I49" s="5" t="s">
        <v>23</v>
      </c>
      <c r="J49" s="11">
        <v>6.0599999999999998E-10</v>
      </c>
      <c r="O49" t="s">
        <v>22</v>
      </c>
      <c r="P49" s="11">
        <v>6.5000000000000002E-7</v>
      </c>
    </row>
    <row r="50" spans="2:18" x14ac:dyDescent="0.25">
      <c r="D50" s="13"/>
      <c r="E50" s="11">
        <f>E49*0.001*60</f>
        <v>4.3199999999999997E-11</v>
      </c>
      <c r="F50" s="1" t="s">
        <v>5</v>
      </c>
      <c r="J50" s="11">
        <f>J49*60*0.001</f>
        <v>3.6359999999999998E-11</v>
      </c>
      <c r="K50" s="1" t="s">
        <v>5</v>
      </c>
      <c r="P50" s="11">
        <f>P49*P7*60</f>
        <v>7.0200000000000006E-10</v>
      </c>
      <c r="Q50" s="1" t="s">
        <v>5</v>
      </c>
    </row>
    <row r="51" spans="2:18" x14ac:dyDescent="0.25">
      <c r="D51" s="11"/>
    </row>
    <row r="52" spans="2:18" x14ac:dyDescent="0.25">
      <c r="D52" s="11"/>
    </row>
    <row r="53" spans="2:18" x14ac:dyDescent="0.25">
      <c r="B53" t="s">
        <v>24</v>
      </c>
      <c r="E53" s="11">
        <v>9.2999999999999999E-10</v>
      </c>
      <c r="J53" s="11">
        <v>8.9000000000000003E-10</v>
      </c>
      <c r="P53" s="11">
        <v>1.1000000000000001E-6</v>
      </c>
    </row>
    <row r="54" spans="2:18" x14ac:dyDescent="0.25">
      <c r="E54" s="11">
        <f>E53*60*0.001</f>
        <v>5.5799999999999997E-11</v>
      </c>
      <c r="F54" s="1" t="s">
        <v>5</v>
      </c>
      <c r="J54" s="11">
        <f>J53*60*0.001</f>
        <v>5.3400000000000004E-11</v>
      </c>
      <c r="K54" s="1" t="s">
        <v>5</v>
      </c>
      <c r="P54" s="11">
        <f>P53*60*P7</f>
        <v>1.188E-9</v>
      </c>
      <c r="Q54" s="1" t="s">
        <v>5</v>
      </c>
    </row>
    <row r="56" spans="2:18" ht="15.75" thickBot="1" x14ac:dyDescent="0.3"/>
    <row r="57" spans="2:18" ht="15.75" thickBot="1" x14ac:dyDescent="0.3">
      <c r="B57" s="14" t="s">
        <v>25</v>
      </c>
      <c r="C57" s="15"/>
      <c r="D57" s="15"/>
      <c r="E57" s="16">
        <f>(D10+E46+E50)/3</f>
        <v>4.2000000000000004E-11</v>
      </c>
      <c r="F57" s="16"/>
      <c r="G57" s="16"/>
      <c r="H57" s="16"/>
      <c r="I57" s="16"/>
      <c r="J57" s="16">
        <f>(J10+J46+J50)/3</f>
        <v>3.0080000000000001E-11</v>
      </c>
      <c r="K57" s="16"/>
      <c r="L57" s="16"/>
      <c r="M57" s="16"/>
      <c r="N57" s="16"/>
      <c r="O57" s="16"/>
      <c r="P57" s="16">
        <f>(P8+P46+P50)/3</f>
        <v>3.708E-10</v>
      </c>
      <c r="Q57" s="15"/>
      <c r="R57" s="17"/>
    </row>
    <row r="59" spans="2:18" x14ac:dyDescent="0.25">
      <c r="E59">
        <f>(D10-E57)^2</f>
        <v>4.1761948595190557E-53</v>
      </c>
      <c r="J59">
        <f>(J10-J57)^2</f>
        <v>1.0000000000000965E-26</v>
      </c>
      <c r="P59">
        <f>(P8-P57)^2</f>
        <v>4.6785599999999985E-21</v>
      </c>
    </row>
    <row r="60" spans="2:18" x14ac:dyDescent="0.25">
      <c r="E60">
        <f>(E46-E57)^2</f>
        <v>1.4399999999999994E-24</v>
      </c>
      <c r="J60">
        <f>(J46-J57)^2</f>
        <v>4.0704400000000019E-23</v>
      </c>
      <c r="P60">
        <f>(P46-P57)^2</f>
        <v>6.9063840000000006E-20</v>
      </c>
    </row>
    <row r="61" spans="2:18" x14ac:dyDescent="0.25">
      <c r="E61">
        <f>(E50-E57)^2</f>
        <v>1.4399999999999838E-24</v>
      </c>
      <c r="J61">
        <f>(J50-J57)^2</f>
        <v>3.943839999999996E-23</v>
      </c>
      <c r="P61">
        <f>(P50-P57)^2</f>
        <v>1.0969344000000003E-19</v>
      </c>
    </row>
    <row r="62" spans="2:18" x14ac:dyDescent="0.25">
      <c r="E62">
        <f>(E54-E57)^2</f>
        <v>1.9043999999999983E-22</v>
      </c>
      <c r="J62">
        <f>(J54-J57)^2</f>
        <v>5.4382240000000013E-22</v>
      </c>
      <c r="P62">
        <f>(P54-P57)^2</f>
        <v>6.6781584000000008E-19</v>
      </c>
    </row>
    <row r="63" spans="2:18" x14ac:dyDescent="0.25">
      <c r="B63" t="s">
        <v>26</v>
      </c>
      <c r="E63">
        <f>SUM(E59:E61)</f>
        <v>2.879999999999983E-24</v>
      </c>
      <c r="J63">
        <f>SUM(J59:J61)</f>
        <v>8.0152799999999987E-23</v>
      </c>
      <c r="P63">
        <f>SUM(P59:P61)</f>
        <v>1.8343584000000004E-19</v>
      </c>
    </row>
    <row r="64" spans="2:18" x14ac:dyDescent="0.25">
      <c r="B64" t="s">
        <v>27</v>
      </c>
      <c r="E64">
        <f>E63/3</f>
        <v>9.5999999999999434E-25</v>
      </c>
      <c r="J64">
        <f>J63/3</f>
        <v>2.6717599999999996E-23</v>
      </c>
      <c r="P64">
        <f>P63/3</f>
        <v>6.1145280000000014E-20</v>
      </c>
    </row>
    <row r="65" spans="2:16" x14ac:dyDescent="0.25">
      <c r="B65" t="s">
        <v>28</v>
      </c>
      <c r="E65">
        <f>SQRT(E64)</f>
        <v>9.7979589711326828E-13</v>
      </c>
      <c r="J65">
        <f>SQRT(J64)</f>
        <v>5.1689070411451583E-12</v>
      </c>
      <c r="P65">
        <f>SQRT(P64)</f>
        <v>2.4727571655947134E-10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8"/>
  <sheetViews>
    <sheetView workbookViewId="0">
      <selection activeCell="O16" sqref="O16"/>
    </sheetView>
  </sheetViews>
  <sheetFormatPr defaultRowHeight="15" x14ac:dyDescent="0.25"/>
  <cols>
    <col min="3" max="3" width="12" bestFit="1" customWidth="1"/>
    <col min="9" max="9" width="12" bestFit="1" customWidth="1"/>
    <col min="15" max="15" width="12" bestFit="1" customWidth="1"/>
  </cols>
  <sheetData>
    <row r="3" spans="2:17" x14ac:dyDescent="0.25">
      <c r="B3" s="5" t="s">
        <v>6</v>
      </c>
      <c r="C3" s="1"/>
      <c r="D3" s="1"/>
      <c r="H3" s="5" t="s">
        <v>6</v>
      </c>
      <c r="I3" s="1"/>
      <c r="J3" s="1"/>
      <c r="K3" s="6"/>
      <c r="N3" s="5" t="s">
        <v>6</v>
      </c>
      <c r="O3" s="1"/>
      <c r="P3" s="1"/>
      <c r="Q3" s="6"/>
    </row>
    <row r="4" spans="2:17" ht="15.75" thickBot="1" x14ac:dyDescent="0.3">
      <c r="B4" s="5"/>
      <c r="C4" s="1"/>
      <c r="D4" s="1"/>
      <c r="H4" s="5"/>
      <c r="I4" s="1"/>
      <c r="J4" s="1"/>
      <c r="K4" s="6"/>
      <c r="N4" s="5"/>
      <c r="O4" s="1"/>
      <c r="P4" s="1"/>
      <c r="Q4" s="6"/>
    </row>
    <row r="5" spans="2:17" ht="15.75" thickBot="1" x14ac:dyDescent="0.3">
      <c r="B5" s="5" t="s">
        <v>7</v>
      </c>
      <c r="C5" s="12">
        <f>0.1*2.9 -0.16</f>
        <v>0.12999999999999998</v>
      </c>
      <c r="D5" s="1"/>
      <c r="H5" s="5" t="s">
        <v>11</v>
      </c>
      <c r="I5" s="1">
        <f>0.09*2.9 -0.1</f>
        <v>0.161</v>
      </c>
      <c r="J5" s="1"/>
      <c r="K5" s="6"/>
      <c r="N5" s="5" t="s">
        <v>13</v>
      </c>
      <c r="O5" s="1">
        <v>1.6</v>
      </c>
      <c r="P5" s="1">
        <f>O5*56</f>
        <v>89.600000000000009</v>
      </c>
      <c r="Q5" s="6"/>
    </row>
    <row r="6" spans="2:17" x14ac:dyDescent="0.25">
      <c r="B6" s="5"/>
      <c r="C6" s="1">
        <f>C5/4000000000</f>
        <v>3.2499999999999991E-11</v>
      </c>
      <c r="D6" s="1" t="s">
        <v>5</v>
      </c>
      <c r="H6" s="5"/>
      <c r="I6" s="1">
        <f>I5/4000000000</f>
        <v>4.0250000000000003E-11</v>
      </c>
      <c r="J6" s="1" t="s">
        <v>5</v>
      </c>
      <c r="K6" s="6"/>
      <c r="N6" s="5"/>
      <c r="O6" s="1">
        <f>O5/4000000000</f>
        <v>4.0000000000000001E-10</v>
      </c>
      <c r="P6" s="1" t="s">
        <v>5</v>
      </c>
      <c r="Q6" s="6"/>
    </row>
    <row r="7" spans="2:17" ht="15.75" thickBot="1" x14ac:dyDescent="0.3"/>
    <row r="8" spans="2:17" ht="15.75" thickBot="1" x14ac:dyDescent="0.3">
      <c r="B8" s="5" t="s">
        <v>7</v>
      </c>
      <c r="C8" s="12">
        <f>0.1*2.9 -0.19</f>
        <v>9.9999999999999978E-2</v>
      </c>
      <c r="D8" s="1"/>
      <c r="H8" s="5" t="s">
        <v>11</v>
      </c>
      <c r="I8" s="1">
        <f>0.09*2.9 -0.158</f>
        <v>0.10300000000000001</v>
      </c>
      <c r="J8" s="1"/>
      <c r="K8" s="6"/>
      <c r="N8" s="5" t="s">
        <v>13</v>
      </c>
      <c r="O8" s="1">
        <v>1.6</v>
      </c>
      <c r="P8" s="1">
        <f>O8*56</f>
        <v>89.600000000000009</v>
      </c>
      <c r="Q8" s="6"/>
    </row>
    <row r="9" spans="2:17" x14ac:dyDescent="0.25">
      <c r="B9" s="5"/>
      <c r="C9" s="1">
        <f>C8/4000000000</f>
        <v>2.4999999999999994E-11</v>
      </c>
      <c r="D9" s="1" t="s">
        <v>5</v>
      </c>
      <c r="H9" s="5"/>
      <c r="I9" s="1">
        <f>I8/4000000000</f>
        <v>2.5750000000000002E-11</v>
      </c>
      <c r="J9" s="1" t="s">
        <v>5</v>
      </c>
      <c r="K9" s="6"/>
      <c r="N9" s="5"/>
      <c r="O9" s="1">
        <f>O8/4000000000</f>
        <v>4.0000000000000001E-10</v>
      </c>
      <c r="P9" s="1" t="s">
        <v>5</v>
      </c>
      <c r="Q9" s="6"/>
    </row>
    <row r="10" spans="2:17" ht="15.75" thickBot="1" x14ac:dyDescent="0.3"/>
    <row r="11" spans="2:17" ht="15.75" thickBot="1" x14ac:dyDescent="0.3">
      <c r="B11" s="5" t="s">
        <v>7</v>
      </c>
      <c r="C11" s="12">
        <f>0.1*2.9 -0.15</f>
        <v>0.13999999999999999</v>
      </c>
      <c r="D11" s="1"/>
      <c r="H11" s="5" t="s">
        <v>11</v>
      </c>
      <c r="I11" s="1">
        <f>0.09*2.9 -0.12</f>
        <v>0.14100000000000001</v>
      </c>
      <c r="J11" s="1"/>
      <c r="K11" s="6"/>
      <c r="N11" s="5" t="s">
        <v>13</v>
      </c>
      <c r="O11" s="1">
        <v>2</v>
      </c>
      <c r="P11" s="1">
        <f>O11*56</f>
        <v>112</v>
      </c>
      <c r="Q11" s="6"/>
    </row>
    <row r="12" spans="2:17" x14ac:dyDescent="0.25">
      <c r="B12" s="5"/>
      <c r="C12" s="1">
        <f>C11/4000000000</f>
        <v>3.4999999999999995E-11</v>
      </c>
      <c r="D12" s="1" t="s">
        <v>5</v>
      </c>
      <c r="H12" s="5"/>
      <c r="I12" s="1">
        <f>I11/4000000000</f>
        <v>3.5250000000000001E-11</v>
      </c>
      <c r="J12" s="1" t="s">
        <v>5</v>
      </c>
      <c r="K12" s="6"/>
      <c r="N12" s="5"/>
      <c r="O12" s="1">
        <f>O11/4000000000</f>
        <v>5.0000000000000003E-10</v>
      </c>
      <c r="P12" s="1" t="s">
        <v>5</v>
      </c>
      <c r="Q12" s="6"/>
    </row>
    <row r="13" spans="2:17" ht="15.75" thickBot="1" x14ac:dyDescent="0.3"/>
    <row r="14" spans="2:17" ht="15.75" thickBot="1" x14ac:dyDescent="0.3">
      <c r="B14" s="5" t="s">
        <v>7</v>
      </c>
      <c r="C14" s="12">
        <f>0.1*2.9 -0.13</f>
        <v>0.15999999999999998</v>
      </c>
      <c r="D14" s="1"/>
      <c r="H14" s="5" t="s">
        <v>11</v>
      </c>
      <c r="I14" s="1">
        <f>0.09*2.9 -0.11</f>
        <v>0.15100000000000002</v>
      </c>
      <c r="J14" s="1"/>
      <c r="K14" s="6"/>
      <c r="N14" s="5" t="s">
        <v>13</v>
      </c>
      <c r="O14" s="1">
        <v>1.5</v>
      </c>
      <c r="P14" s="1">
        <f>O14*56</f>
        <v>84</v>
      </c>
      <c r="Q14" s="6"/>
    </row>
    <row r="15" spans="2:17" x14ac:dyDescent="0.25">
      <c r="B15" s="5"/>
      <c r="C15" s="1">
        <f>C14/4000000000</f>
        <v>3.9999999999999991E-11</v>
      </c>
      <c r="D15" s="1" t="s">
        <v>5</v>
      </c>
      <c r="H15" s="5"/>
      <c r="I15" s="1">
        <f>I14/4000000000</f>
        <v>3.7750000000000005E-11</v>
      </c>
      <c r="J15" s="1" t="s">
        <v>5</v>
      </c>
      <c r="K15" s="6"/>
      <c r="N15" s="5"/>
      <c r="O15" s="1">
        <f>O14/4000000000</f>
        <v>3.75E-10</v>
      </c>
      <c r="P15" s="1" t="s">
        <v>5</v>
      </c>
      <c r="Q15" s="6"/>
    </row>
    <row r="17" spans="2:18" ht="15.75" thickBot="1" x14ac:dyDescent="0.3"/>
    <row r="18" spans="2:18" ht="15.75" thickBot="1" x14ac:dyDescent="0.3">
      <c r="B18" s="18" t="s">
        <v>25</v>
      </c>
      <c r="C18" s="19">
        <f>(C6+C9+C12+C15)/4</f>
        <v>3.3124999999999989E-11</v>
      </c>
      <c r="D18" s="19"/>
      <c r="E18" s="19"/>
      <c r="F18" s="19"/>
      <c r="G18" s="19"/>
      <c r="H18" s="19"/>
      <c r="I18" s="19">
        <f>(I6+I9+I12+I15)/4</f>
        <v>3.4750000000000003E-11</v>
      </c>
      <c r="J18" s="19"/>
      <c r="K18" s="19"/>
      <c r="L18" s="19"/>
      <c r="M18" s="19"/>
      <c r="N18" s="19"/>
      <c r="O18" s="19">
        <f>(O6+O9+O12+O15)/4</f>
        <v>4.1875000000000003E-10</v>
      </c>
      <c r="P18" s="19"/>
      <c r="Q18" s="19"/>
      <c r="R18" s="20"/>
    </row>
    <row r="20" spans="2:18" x14ac:dyDescent="0.25">
      <c r="C20">
        <f>(C6-C18)^2</f>
        <v>3.9062499999999731E-25</v>
      </c>
      <c r="I20">
        <f>(I6-I18)^2</f>
        <v>3.0250000000000004E-23</v>
      </c>
      <c r="O20">
        <f>(O6-O18)^2</f>
        <v>3.5156250000000048E-22</v>
      </c>
    </row>
    <row r="21" spans="2:18" x14ac:dyDescent="0.25">
      <c r="C21">
        <f>(C9-C18)^2</f>
        <v>6.6015624999999911E-23</v>
      </c>
      <c r="I21">
        <f>(I9-I18)^2</f>
        <v>8.1000000000000025E-23</v>
      </c>
      <c r="O21">
        <f>(O9-O18)^2</f>
        <v>3.5156250000000048E-22</v>
      </c>
    </row>
    <row r="22" spans="2:18" x14ac:dyDescent="0.25">
      <c r="C22">
        <f>(C12-C18)^2</f>
        <v>3.5156250000000241E-24</v>
      </c>
      <c r="I22">
        <f>(I12-I18)^2</f>
        <v>2.4999999999999828E-25</v>
      </c>
      <c r="O22">
        <f>(O12-O18)^2</f>
        <v>6.601562500000001E-21</v>
      </c>
    </row>
    <row r="23" spans="2:18" x14ac:dyDescent="0.25">
      <c r="C23">
        <f>(C15-C18)^2</f>
        <v>4.7265625000000029E-23</v>
      </c>
      <c r="I23">
        <f>(I15-I18)^2</f>
        <v>9.0000000000000157E-24</v>
      </c>
      <c r="O23">
        <f>(O15-O18)^2</f>
        <v>1.9140625000000026E-21</v>
      </c>
    </row>
    <row r="25" spans="2:18" x14ac:dyDescent="0.25">
      <c r="B25" t="s">
        <v>26</v>
      </c>
      <c r="C25">
        <f>SUM(C20:C23)</f>
        <v>1.1718749999999996E-22</v>
      </c>
      <c r="I25">
        <f>SUM(I20:I23)</f>
        <v>1.2050000000000003E-22</v>
      </c>
      <c r="O25">
        <f>SUM(O20:O23)</f>
        <v>9.2187500000000051E-21</v>
      </c>
    </row>
    <row r="26" spans="2:18" x14ac:dyDescent="0.25">
      <c r="C26">
        <f>C25/4</f>
        <v>2.9296874999999991E-23</v>
      </c>
      <c r="I26">
        <f>I25/4</f>
        <v>3.0125000000000008E-23</v>
      </c>
      <c r="O26">
        <f>O25/4</f>
        <v>2.3046875000000013E-21</v>
      </c>
    </row>
    <row r="28" spans="2:18" x14ac:dyDescent="0.25">
      <c r="C28">
        <f>SQRT(C26)</f>
        <v>5.4126587736527407E-12</v>
      </c>
      <c r="I28">
        <f>SQRT(I26)</f>
        <v>5.4886246000250379E-12</v>
      </c>
      <c r="O28">
        <f>SQRT(O26)</f>
        <v>4.8007160924178816E-11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2020-03-16T21:04:29Z</dcterms:modified>
</cp:coreProperties>
</file>