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1F016A7F-2101-4D82-A4FD-9352759CCD62}" xr6:coauthVersionLast="45" xr6:coauthVersionMax="45" xr10:uidLastSave="{00000000-0000-0000-0000-000000000000}"/>
  <bookViews>
    <workbookView xWindow="-120" yWindow="-120" windowWidth="20730" windowHeight="11160" tabRatio="611" xr2:uid="{00000000-000D-0000-FFFF-FFFF00000000}"/>
  </bookViews>
  <sheets>
    <sheet name="Ene" sheetId="6" r:id="rId1"/>
    <sheet name="Feb" sheetId="9" r:id="rId2"/>
    <sheet name="Mar" sheetId="10" r:id="rId3"/>
    <sheet name="Abr" sheetId="11" r:id="rId4"/>
    <sheet name="May" sheetId="12" r:id="rId5"/>
    <sheet name="Jun" sheetId="13" r:id="rId6"/>
    <sheet name="Jul" sheetId="14" r:id="rId7"/>
    <sheet name="Ago" sheetId="15" r:id="rId8"/>
    <sheet name="Sep" sheetId="16" r:id="rId9"/>
    <sheet name="Oct" sheetId="17" r:id="rId10"/>
    <sheet name="Nov" sheetId="18" r:id="rId11"/>
    <sheet name="Dic" sheetId="19" r:id="rId12"/>
  </sheets>
  <definedNames>
    <definedName name="AbrDom1">DATE(AñoCalendario,4,1)-WEEKDAY(DATE(AñoCalendario,4,1))+1</definedName>
    <definedName name="AgoDom1">DATE(AñoCalendario,8,1)-WEEKDAY(DATE(AñoCalendario,8,1))+1</definedName>
    <definedName name="AñoCalendario">Ene!$K$2</definedName>
    <definedName name="_xlnm.Print_Area" localSheetId="3">Abr!$B$2:$J$16</definedName>
    <definedName name="_xlnm.Print_Area" localSheetId="7">Ago!$B$2:$J$16</definedName>
    <definedName name="_xlnm.Print_Area" localSheetId="11">Dic!$B$2:$J$16</definedName>
    <definedName name="_xlnm.Print_Area" localSheetId="0">Ene!$B$2:$J$16</definedName>
    <definedName name="_xlnm.Print_Area" localSheetId="1">Feb!$B$2:$J$16</definedName>
    <definedName name="_xlnm.Print_Area" localSheetId="6">Jul!$B$2:$J$16</definedName>
    <definedName name="_xlnm.Print_Area" localSheetId="5">Jun!$B$2:$J$16</definedName>
    <definedName name="_xlnm.Print_Area" localSheetId="2">Mar!$B$2:$J$16</definedName>
    <definedName name="_xlnm.Print_Area" localSheetId="4">May!$B$2:$J$16</definedName>
    <definedName name="_xlnm.Print_Area" localSheetId="10">Nov!$B$2:$J$16</definedName>
    <definedName name="_xlnm.Print_Area" localSheetId="9">Oct!$B$2:$J$16</definedName>
    <definedName name="_xlnm.Print_Area" localSheetId="8">Sep!$B$2:$J$16</definedName>
    <definedName name="DecSun1">DATE(AñoCalendario,12,1)-WEEKDAY(DATE(AñoCalendario,12,1))+1</definedName>
    <definedName name="FebSun1">DATE(AñoCalendario,2,1)-WEEKDAY(DATE(AñoCalendario,2,1))+1</definedName>
    <definedName name="JanSun1">DATE(AñoCalendario,1,1)-WEEKDAY(DATE(AñoCalendario,1,1))+1</definedName>
    <definedName name="JulSun1">DATE(AñoCalendario,7,1)-WEEKDAY(DATE(AñoCalendario,7,1))+1</definedName>
    <definedName name="JunSun1">DATE(AñoCalendario,6,1)-WEEKDAY(DATE(AñoCalendario,6,1))+1</definedName>
    <definedName name="MarSun1">DATE(AñoCalendario,3,1)-WEEKDAY(DATE(AñoCalendario,3,1))+1</definedName>
    <definedName name="MaySun1">DATE(AñoCalendario,5,1)-WEEKDAY(DATE(AñoCalendario,5,1))+1</definedName>
    <definedName name="NovSun1">DATE(AñoCalendario,11,1)-WEEKDAY(DATE(AñoCalendario,11,1))+1</definedName>
    <definedName name="OctSun1">DATE(AñoCalendario,10,1)-WEEKDAY(DATE(AñoCalendario,10,1))+1</definedName>
    <definedName name="SepDom1">DATE(AñoCalendario,9,1)-WEEKDAY(DATE(AñoCalendario,9,1))+1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" i="6" l="1"/>
  <c r="B3" i="6" l="1"/>
  <c r="B3" i="10"/>
  <c r="B3" i="14"/>
  <c r="B3" i="18"/>
  <c r="B3" i="16"/>
  <c r="B3" i="13"/>
  <c r="B3" i="17"/>
  <c r="B3" i="11"/>
  <c r="B3" i="15"/>
  <c r="B3" i="19"/>
  <c r="B3" i="12"/>
  <c r="B3" i="9"/>
  <c r="B7" i="11"/>
  <c r="G9" i="11"/>
  <c r="B15" i="11"/>
  <c r="E5" i="11"/>
  <c r="D11" i="11"/>
  <c r="F7" i="11"/>
  <c r="H11" i="11"/>
  <c r="C9" i="11"/>
  <c r="E13" i="11"/>
  <c r="C5" i="11"/>
  <c r="G5" i="11"/>
  <c r="D7" i="11"/>
  <c r="H7" i="11"/>
  <c r="E9" i="11"/>
  <c r="B11" i="11"/>
  <c r="F11" i="11"/>
  <c r="C13" i="11"/>
  <c r="G13" i="11"/>
  <c r="D5" i="11"/>
  <c r="H5" i="11"/>
  <c r="E7" i="11"/>
  <c r="B9" i="11"/>
  <c r="F9" i="11"/>
  <c r="C11" i="11"/>
  <c r="G11" i="11"/>
  <c r="D13" i="11"/>
  <c r="H13" i="11"/>
  <c r="B5" i="11"/>
  <c r="F5" i="11"/>
  <c r="C7" i="11"/>
  <c r="G7" i="11"/>
  <c r="D9" i="11"/>
  <c r="H9" i="11"/>
  <c r="E11" i="11"/>
  <c r="B13" i="11"/>
  <c r="F13" i="11"/>
  <c r="C15" i="11"/>
  <c r="H13" i="16"/>
  <c r="D13" i="16"/>
  <c r="G11" i="16"/>
  <c r="C11" i="16"/>
  <c r="F9" i="16"/>
  <c r="B9" i="16"/>
  <c r="E7" i="16"/>
  <c r="D5" i="16"/>
  <c r="G13" i="16"/>
  <c r="C13" i="16"/>
  <c r="F11" i="16"/>
  <c r="B11" i="16"/>
  <c r="E9" i="16"/>
  <c r="H7" i="16"/>
  <c r="D7" i="16"/>
  <c r="G5" i="16"/>
  <c r="C5" i="16"/>
  <c r="C15" i="16"/>
  <c r="F13" i="16"/>
  <c r="B13" i="16"/>
  <c r="E11" i="16"/>
  <c r="H9" i="16"/>
  <c r="D9" i="16"/>
  <c r="G7" i="16"/>
  <c r="C7" i="16"/>
  <c r="F5" i="16"/>
  <c r="B5" i="16"/>
  <c r="B15" i="16"/>
  <c r="E13" i="16"/>
  <c r="H11" i="16"/>
  <c r="D11" i="16"/>
  <c r="G9" i="16"/>
  <c r="C9" i="16"/>
  <c r="F7" i="16"/>
  <c r="B7" i="16"/>
  <c r="E5" i="16"/>
  <c r="H5" i="16"/>
  <c r="C15" i="15"/>
  <c r="F13" i="15"/>
  <c r="B13" i="15"/>
  <c r="E11" i="15"/>
  <c r="H9" i="15"/>
  <c r="D9" i="15"/>
  <c r="G7" i="15"/>
  <c r="C7" i="15"/>
  <c r="F5" i="15"/>
  <c r="B5" i="15"/>
  <c r="H13" i="15"/>
  <c r="C11" i="15"/>
  <c r="B9" i="15"/>
  <c r="H5" i="15"/>
  <c r="G13" i="15"/>
  <c r="F11" i="15"/>
  <c r="B11" i="15"/>
  <c r="H7" i="15"/>
  <c r="G5" i="15"/>
  <c r="B15" i="15"/>
  <c r="E13" i="15"/>
  <c r="H11" i="15"/>
  <c r="D11" i="15"/>
  <c r="G9" i="15"/>
  <c r="C9" i="15"/>
  <c r="F7" i="15"/>
  <c r="B7" i="15"/>
  <c r="E5" i="15"/>
  <c r="D13" i="15"/>
  <c r="G11" i="15"/>
  <c r="F9" i="15"/>
  <c r="E7" i="15"/>
  <c r="D5" i="15"/>
  <c r="C13" i="15"/>
  <c r="E9" i="15"/>
  <c r="D7" i="15"/>
  <c r="C5" i="15"/>
  <c r="C15" i="9"/>
  <c r="F13" i="9"/>
  <c r="B13" i="9"/>
  <c r="E11" i="9"/>
  <c r="H9" i="9"/>
  <c r="D9" i="9"/>
  <c r="G7" i="9"/>
  <c r="C7" i="9"/>
  <c r="F5" i="9"/>
  <c r="B5" i="9"/>
  <c r="H13" i="10"/>
  <c r="D13" i="10"/>
  <c r="G11" i="10"/>
  <c r="C11" i="10"/>
  <c r="F9" i="10"/>
  <c r="B9" i="10"/>
  <c r="E7" i="10"/>
  <c r="H5" i="10"/>
  <c r="D5" i="10"/>
  <c r="H13" i="12"/>
  <c r="D13" i="12"/>
  <c r="G11" i="12"/>
  <c r="C11" i="12"/>
  <c r="F9" i="12"/>
  <c r="B9" i="12"/>
  <c r="E7" i="12"/>
  <c r="H5" i="12"/>
  <c r="D5" i="12"/>
  <c r="C15" i="13"/>
  <c r="F13" i="13"/>
  <c r="B13" i="13"/>
  <c r="E11" i="13"/>
  <c r="H9" i="13"/>
  <c r="D9" i="13"/>
  <c r="G7" i="13"/>
  <c r="C7" i="13"/>
  <c r="F5" i="13"/>
  <c r="B5" i="13"/>
  <c r="H13" i="14"/>
  <c r="D13" i="14"/>
  <c r="G11" i="14"/>
  <c r="C11" i="14"/>
  <c r="F9" i="14"/>
  <c r="B9" i="14"/>
  <c r="E7" i="14"/>
  <c r="H5" i="14"/>
  <c r="D5" i="14"/>
  <c r="C15" i="17"/>
  <c r="F13" i="17"/>
  <c r="B13" i="17"/>
  <c r="E11" i="17"/>
  <c r="H9" i="17"/>
  <c r="D9" i="17"/>
  <c r="G7" i="17"/>
  <c r="C7" i="17"/>
  <c r="F5" i="17"/>
  <c r="B5" i="17"/>
  <c r="H13" i="18"/>
  <c r="D13" i="18"/>
  <c r="G11" i="18"/>
  <c r="C11" i="18"/>
  <c r="F9" i="18"/>
  <c r="B9" i="18"/>
  <c r="E7" i="18"/>
  <c r="H5" i="18"/>
  <c r="D5" i="18"/>
  <c r="C15" i="19"/>
  <c r="F13" i="19"/>
  <c r="B13" i="19"/>
  <c r="E11" i="19"/>
  <c r="H9" i="19"/>
  <c r="D9" i="19"/>
  <c r="G7" i="19"/>
  <c r="C7" i="19"/>
  <c r="F5" i="19"/>
  <c r="B5" i="19"/>
  <c r="H13" i="6"/>
  <c r="D13" i="6"/>
  <c r="G11" i="6"/>
  <c r="C11" i="6"/>
  <c r="F9" i="6"/>
  <c r="B9" i="6"/>
  <c r="E7" i="6"/>
  <c r="H5" i="6"/>
  <c r="D5" i="6"/>
  <c r="B15" i="9"/>
  <c r="E13" i="9"/>
  <c r="H11" i="9"/>
  <c r="D11" i="9"/>
  <c r="G9" i="9"/>
  <c r="C9" i="9"/>
  <c r="F7" i="9"/>
  <c r="B7" i="9"/>
  <c r="E5" i="9"/>
  <c r="G13" i="10"/>
  <c r="C13" i="10"/>
  <c r="F11" i="10"/>
  <c r="B11" i="10"/>
  <c r="E9" i="10"/>
  <c r="H7" i="10"/>
  <c r="D7" i="10"/>
  <c r="G5" i="10"/>
  <c r="C5" i="10"/>
  <c r="G13" i="12"/>
  <c r="C13" i="12"/>
  <c r="F11" i="12"/>
  <c r="B11" i="12"/>
  <c r="E9" i="12"/>
  <c r="H7" i="12"/>
  <c r="D7" i="12"/>
  <c r="G5" i="12"/>
  <c r="C5" i="12"/>
  <c r="B15" i="13"/>
  <c r="E13" i="13"/>
  <c r="H11" i="13"/>
  <c r="D11" i="13"/>
  <c r="G9" i="13"/>
  <c r="C9" i="13"/>
  <c r="F7" i="13"/>
  <c r="B7" i="13"/>
  <c r="E5" i="13"/>
  <c r="G13" i="14"/>
  <c r="C13" i="14"/>
  <c r="F11" i="14"/>
  <c r="B11" i="14"/>
  <c r="E9" i="14"/>
  <c r="H7" i="14"/>
  <c r="D7" i="14"/>
  <c r="G5" i="14"/>
  <c r="C5" i="14"/>
  <c r="B15" i="17"/>
  <c r="E13" i="17"/>
  <c r="H11" i="17"/>
  <c r="D11" i="17"/>
  <c r="G9" i="17"/>
  <c r="C9" i="17"/>
  <c r="F7" i="17"/>
  <c r="B7" i="17"/>
  <c r="E5" i="17"/>
  <c r="G13" i="18"/>
  <c r="C13" i="18"/>
  <c r="F11" i="18"/>
  <c r="B11" i="18"/>
  <c r="E9" i="18"/>
  <c r="H7" i="18"/>
  <c r="D7" i="18"/>
  <c r="G5" i="18"/>
  <c r="C5" i="18"/>
  <c r="B15" i="19"/>
  <c r="E13" i="19"/>
  <c r="H11" i="19"/>
  <c r="D11" i="19"/>
  <c r="G9" i="19"/>
  <c r="C9" i="19"/>
  <c r="F7" i="19"/>
  <c r="B7" i="19"/>
  <c r="E5" i="19"/>
  <c r="G13" i="6"/>
  <c r="F11" i="6"/>
  <c r="H13" i="9"/>
  <c r="D13" i="9"/>
  <c r="G11" i="9"/>
  <c r="C11" i="9"/>
  <c r="F9" i="9"/>
  <c r="B9" i="9"/>
  <c r="E7" i="9"/>
  <c r="H5" i="9"/>
  <c r="D5" i="9"/>
  <c r="C15" i="10"/>
  <c r="F13" i="10"/>
  <c r="B13" i="10"/>
  <c r="E11" i="10"/>
  <c r="H9" i="10"/>
  <c r="D9" i="10"/>
  <c r="G7" i="10"/>
  <c r="C7" i="10"/>
  <c r="F5" i="10"/>
  <c r="B5" i="10"/>
  <c r="C15" i="12"/>
  <c r="F13" i="12"/>
  <c r="B13" i="12"/>
  <c r="E11" i="12"/>
  <c r="H9" i="12"/>
  <c r="D9" i="12"/>
  <c r="G7" i="12"/>
  <c r="C7" i="12"/>
  <c r="F5" i="12"/>
  <c r="B5" i="12"/>
  <c r="H13" i="13"/>
  <c r="D13" i="13"/>
  <c r="G11" i="13"/>
  <c r="C11" i="13"/>
  <c r="F9" i="13"/>
  <c r="B9" i="13"/>
  <c r="E7" i="13"/>
  <c r="H5" i="13"/>
  <c r="D5" i="13"/>
  <c r="C15" i="14"/>
  <c r="F13" i="14"/>
  <c r="B13" i="14"/>
  <c r="E11" i="14"/>
  <c r="H9" i="14"/>
  <c r="D9" i="14"/>
  <c r="G7" i="14"/>
  <c r="C7" i="14"/>
  <c r="F5" i="14"/>
  <c r="B5" i="14"/>
  <c r="H13" i="17"/>
  <c r="D13" i="17"/>
  <c r="G11" i="17"/>
  <c r="C11" i="17"/>
  <c r="F9" i="17"/>
  <c r="B9" i="17"/>
  <c r="E7" i="17"/>
  <c r="H5" i="17"/>
  <c r="D5" i="17"/>
  <c r="C15" i="18"/>
  <c r="F13" i="18"/>
  <c r="B13" i="18"/>
  <c r="E11" i="18"/>
  <c r="H9" i="18"/>
  <c r="D9" i="18"/>
  <c r="G7" i="18"/>
  <c r="C7" i="18"/>
  <c r="F5" i="18"/>
  <c r="B5" i="18"/>
  <c r="H13" i="19"/>
  <c r="D13" i="19"/>
  <c r="G11" i="19"/>
  <c r="C11" i="19"/>
  <c r="G13" i="9"/>
  <c r="C13" i="9"/>
  <c r="F11" i="9"/>
  <c r="B11" i="9"/>
  <c r="E9" i="9"/>
  <c r="H7" i="9"/>
  <c r="D7" i="9"/>
  <c r="G5" i="9"/>
  <c r="C5" i="9"/>
  <c r="B15" i="10"/>
  <c r="E13" i="10"/>
  <c r="H11" i="10"/>
  <c r="D11" i="10"/>
  <c r="G9" i="10"/>
  <c r="C9" i="10"/>
  <c r="F7" i="10"/>
  <c r="B7" i="10"/>
  <c r="E5" i="10"/>
  <c r="B15" i="12"/>
  <c r="E13" i="12"/>
  <c r="H11" i="12"/>
  <c r="D11" i="12"/>
  <c r="G9" i="12"/>
  <c r="C9" i="12"/>
  <c r="F7" i="12"/>
  <c r="B7" i="12"/>
  <c r="E5" i="12"/>
  <c r="G13" i="13"/>
  <c r="C13" i="13"/>
  <c r="F11" i="13"/>
  <c r="B11" i="13"/>
  <c r="E9" i="13"/>
  <c r="H7" i="13"/>
  <c r="D7" i="13"/>
  <c r="G5" i="13"/>
  <c r="C5" i="13"/>
  <c r="B15" i="14"/>
  <c r="E13" i="14"/>
  <c r="H11" i="14"/>
  <c r="D11" i="14"/>
  <c r="G9" i="14"/>
  <c r="C9" i="14"/>
  <c r="F7" i="14"/>
  <c r="B7" i="14"/>
  <c r="E5" i="14"/>
  <c r="G13" i="17"/>
  <c r="C13" i="17"/>
  <c r="F11" i="17"/>
  <c r="B11" i="17"/>
  <c r="E9" i="17"/>
  <c r="H7" i="17"/>
  <c r="D7" i="17"/>
  <c r="G5" i="17"/>
  <c r="C5" i="17"/>
  <c r="B15" i="18"/>
  <c r="E13" i="18"/>
  <c r="H11" i="18"/>
  <c r="D11" i="18"/>
  <c r="G9" i="18"/>
  <c r="C9" i="18"/>
  <c r="F7" i="18"/>
  <c r="B7" i="18"/>
  <c r="E5" i="18"/>
  <c r="G13" i="19"/>
  <c r="C13" i="19"/>
  <c r="B11" i="19"/>
  <c r="H7" i="19"/>
  <c r="G5" i="19"/>
  <c r="B15" i="6"/>
  <c r="B13" i="6"/>
  <c r="B11" i="6"/>
  <c r="D9" i="6"/>
  <c r="F7" i="6"/>
  <c r="G5" i="6"/>
  <c r="B5" i="6"/>
  <c r="F9" i="19"/>
  <c r="D5" i="19"/>
  <c r="F13" i="6"/>
  <c r="H11" i="6"/>
  <c r="H9" i="6"/>
  <c r="C9" i="6"/>
  <c r="D7" i="6"/>
  <c r="F5" i="6"/>
  <c r="E9" i="19"/>
  <c r="C5" i="19"/>
  <c r="E11" i="6"/>
  <c r="H7" i="6"/>
  <c r="C7" i="6"/>
  <c r="B9" i="19"/>
  <c r="C13" i="6"/>
  <c r="E9" i="6"/>
  <c r="C5" i="6"/>
  <c r="E7" i="19"/>
  <c r="D7" i="19"/>
  <c r="E13" i="6"/>
  <c r="G9" i="6"/>
  <c r="E5" i="6"/>
  <c r="H5" i="19"/>
  <c r="D11" i="6"/>
  <c r="G7" i="6"/>
  <c r="F11" i="19"/>
  <c r="C15" i="6"/>
  <c r="B7" i="6"/>
</calcChain>
</file>

<file path=xl/sharedStrings.xml><?xml version="1.0" encoding="utf-8"?>
<sst xmlns="http://schemas.openxmlformats.org/spreadsheetml/2006/main" count="97" uniqueCount="9">
  <si>
    <t>LUNES</t>
  </si>
  <si>
    <t>MARTES</t>
  </si>
  <si>
    <t>MIÉRCOLES</t>
  </si>
  <si>
    <t>NOTAS:</t>
  </si>
  <si>
    <t>JUEVES</t>
  </si>
  <si>
    <t>VIERNES</t>
  </si>
  <si>
    <t>SÁBADO</t>
  </si>
  <si>
    <t>DOMINGO</t>
  </si>
  <si>
    <t>SELECCIONE EL AÑO: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</si>
</sst>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"/>
    <numFmt numFmtId="165" formatCode="mmmm"/>
    <numFmt numFmtId="166" formatCode="&quot;mmmm&quot;&quot; de &quot;&quot;aaaa&quot;"/>
  </numFmts>
  <fonts count="16" x14ac:knownFonts="1">
    <font>
      <sz val="12"/>
      <color theme="1"/>
      <name val="Cambria"/>
      <family val="2"/>
      <scheme val="minor"/>
    </font>
    <font>
      <b/>
      <sz val="11"/>
      <color theme="0"/>
      <name val="Cambria"/>
      <family val="2"/>
      <scheme val="minor"/>
    </font>
    <font>
      <sz val="11"/>
      <name val="Cambria"/>
      <family val="2"/>
      <scheme val="minor"/>
    </font>
    <font>
      <sz val="10"/>
      <color indexed="63"/>
      <name val="Cambria"/>
      <family val="4"/>
      <scheme val="minor"/>
    </font>
    <font>
      <sz val="10"/>
      <name val="Century Gothic"/>
      <family val="2"/>
    </font>
    <font>
      <b/>
      <sz val="28"/>
      <color theme="1" tint="0.34998626667073579"/>
      <name val="Cambria"/>
      <family val="2"/>
      <scheme val="minor"/>
    </font>
    <font>
      <sz val="28"/>
      <color theme="8" tint="-0.499984740745262"/>
      <name val="Cambria"/>
      <family val="2"/>
      <scheme val="minor"/>
    </font>
    <font>
      <sz val="11"/>
      <color theme="0" tint="-0.499984740745262"/>
      <name val="Cambria"/>
      <family val="2"/>
      <scheme val="minor"/>
    </font>
    <font>
      <u/>
      <sz val="12"/>
      <color theme="10"/>
      <name val="Cambria"/>
      <family val="2"/>
      <scheme val="minor"/>
    </font>
    <font>
      <b/>
      <sz val="11"/>
      <color theme="8"/>
      <name val="Cambria"/>
      <family val="2"/>
      <scheme val="minor"/>
    </font>
    <font>
      <sz val="40"/>
      <color theme="8"/>
      <name val="Cambria"/>
      <family val="2"/>
      <scheme val="minor"/>
    </font>
    <font>
      <b/>
      <sz val="9"/>
      <color theme="8"/>
      <name val="Cambria"/>
      <family val="2"/>
      <scheme val="minor"/>
    </font>
    <font>
      <sz val="10"/>
      <color theme="9"/>
      <name val="Cambria"/>
      <family val="2"/>
      <scheme val="minor"/>
    </font>
    <font>
      <sz val="11"/>
      <color theme="8"/>
      <name val="Cambria"/>
      <family val="1"/>
      <scheme val="minor"/>
    </font>
    <font>
      <sz val="11"/>
      <color theme="8"/>
      <name val="Cambria"/>
      <family val="2"/>
      <scheme val="minor"/>
    </font>
    <font>
      <sz val="24"/>
      <color theme="8"/>
      <name val="Cambri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7"/>
      </right>
      <top style="thin">
        <color theme="8"/>
      </top>
      <bottom/>
      <diagonal/>
    </border>
    <border>
      <left style="thin">
        <color theme="7"/>
      </left>
      <right style="thin">
        <color theme="7"/>
      </right>
      <top style="thin">
        <color theme="8"/>
      </top>
      <bottom/>
      <diagonal/>
    </border>
    <border>
      <left style="thin">
        <color theme="7"/>
      </left>
      <right style="thin">
        <color theme="8"/>
      </right>
      <top style="thin">
        <color theme="8"/>
      </top>
      <bottom/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thin">
        <color theme="8"/>
      </bottom>
      <diagonal/>
    </border>
  </borders>
  <cellStyleXfs count="6">
    <xf numFmtId="0" fontId="0" fillId="0" borderId="0"/>
    <xf numFmtId="0" fontId="2" fillId="0" borderId="0"/>
    <xf numFmtId="0" fontId="1" fillId="2" borderId="1" applyNumberFormat="0" applyAlignment="0" applyProtection="0"/>
    <xf numFmtId="0" fontId="3" fillId="3" borderId="0" applyNumberFormat="0" applyBorder="0" applyAlignment="0" applyProtection="0"/>
    <xf numFmtId="0" fontId="5" fillId="0" borderId="0" applyNumberFormat="0" applyFill="0" applyAlignment="0" applyProtection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1"/>
    <xf numFmtId="0" fontId="4" fillId="0" borderId="0" xfId="1" applyFont="1"/>
    <xf numFmtId="165" fontId="6" fillId="0" borderId="0" xfId="0" applyNumberFormat="1" applyFont="1" applyFill="1" applyBorder="1" applyAlignment="1">
      <alignment vertical="center" textRotation="90"/>
    </xf>
    <xf numFmtId="0" fontId="8" fillId="0" borderId="0" xfId="5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165" fontId="0" fillId="0" borderId="0" xfId="0" applyNumberFormat="1"/>
    <xf numFmtId="0" fontId="12" fillId="4" borderId="10" xfId="1" applyFont="1" applyFill="1" applyBorder="1" applyAlignment="1">
      <alignment horizontal="center" vertical="top" wrapText="1"/>
    </xf>
    <xf numFmtId="0" fontId="12" fillId="4" borderId="10" xfId="3" applyFont="1" applyFill="1" applyBorder="1" applyAlignment="1">
      <alignment horizontal="center" vertical="top" wrapText="1"/>
    </xf>
    <xf numFmtId="0" fontId="12" fillId="0" borderId="10" xfId="1" applyFont="1" applyFill="1" applyBorder="1" applyAlignment="1">
      <alignment horizontal="center" vertical="top" wrapText="1"/>
    </xf>
    <xf numFmtId="0" fontId="12" fillId="0" borderId="10" xfId="3" applyFont="1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 vertical="center"/>
    </xf>
    <xf numFmtId="0" fontId="11" fillId="0" borderId="3" xfId="2" applyFont="1" applyFill="1" applyBorder="1" applyAlignment="1">
      <alignment horizontal="center" vertical="center"/>
    </xf>
    <xf numFmtId="0" fontId="11" fillId="0" borderId="4" xfId="2" applyFont="1" applyFill="1" applyBorder="1" applyAlignment="1">
      <alignment horizontal="center" vertical="center"/>
    </xf>
    <xf numFmtId="164" fontId="13" fillId="4" borderId="11" xfId="1" applyNumberFormat="1" applyFont="1" applyFill="1" applyBorder="1" applyAlignment="1">
      <alignment horizontal="left" vertical="top" wrapText="1"/>
    </xf>
    <xf numFmtId="164" fontId="13" fillId="0" borderId="11" xfId="1" applyNumberFormat="1" applyFont="1" applyFill="1" applyBorder="1" applyAlignment="1">
      <alignment horizontal="left" vertical="top" wrapText="1"/>
    </xf>
    <xf numFmtId="164" fontId="13" fillId="4" borderId="12" xfId="1" applyNumberFormat="1" applyFont="1" applyFill="1" applyBorder="1" applyAlignment="1">
      <alignment horizontal="left" vertical="top" wrapText="1"/>
    </xf>
    <xf numFmtId="164" fontId="13" fillId="0" borderId="12" xfId="1" applyNumberFormat="1" applyFont="1" applyFill="1" applyBorder="1" applyAlignment="1">
      <alignment horizontal="left" vertical="top" wrapText="1"/>
    </xf>
    <xf numFmtId="164" fontId="13" fillId="0" borderId="13" xfId="1" applyNumberFormat="1" applyFont="1" applyFill="1" applyBorder="1" applyAlignment="1">
      <alignment horizontal="left" vertical="top" wrapText="1"/>
    </xf>
    <xf numFmtId="0" fontId="2" fillId="5" borderId="0" xfId="1" applyFill="1"/>
    <xf numFmtId="0" fontId="14" fillId="0" borderId="0" xfId="1" applyFont="1" applyFill="1" applyAlignment="1">
      <alignment horizontal="right"/>
    </xf>
    <xf numFmtId="0" fontId="15" fillId="0" borderId="0" xfId="0" applyFont="1" applyFill="1" applyAlignment="1">
      <alignment horizontal="right" vertical="top"/>
    </xf>
    <xf numFmtId="0" fontId="0" fillId="0" borderId="0" xfId="0" applyFill="1"/>
    <xf numFmtId="0" fontId="9" fillId="0" borderId="14" xfId="2" applyFont="1" applyFill="1" applyBorder="1" applyAlignment="1">
      <alignment horizontal="left" vertical="top" wrapText="1"/>
    </xf>
    <xf numFmtId="0" fontId="9" fillId="0" borderId="8" xfId="2" applyFont="1" applyFill="1" applyBorder="1" applyAlignment="1">
      <alignment horizontal="left" vertical="top" wrapText="1"/>
    </xf>
    <xf numFmtId="0" fontId="9" fillId="0" borderId="9" xfId="2" applyFont="1" applyFill="1" applyBorder="1" applyAlignment="1">
      <alignment horizontal="left" vertical="top" wrapText="1"/>
    </xf>
    <xf numFmtId="164" fontId="11" fillId="0" borderId="5" xfId="2" applyNumberFormat="1" applyFont="1" applyFill="1" applyBorder="1" applyAlignment="1">
      <alignment horizontal="left" vertical="center" wrapText="1"/>
    </xf>
    <xf numFmtId="164" fontId="11" fillId="0" borderId="6" xfId="2" applyNumberFormat="1" applyFont="1" applyFill="1" applyBorder="1" applyAlignment="1">
      <alignment horizontal="left" vertical="center" wrapText="1"/>
    </xf>
    <xf numFmtId="164" fontId="11" fillId="0" borderId="7" xfId="2" applyNumberFormat="1" applyFont="1" applyFill="1" applyBorder="1" applyAlignment="1">
      <alignment horizontal="left" vertical="center" wrapText="1"/>
    </xf>
    <xf numFmtId="166" fontId="10" fillId="0" borderId="0" xfId="1" applyNumberFormat="1" applyFont="1" applyBorder="1" applyAlignment="1">
      <alignment horizontal="left" vertical="center"/>
    </xf>
  </cellXfs>
  <cellStyles count="6">
    <cellStyle name="40 % - Énfasis1 2" xfId="3" xr:uid="{00000000-0005-0000-0000-000000000000}"/>
    <cellStyle name="Encabezado 1 2" xfId="4" xr:uid="{00000000-0005-0000-0000-000001000000}"/>
    <cellStyle name="Énfasis1 2" xfId="2" xr:uid="{00000000-0005-0000-0000-000002000000}"/>
    <cellStyle name="Hipervínculo" xfId="5" builtinId="8"/>
    <cellStyle name="Normal" xfId="0" builtinId="0" customBuiltin="1"/>
    <cellStyle name="Normal 2" xfId="1" xr:uid="{00000000-0005-0000-0000-000005000000}"/>
  </cellStyles>
  <dxfs count="11"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top style="double">
          <color theme="6" tint="-0.24994659260841701"/>
        </top>
      </border>
    </dxf>
    <dxf>
      <font>
        <color theme="0"/>
      </font>
      <fill>
        <patternFill patternType="solid">
          <fgColor theme="4"/>
          <bgColor theme="7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/>
        </patternFill>
      </fill>
      <border>
        <left style="thin">
          <color theme="9" tint="0.59996337778862885"/>
        </left>
        <right style="thin">
          <color theme="9" tint="0.59996337778862885"/>
        </right>
        <top style="thin">
          <color theme="9" tint="0.59996337778862885"/>
        </top>
        <bottom style="thin">
          <color theme="9" tint="0.59996337778862885"/>
        </bottom>
        <vertical/>
        <horizontal style="dashDotDot">
          <color theme="9" tint="0.59996337778862885"/>
        </horizontal>
      </border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color theme="9" tint="-0.249977111117893"/>
      </font>
    </dxf>
    <dxf>
      <font>
        <b/>
        <color theme="9" tint="-0.249977111117893"/>
      </font>
    </dxf>
    <dxf>
      <font>
        <b/>
        <color theme="9" tint="-0.249977111117893"/>
      </font>
      <border>
        <top style="thin">
          <color theme="9"/>
        </top>
      </border>
    </dxf>
    <dxf>
      <font>
        <b/>
        <color theme="9" tint="-0.249977111117893"/>
      </font>
      <border>
        <bottom style="thin">
          <color theme="9"/>
        </bottom>
      </border>
    </dxf>
    <dxf>
      <font>
        <color theme="9" tint="-0.249977111117893"/>
      </font>
      <fill>
        <patternFill>
          <bgColor theme="0"/>
        </patternFill>
      </fill>
      <border>
        <top style="thin">
          <color theme="9"/>
        </top>
        <bottom style="thin">
          <color theme="9"/>
        </bottom>
      </border>
    </dxf>
  </dxfs>
  <tableStyles count="2" defaultTableStyle="TableStyleMedium2" defaultPivotStyle="PivotStyleLight16">
    <tableStyle name="EstiloClaroTabla7 2" pivot="0" count="7" xr9:uid="{00000000-0011-0000-FFFF-FFFF00000000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EstiloClaroTabla9 2" pivot="0" count="4" xr9:uid="{00000000-0011-0000-FFFF-FFFF01000000}">
      <tableStyleElement type="wholeTable" dxfId="3"/>
      <tableStyleElement type="headerRow" dxfId="2"/>
      <tableStyleElement type="totalRow" dxfId="1"/>
      <tableStyleElement type="firstColumn" dxfId="0"/>
    </tableStyle>
  </tableStyles>
  <colors>
    <mruColors>
      <color rgb="FFC17529"/>
      <color rgb="FFFDFDFD"/>
      <color rgb="FFA19574"/>
      <color rgb="FFEAE8EA"/>
      <color rgb="FFEAE8E0"/>
      <color rgb="FFA1A9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16" fmlaLink="AñoCalendario" max="2999" min="1900" page="10" val="202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g"/><Relationship Id="rId1" Type="http://schemas.openxmlformats.org/officeDocument/2006/relationships/image" Target="../media/image9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g"/><Relationship Id="rId1" Type="http://schemas.openxmlformats.org/officeDocument/2006/relationships/image" Target="../media/image1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g"/><Relationship Id="rId1" Type="http://schemas.openxmlformats.org/officeDocument/2006/relationships/image" Target="../media/image1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g"/><Relationship Id="rId1" Type="http://schemas.openxmlformats.org/officeDocument/2006/relationships/image" Target="../media/image15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g"/><Relationship Id="rId1" Type="http://schemas.openxmlformats.org/officeDocument/2006/relationships/image" Target="../media/image17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g"/><Relationship Id="rId1" Type="http://schemas.openxmlformats.org/officeDocument/2006/relationships/image" Target="../media/image19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g"/><Relationship Id="rId1" Type="http://schemas.openxmlformats.org/officeDocument/2006/relationships/image" Target="../media/image2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jpg"/><Relationship Id="rId1" Type="http://schemas.openxmlformats.org/officeDocument/2006/relationships/image" Target="../media/image23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g"/><Relationship Id="rId1" Type="http://schemas.openxmlformats.org/officeDocument/2006/relationships/image" Target="../media/image2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336852</xdr:colOff>
      <xdr:row>3</xdr:row>
      <xdr:rowOff>41234</xdr:rowOff>
    </xdr:from>
    <xdr:to>
      <xdr:col>9</xdr:col>
      <xdr:colOff>1035429</xdr:colOff>
      <xdr:row>7</xdr:row>
      <xdr:rowOff>517174</xdr:rowOff>
    </xdr:to>
    <xdr:pic>
      <xdr:nvPicPr>
        <xdr:cNvPr id="3" name="Imagen 2" descr="Costilla de cordero a la francesa en una sartén" title="Imagen 1 de ener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1252" y="1146134"/>
          <a:ext cx="1879677" cy="200946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336852</xdr:colOff>
      <xdr:row>7</xdr:row>
      <xdr:rowOff>645080</xdr:rowOff>
    </xdr:from>
    <xdr:to>
      <xdr:col>9</xdr:col>
      <xdr:colOff>1035429</xdr:colOff>
      <xdr:row>11</xdr:row>
      <xdr:rowOff>633915</xdr:rowOff>
    </xdr:to>
    <xdr:pic>
      <xdr:nvPicPr>
        <xdr:cNvPr id="21" name="Imagen 20" descr="Especias diversas en seis cuenco rectangulares." title="Imagen 2 de ener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1252" y="3283505"/>
          <a:ext cx="1879677" cy="200813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309026</xdr:colOff>
      <xdr:row>11</xdr:row>
      <xdr:rowOff>761821</xdr:rowOff>
    </xdr:from>
    <xdr:to>
      <xdr:col>9</xdr:col>
      <xdr:colOff>1063256</xdr:colOff>
      <xdr:row>16</xdr:row>
      <xdr:rowOff>3906</xdr:rowOff>
    </xdr:to>
    <xdr:sp macro="" textlink="">
      <xdr:nvSpPr>
        <xdr:cNvPr id="25" name="Cuadro de texto 24" descr="Dirección&#10;Ciudad, provincia, código postal&#10;&#10;Teléfono&#10;FAX&#10;Correo electrónico&#10;Web" title="Bloque de direcciones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8843426" y="5419546"/>
          <a:ext cx="1935330" cy="2080535"/>
        </a:xfrm>
        <a:prstGeom prst="rect">
          <a:avLst/>
        </a:prstGeom>
        <a:noFill/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2880" rIns="182880" rtlCol="0" anchor="ctr" anchorCtr="0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Aquí su dirección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Ciudad, provincia, código postal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A19574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TELÉFONO: 555.123.0123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FAX: 555.123.0124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info@ejemplo.com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www.ejemplo.com</a:t>
          </a:r>
        </a:p>
        <a:p>
          <a:pPr rtl="0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</xdr:row>
          <xdr:rowOff>85725</xdr:rowOff>
        </xdr:from>
        <xdr:to>
          <xdr:col>11</xdr:col>
          <xdr:colOff>142875</xdr:colOff>
          <xdr:row>1</xdr:row>
          <xdr:rowOff>314325</xdr:rowOff>
        </xdr:to>
        <xdr:sp macro="" textlink="">
          <xdr:nvSpPr>
            <xdr:cNvPr id="1026" name="Control numérico 2" descr="Spinner control. Use spinner to change calendar year or type desired year in cell L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336458</xdr:colOff>
      <xdr:row>3</xdr:row>
      <xdr:rowOff>31709</xdr:rowOff>
    </xdr:from>
    <xdr:to>
      <xdr:col>9</xdr:col>
      <xdr:colOff>1035035</xdr:colOff>
      <xdr:row>7</xdr:row>
      <xdr:rowOff>506429</xdr:rowOff>
    </xdr:to>
    <xdr:pic>
      <xdr:nvPicPr>
        <xdr:cNvPr id="2" name="Imagen 1" descr="Olla de guiso con verduras frescas y carne.  Para cambiar esta imagen, haga clic con el botón derecho y, después, haga clic en Cambiar imagen." title="Imagen 1 de febrer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1384259"/>
          <a:ext cx="1879677" cy="200824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336458</xdr:colOff>
      <xdr:row>7</xdr:row>
      <xdr:rowOff>635555</xdr:rowOff>
    </xdr:from>
    <xdr:to>
      <xdr:col>9</xdr:col>
      <xdr:colOff>1035035</xdr:colOff>
      <xdr:row>11</xdr:row>
      <xdr:rowOff>623170</xdr:rowOff>
    </xdr:to>
    <xdr:pic>
      <xdr:nvPicPr>
        <xdr:cNvPr id="6" name="Imagen 5" descr="Champiñones frescos.  Para cambiar esta imagen, haga clic con el botón derecho y, después, haga clic en Cambiar imagen." title="Imagen 2 de febrer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3521630"/>
          <a:ext cx="1879677" cy="200691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304800</xdr:colOff>
      <xdr:row>11</xdr:row>
      <xdr:rowOff>752475</xdr:rowOff>
    </xdr:from>
    <xdr:to>
      <xdr:col>9</xdr:col>
      <xdr:colOff>1059030</xdr:colOff>
      <xdr:row>15</xdr:row>
      <xdr:rowOff>813710</xdr:rowOff>
    </xdr:to>
    <xdr:sp macro="" textlink="">
      <xdr:nvSpPr>
        <xdr:cNvPr id="8" name="Cuadro de texto 7" descr="Dirección&#10;Ciudad, provincia, código postal&#10;&#10;Teléfono&#10;FAX&#10;Correo electrónico&#10;Web" title="Bloque de direcciones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839200" y="5657850"/>
          <a:ext cx="1935330" cy="2080535"/>
        </a:xfrm>
        <a:prstGeom prst="rect">
          <a:avLst/>
        </a:prstGeom>
        <a:noFill/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2880" rIns="182880" rtlCol="0" anchor="ctr" anchorCtr="0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Aquí su dirección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Ciudad, provincia, código postal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A19574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TELÉFONO: 555.123.0123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FAX: 555.123.0124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info@ejemplo.com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www.ejemplo.com</a:t>
          </a:r>
        </a:p>
        <a:p>
          <a:pPr rtl="0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336458</xdr:colOff>
      <xdr:row>3</xdr:row>
      <xdr:rowOff>22184</xdr:rowOff>
    </xdr:from>
    <xdr:to>
      <xdr:col>9</xdr:col>
      <xdr:colOff>1035035</xdr:colOff>
      <xdr:row>7</xdr:row>
      <xdr:rowOff>496904</xdr:rowOff>
    </xdr:to>
    <xdr:pic>
      <xdr:nvPicPr>
        <xdr:cNvPr id="2" name="Imagen 1" descr="Ensalada fresca con rábanos cortados y nueces encima.  Para cambiar esta imagen, haga clic con el botón derecho y, después, haga clic en Cambiar imagen." title="Imagen 1 de marz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1374734"/>
          <a:ext cx="1879677" cy="200824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336458</xdr:colOff>
      <xdr:row>7</xdr:row>
      <xdr:rowOff>626030</xdr:rowOff>
    </xdr:from>
    <xdr:to>
      <xdr:col>9</xdr:col>
      <xdr:colOff>1035035</xdr:colOff>
      <xdr:row>11</xdr:row>
      <xdr:rowOff>613645</xdr:rowOff>
    </xdr:to>
    <xdr:pic>
      <xdr:nvPicPr>
        <xdr:cNvPr id="6" name="Imagen 5" descr="Disco de rábanos frescos.  Para cambiar esta imagen, haga clic con el botón derecho y, después, haga clic en Cambiar imagen." title="Imagen 2 de marz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3512105"/>
          <a:ext cx="1879677" cy="200691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314325</xdr:colOff>
      <xdr:row>11</xdr:row>
      <xdr:rowOff>742950</xdr:rowOff>
    </xdr:from>
    <xdr:to>
      <xdr:col>9</xdr:col>
      <xdr:colOff>1068555</xdr:colOff>
      <xdr:row>15</xdr:row>
      <xdr:rowOff>804185</xdr:rowOff>
    </xdr:to>
    <xdr:sp macro="" textlink="">
      <xdr:nvSpPr>
        <xdr:cNvPr id="8" name="Cuadro de texto 7" descr="Dirección&#10;Ciudad, provincia, código postal&#10;&#10;Teléfono&#10;FAX&#10;Correo electrónico&#10;Web" title="Bloque de direcciones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8848725" y="5648325"/>
          <a:ext cx="1935330" cy="2080535"/>
        </a:xfrm>
        <a:prstGeom prst="rect">
          <a:avLst/>
        </a:prstGeom>
        <a:noFill/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2880" rIns="182880" rtlCol="0" anchor="ctr" anchorCtr="0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Aquí su dirección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Ciudad, provincia, código postal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A19574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TELÉFONO: 555.123.0123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FAX: 555.123.0124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info@ejemplo.com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www.ejemplo.com</a:t>
          </a:r>
        </a:p>
        <a:p>
          <a:pPr rtl="0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336458</xdr:colOff>
      <xdr:row>3</xdr:row>
      <xdr:rowOff>22184</xdr:rowOff>
    </xdr:from>
    <xdr:to>
      <xdr:col>9</xdr:col>
      <xdr:colOff>1035035</xdr:colOff>
      <xdr:row>7</xdr:row>
      <xdr:rowOff>496904</xdr:rowOff>
    </xdr:to>
    <xdr:pic>
      <xdr:nvPicPr>
        <xdr:cNvPr id="2" name="Imagen 1" descr="Pila de quiche de espárragos cortado en porciones.  Para cambiar esta imagen, haga clic con el botón derecho y, después, haga clic en Cambiar imagen." title="Imagen 1 de abri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1374734"/>
          <a:ext cx="1879677" cy="200824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336458</xdr:colOff>
      <xdr:row>7</xdr:row>
      <xdr:rowOff>626030</xdr:rowOff>
    </xdr:from>
    <xdr:to>
      <xdr:col>9</xdr:col>
      <xdr:colOff>1035035</xdr:colOff>
      <xdr:row>11</xdr:row>
      <xdr:rowOff>613645</xdr:rowOff>
    </xdr:to>
    <xdr:pic>
      <xdr:nvPicPr>
        <xdr:cNvPr id="6" name="Imagen 5" descr="Tallos de espárragos frescos.  Para cambiar esta imagen, haga clic con el botón derecho y, después, haga clic en Cambiar imagen." title="Imagen 2 de abril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3512105"/>
          <a:ext cx="1879677" cy="200691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314325</xdr:colOff>
      <xdr:row>11</xdr:row>
      <xdr:rowOff>742950</xdr:rowOff>
    </xdr:from>
    <xdr:to>
      <xdr:col>9</xdr:col>
      <xdr:colOff>1068555</xdr:colOff>
      <xdr:row>15</xdr:row>
      <xdr:rowOff>804185</xdr:rowOff>
    </xdr:to>
    <xdr:sp macro="" textlink="">
      <xdr:nvSpPr>
        <xdr:cNvPr id="8" name="Cuadro de texto 7" descr="Dirección&#10;Ciudad, provincia, código postal&#10;&#10;Teléfono&#10;FAX&#10;Correo electrónico&#10;Web" title="Bloque de direcciones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8848725" y="5648325"/>
          <a:ext cx="1935330" cy="2080535"/>
        </a:xfrm>
        <a:prstGeom prst="rect">
          <a:avLst/>
        </a:prstGeom>
        <a:noFill/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2880" rIns="182880" rtlCol="0" anchor="ctr" anchorCtr="0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Aquí su dirección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Ciudad, provincia, código postal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A19574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TELÉFONO: 555.123.0123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FAX: 555.123.0124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info@ejemplo.com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www.ejemplo.com</a:t>
          </a:r>
        </a:p>
        <a:p>
          <a:pPr rtl="0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336458</xdr:colOff>
      <xdr:row>3</xdr:row>
      <xdr:rowOff>22184</xdr:rowOff>
    </xdr:from>
    <xdr:to>
      <xdr:col>9</xdr:col>
      <xdr:colOff>1035035</xdr:colOff>
      <xdr:row>7</xdr:row>
      <xdr:rowOff>496904</xdr:rowOff>
    </xdr:to>
    <xdr:pic>
      <xdr:nvPicPr>
        <xdr:cNvPr id="2" name="Imagen 1" descr="Cuenco de macedonia. Para cambiar esta imagen, haga clic con el botón derecho y, después, haga clic en Cambiar imagen." title="Imagen 1 de may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1374734"/>
          <a:ext cx="1879677" cy="200824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336458</xdr:colOff>
      <xdr:row>7</xdr:row>
      <xdr:rowOff>626030</xdr:rowOff>
    </xdr:from>
    <xdr:to>
      <xdr:col>9</xdr:col>
      <xdr:colOff>1035035</xdr:colOff>
      <xdr:row>11</xdr:row>
      <xdr:rowOff>613645</xdr:rowOff>
    </xdr:to>
    <xdr:pic>
      <xdr:nvPicPr>
        <xdr:cNvPr id="6" name="Imagen 5" descr="Rodajas de pomelo frescas.  Para cambiar esta imagen, haga clic con el botón derecho y, después, haga clic en Cambiar imagen." title="Imagen 2 de mayo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3512105"/>
          <a:ext cx="1879677" cy="200691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314325</xdr:colOff>
      <xdr:row>11</xdr:row>
      <xdr:rowOff>742950</xdr:rowOff>
    </xdr:from>
    <xdr:to>
      <xdr:col>9</xdr:col>
      <xdr:colOff>1068555</xdr:colOff>
      <xdr:row>15</xdr:row>
      <xdr:rowOff>804185</xdr:rowOff>
    </xdr:to>
    <xdr:sp macro="" textlink="">
      <xdr:nvSpPr>
        <xdr:cNvPr id="8" name="Cuadro de texto 7" descr="Dirección&#10;Ciudad, provincia, código postal&#10;&#10;Teléfono&#10;FAX&#10;Correo electrónico&#10;Web" title="Bloque de direcciones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8848725" y="5648325"/>
          <a:ext cx="1935330" cy="2080535"/>
        </a:xfrm>
        <a:prstGeom prst="rect">
          <a:avLst/>
        </a:prstGeom>
        <a:noFill/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2880" rIns="182880" rtlCol="0" anchor="ctr" anchorCtr="0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Aquí su dirección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Ciudad, provincia, código postal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A19574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TELÉFONO: 555.123.0123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FAX: 555.123.0124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info@ejemplo.com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www.ejemplo.com</a:t>
          </a:r>
        </a:p>
        <a:p>
          <a:pPr rtl="0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336458</xdr:colOff>
      <xdr:row>3</xdr:row>
      <xdr:rowOff>22184</xdr:rowOff>
    </xdr:from>
    <xdr:to>
      <xdr:col>9</xdr:col>
      <xdr:colOff>1035035</xdr:colOff>
      <xdr:row>7</xdr:row>
      <xdr:rowOff>496904</xdr:rowOff>
    </xdr:to>
    <xdr:pic>
      <xdr:nvPicPr>
        <xdr:cNvPr id="2" name="Imagen 1" descr="Ensalada verde con plantas de la huerta. Para cambiar esta imagen, haga clic con el botón derecho y, después, haga clic en Cambiar imagen." title="Imagen 1 de juni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1374734"/>
          <a:ext cx="1879677" cy="200824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336458</xdr:colOff>
      <xdr:row>7</xdr:row>
      <xdr:rowOff>626030</xdr:rowOff>
    </xdr:from>
    <xdr:to>
      <xdr:col>9</xdr:col>
      <xdr:colOff>1035035</xdr:colOff>
      <xdr:row>11</xdr:row>
      <xdr:rowOff>613645</xdr:rowOff>
    </xdr:to>
    <xdr:pic>
      <xdr:nvPicPr>
        <xdr:cNvPr id="6" name="Imagen 5" descr="Tomates maduros frescos. Para cambiar esta imagen, haga clic con el botón derecho y, después, haga clic en Cambiar imagen." title="Imagen 2 de junio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3512105"/>
          <a:ext cx="1879677" cy="200691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304800</xdr:colOff>
      <xdr:row>11</xdr:row>
      <xdr:rowOff>742950</xdr:rowOff>
    </xdr:from>
    <xdr:to>
      <xdr:col>9</xdr:col>
      <xdr:colOff>1059030</xdr:colOff>
      <xdr:row>15</xdr:row>
      <xdr:rowOff>804185</xdr:rowOff>
    </xdr:to>
    <xdr:sp macro="" textlink="">
      <xdr:nvSpPr>
        <xdr:cNvPr id="8" name="Cuadro de texto 7" descr="Dirección&#10;Ciudad, provincia, código postal&#10;&#10;Teléfono&#10;FAX&#10;Correo electrónico&#10;Web" title="Bloque de direcciones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8839200" y="5648325"/>
          <a:ext cx="1935330" cy="2080535"/>
        </a:xfrm>
        <a:prstGeom prst="rect">
          <a:avLst/>
        </a:prstGeom>
        <a:noFill/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2880" rIns="182880" rtlCol="0" anchor="ctr" anchorCtr="0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Aquí su dirección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Ciudad, provincia, código postal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A19574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TELÉFONO: 555.123.0123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FAX: 555.123.0124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info@ejemplo.com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www.ejemplo.com</a:t>
          </a:r>
        </a:p>
        <a:p>
          <a:pPr rtl="0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336458</xdr:colOff>
      <xdr:row>3</xdr:row>
      <xdr:rowOff>22184</xdr:rowOff>
    </xdr:from>
    <xdr:to>
      <xdr:col>9</xdr:col>
      <xdr:colOff>1035035</xdr:colOff>
      <xdr:row>7</xdr:row>
      <xdr:rowOff>496904</xdr:rowOff>
    </xdr:to>
    <xdr:pic>
      <xdr:nvPicPr>
        <xdr:cNvPr id="2" name="Imagen 1" descr="Helado de sandía con perejil y una rodaja de lima encima. Para cambiar esta imagen, haga clic con el botón derecho y, después, haga clic en Cambiar imagen." title="Imagen 1 de juli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1374734"/>
          <a:ext cx="1879677" cy="200824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336458</xdr:colOff>
      <xdr:row>7</xdr:row>
      <xdr:rowOff>658447</xdr:rowOff>
    </xdr:from>
    <xdr:to>
      <xdr:col>9</xdr:col>
      <xdr:colOff>1035035</xdr:colOff>
      <xdr:row>11</xdr:row>
      <xdr:rowOff>646062</xdr:rowOff>
    </xdr:to>
    <xdr:pic>
      <xdr:nvPicPr>
        <xdr:cNvPr id="6" name="Imagen 5" descr="Mesa de picnic con una fila de rodajas de sandía recién cortadas. Para cambiar esta imagen, haga clic con el botón derecho y, después, haga clic en Cambiar imagen." title="Imagen 2 de julio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3544522"/>
          <a:ext cx="1879677" cy="200691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304800</xdr:colOff>
      <xdr:row>11</xdr:row>
      <xdr:rowOff>742950</xdr:rowOff>
    </xdr:from>
    <xdr:to>
      <xdr:col>9</xdr:col>
      <xdr:colOff>1059030</xdr:colOff>
      <xdr:row>15</xdr:row>
      <xdr:rowOff>804185</xdr:rowOff>
    </xdr:to>
    <xdr:sp macro="" textlink="">
      <xdr:nvSpPr>
        <xdr:cNvPr id="8" name="Cuadro de texto 7" descr="Dirección&#10;Ciudad, provincia, código postal&#10;&#10;Teléfono&#10;FAX&#10;Correo electrónico&#10;Web" title="Bloque de direcciones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8839200" y="5648325"/>
          <a:ext cx="1935330" cy="2080535"/>
        </a:xfrm>
        <a:prstGeom prst="rect">
          <a:avLst/>
        </a:prstGeom>
        <a:noFill/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2880" rIns="182880" rtlCol="0" anchor="ctr" anchorCtr="0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Aquí su dirección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Ciudad, provincia, código postal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A19574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TELÉFONO: 555.123.0123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FAX: 555.123.0124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info@ejemplo.com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www.ejemplo.com</a:t>
          </a:r>
        </a:p>
        <a:p>
          <a:pPr rtl="0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336458</xdr:colOff>
      <xdr:row>3</xdr:row>
      <xdr:rowOff>22184</xdr:rowOff>
    </xdr:from>
    <xdr:to>
      <xdr:col>9</xdr:col>
      <xdr:colOff>1035035</xdr:colOff>
      <xdr:row>7</xdr:row>
      <xdr:rowOff>496904</xdr:rowOff>
    </xdr:to>
    <xdr:pic>
      <xdr:nvPicPr>
        <xdr:cNvPr id="2" name="Imagen 1" descr="Salmó a la parrilla y vegetales en un plato ovalado." title="Imagen 1 de agost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1374734"/>
          <a:ext cx="1879677" cy="200824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336458</xdr:colOff>
      <xdr:row>7</xdr:row>
      <xdr:rowOff>626030</xdr:rowOff>
    </xdr:from>
    <xdr:to>
      <xdr:col>9</xdr:col>
      <xdr:colOff>1035035</xdr:colOff>
      <xdr:row>11</xdr:row>
      <xdr:rowOff>613645</xdr:rowOff>
    </xdr:to>
    <xdr:pic>
      <xdr:nvPicPr>
        <xdr:cNvPr id="6" name="Imagen 5" descr="Cuenco de judías verdes parcialmente rotas. Para cambiar esta imagen, haga clic con el botón derecho y, después, haga clic en Cambiar imagen." title="Imagen 2 de agosto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3512105"/>
          <a:ext cx="1879677" cy="200691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314325</xdr:colOff>
      <xdr:row>11</xdr:row>
      <xdr:rowOff>742950</xdr:rowOff>
    </xdr:from>
    <xdr:to>
      <xdr:col>9</xdr:col>
      <xdr:colOff>1068555</xdr:colOff>
      <xdr:row>15</xdr:row>
      <xdr:rowOff>804185</xdr:rowOff>
    </xdr:to>
    <xdr:sp macro="" textlink="">
      <xdr:nvSpPr>
        <xdr:cNvPr id="8" name="Cuadro de texto 7" descr="Dirección&#10;Ciudad, provincia, código postal&#10;&#10;Teléfono&#10;FAX&#10;Correo electrónico&#10;Web" title="Bloque de direcciones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8848725" y="5648325"/>
          <a:ext cx="1935330" cy="2080535"/>
        </a:xfrm>
        <a:prstGeom prst="rect">
          <a:avLst/>
        </a:prstGeom>
        <a:noFill/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2880" rIns="182880" rtlCol="0" anchor="ctr" anchorCtr="0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Aquí su dirección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Ciudad, provincia, código postal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A19574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TELÉFONO: 555.123.0123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FAX: 555.123.0124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info@ejemplo.com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www.ejemplo.com</a:t>
          </a:r>
        </a:p>
        <a:p>
          <a:pPr rtl="0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336458</xdr:colOff>
      <xdr:row>3</xdr:row>
      <xdr:rowOff>22184</xdr:rowOff>
    </xdr:from>
    <xdr:to>
      <xdr:col>9</xdr:col>
      <xdr:colOff>1035035</xdr:colOff>
      <xdr:row>7</xdr:row>
      <xdr:rowOff>496904</xdr:rowOff>
    </xdr:to>
    <xdr:pic>
      <xdr:nvPicPr>
        <xdr:cNvPr id="2" name="Imagen 1" descr="Plato de manzanas cocinadas cortadas en un patrón en espiral. Para cambiar esta imagen, haga clic con el botón derecho y, después, haga clic en Cambiar imagen." title="Imagen 1 de septiemb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1374734"/>
          <a:ext cx="1879677" cy="200824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336458</xdr:colOff>
      <xdr:row>7</xdr:row>
      <xdr:rowOff>626030</xdr:rowOff>
    </xdr:from>
    <xdr:to>
      <xdr:col>9</xdr:col>
      <xdr:colOff>1035035</xdr:colOff>
      <xdr:row>11</xdr:row>
      <xdr:rowOff>613645</xdr:rowOff>
    </xdr:to>
    <xdr:pic>
      <xdr:nvPicPr>
        <xdr:cNvPr id="6" name="Imagen 5" descr="Cuenco de manzanas frescas. Para cambiar esta imagen, haga clic con el botón derecho y, después, haga clic en Cambiar imagen." title="Imagen 2 de septiembr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3512105"/>
          <a:ext cx="1879677" cy="200691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304800</xdr:colOff>
      <xdr:row>11</xdr:row>
      <xdr:rowOff>742950</xdr:rowOff>
    </xdr:from>
    <xdr:to>
      <xdr:col>9</xdr:col>
      <xdr:colOff>1059030</xdr:colOff>
      <xdr:row>15</xdr:row>
      <xdr:rowOff>804185</xdr:rowOff>
    </xdr:to>
    <xdr:sp macro="" textlink="">
      <xdr:nvSpPr>
        <xdr:cNvPr id="8" name="Cuadro de texto 7" descr="Dirección&#10;Ciudad, provincia, código postal&#10;&#10;Teléfono&#10;FAX&#10;Correo electrónico&#10;Web" title="Bloque de direcciones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8839200" y="5648325"/>
          <a:ext cx="1935330" cy="2080535"/>
        </a:xfrm>
        <a:prstGeom prst="rect">
          <a:avLst/>
        </a:prstGeom>
        <a:noFill/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2880" rIns="182880" rtlCol="0" anchor="ctr" anchorCtr="0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Aquí su dirección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Ciudad, provincia, código postal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A19574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TELÉFONO: 555.123.0123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FAX: 555.123.0124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info@ejemplo.com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www.ejemplo.com</a:t>
          </a:r>
        </a:p>
        <a:p>
          <a:pPr rtl="0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336458</xdr:colOff>
      <xdr:row>3</xdr:row>
      <xdr:rowOff>22184</xdr:rowOff>
    </xdr:from>
    <xdr:to>
      <xdr:col>9</xdr:col>
      <xdr:colOff>1035035</xdr:colOff>
      <xdr:row>7</xdr:row>
      <xdr:rowOff>496904</xdr:rowOff>
    </xdr:to>
    <xdr:pic>
      <xdr:nvPicPr>
        <xdr:cNvPr id="2" name="Imagen 1" descr="Vieiras caramelizadas en una cama de acelgas marchitas. Para cambiar esta imagen, haga clic con el botón derecho y, después, haga clic en Cambiar imagen." title="Imagen 1 de octub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1374734"/>
          <a:ext cx="1879677" cy="200824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336458</xdr:colOff>
      <xdr:row>7</xdr:row>
      <xdr:rowOff>626030</xdr:rowOff>
    </xdr:from>
    <xdr:to>
      <xdr:col>9</xdr:col>
      <xdr:colOff>1035035</xdr:colOff>
      <xdr:row>11</xdr:row>
      <xdr:rowOff>613645</xdr:rowOff>
    </xdr:to>
    <xdr:pic>
      <xdr:nvPicPr>
        <xdr:cNvPr id="6" name="Imagen 5" descr="Cuenco de acelgas frescas. Para cambiar esta imagen, haga clic con el botón derecho y, después, haga clic en Cambiar imagen." title="Imagen 2 de octub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3512105"/>
          <a:ext cx="1879677" cy="200691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304800</xdr:colOff>
      <xdr:row>11</xdr:row>
      <xdr:rowOff>742950</xdr:rowOff>
    </xdr:from>
    <xdr:to>
      <xdr:col>9</xdr:col>
      <xdr:colOff>1059030</xdr:colOff>
      <xdr:row>15</xdr:row>
      <xdr:rowOff>804185</xdr:rowOff>
    </xdr:to>
    <xdr:sp macro="" textlink="">
      <xdr:nvSpPr>
        <xdr:cNvPr id="8" name="Cuadro de texto 7" descr="Dirección&#10;Ciudad, provincia, código postal&#10;&#10;Teléfono&#10;FAX&#10;Correo electrónico&#10;Web" title="Bloque de direcciones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8839200" y="5648325"/>
          <a:ext cx="1935330" cy="2080535"/>
        </a:xfrm>
        <a:prstGeom prst="rect">
          <a:avLst/>
        </a:prstGeom>
        <a:noFill/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2880" rIns="182880" rtlCol="0" anchor="ctr" anchorCtr="0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Aquí su dirección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Ciudad, provincia, código postal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A19574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TELÉFONO: 555.123.0123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FAX: 555.123.0124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info@ejemplo.com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www.ejemplo.com</a:t>
          </a:r>
        </a:p>
        <a:p>
          <a:pPr rtl="0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336458</xdr:colOff>
      <xdr:row>3</xdr:row>
      <xdr:rowOff>22184</xdr:rowOff>
    </xdr:from>
    <xdr:to>
      <xdr:col>9</xdr:col>
      <xdr:colOff>1035035</xdr:colOff>
      <xdr:row>7</xdr:row>
      <xdr:rowOff>496904</xdr:rowOff>
    </xdr:to>
    <xdr:pic>
      <xdr:nvPicPr>
        <xdr:cNvPr id="2" name="Imagen 1" descr="Dos cuenco de sopa de zanahoria decorados con un remolino de yogur y perejil. Para cambiar esta imagen, haga clic con el botón derecho y, después, haga clic en Cambiar imagen." title="Imagen 1 de noviemb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1374734"/>
          <a:ext cx="1879677" cy="200824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336458</xdr:colOff>
      <xdr:row>7</xdr:row>
      <xdr:rowOff>626030</xdr:rowOff>
    </xdr:from>
    <xdr:to>
      <xdr:col>9</xdr:col>
      <xdr:colOff>1035035</xdr:colOff>
      <xdr:row>11</xdr:row>
      <xdr:rowOff>613645</xdr:rowOff>
    </xdr:to>
    <xdr:pic>
      <xdr:nvPicPr>
        <xdr:cNvPr id="6" name="Imagen 5" descr="Ramillete de zanahorias frescas. Para cambiar esta imagen, haga clic con el botón derecho y, después, haga clic en Cambiar imagen." title="Imagen 2 de noviembr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3512105"/>
          <a:ext cx="1879677" cy="200691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314325</xdr:colOff>
      <xdr:row>11</xdr:row>
      <xdr:rowOff>742950</xdr:rowOff>
    </xdr:from>
    <xdr:to>
      <xdr:col>9</xdr:col>
      <xdr:colOff>1068555</xdr:colOff>
      <xdr:row>15</xdr:row>
      <xdr:rowOff>804185</xdr:rowOff>
    </xdr:to>
    <xdr:sp macro="" textlink="">
      <xdr:nvSpPr>
        <xdr:cNvPr id="8" name="Cuadro de texto 7" descr="Dirección&#10;Ciudad, provincia, código postal&#10;&#10;Teléfono&#10;FAX&#10;Correo electrónico&#10;Web" title="Bloque de direcciones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8848725" y="5648325"/>
          <a:ext cx="1935330" cy="2080535"/>
        </a:xfrm>
        <a:prstGeom prst="rect">
          <a:avLst/>
        </a:prstGeom>
        <a:noFill/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2880" rIns="182880" rtlCol="0" anchor="ctr" anchorCtr="0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Aquí su dirección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Ciudad, provincia, código postal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A19574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TELÉFONO: 555.123.0123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FAX: 555.123.0124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info@ejemplo.com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www.ejemplo.com</a:t>
          </a:r>
        </a:p>
        <a:p>
          <a:pPr rtl="0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336458</xdr:colOff>
      <xdr:row>3</xdr:row>
      <xdr:rowOff>22184</xdr:rowOff>
    </xdr:from>
    <xdr:to>
      <xdr:col>9</xdr:col>
      <xdr:colOff>1035035</xdr:colOff>
      <xdr:row>7</xdr:row>
      <xdr:rowOff>496904</xdr:rowOff>
    </xdr:to>
    <xdr:pic>
      <xdr:nvPicPr>
        <xdr:cNvPr id="2" name="Imagen 1" descr="Plato de bizcocho de “parfait” con bizcocho desmigajado encima. Para cambiar esta imagen, haga clic con el botón derecho y, después, haga clic en Cambiar imagen." title="Imagen 1 de diciemb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1374734"/>
          <a:ext cx="1879677" cy="200824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336458</xdr:colOff>
      <xdr:row>7</xdr:row>
      <xdr:rowOff>626030</xdr:rowOff>
    </xdr:from>
    <xdr:to>
      <xdr:col>9</xdr:col>
      <xdr:colOff>1035035</xdr:colOff>
      <xdr:row>11</xdr:row>
      <xdr:rowOff>613645</xdr:rowOff>
    </xdr:to>
    <xdr:pic>
      <xdr:nvPicPr>
        <xdr:cNvPr id="6" name="Imagen 5" descr="Pila de bizcochos recientemente horneados. Para cambiar esta imagen, haga clic con el botón derecho y, después, haga clic en Cambiar imagen." title="Imagen 2 de diciembre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0858" y="3512105"/>
          <a:ext cx="1879677" cy="200691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</xdr:pic>
    <xdr:clientData/>
  </xdr:twoCellAnchor>
  <xdr:twoCellAnchor>
    <xdr:from>
      <xdr:col>8</xdr:col>
      <xdr:colOff>304800</xdr:colOff>
      <xdr:row>11</xdr:row>
      <xdr:rowOff>771525</xdr:rowOff>
    </xdr:from>
    <xdr:to>
      <xdr:col>9</xdr:col>
      <xdr:colOff>1059030</xdr:colOff>
      <xdr:row>16</xdr:row>
      <xdr:rowOff>13610</xdr:rowOff>
    </xdr:to>
    <xdr:sp macro="" textlink="">
      <xdr:nvSpPr>
        <xdr:cNvPr id="8" name="Cuadro de texto 7" descr="Dirección&#10;Ciudad, provincia, código postal&#10;&#10;Teléfono&#10;FAX&#10;Correo electrónico&#10;Web" title="Bloque de direcciones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8839200" y="5676900"/>
          <a:ext cx="1935330" cy="2080535"/>
        </a:xfrm>
        <a:prstGeom prst="rect">
          <a:avLst/>
        </a:prstGeom>
        <a:noFill/>
        <a:ln w="38100" cap="sq">
          <a:solidFill>
            <a:schemeClr val="accent5">
              <a:lumMod val="20000"/>
              <a:lumOff val="80000"/>
            </a:schemeClr>
          </a:solidFill>
          <a:miter lim="800000"/>
        </a:ln>
        <a:effectLst/>
        <a:scene3d>
          <a:camera prst="orthographicFront"/>
          <a:lightRig rig="twoPt" dir="t">
            <a:rot lat="0" lon="0" rev="7200000"/>
          </a:lightRig>
        </a:scene3d>
        <a:sp3d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2880" rIns="182880" rtlCol="0" anchor="ctr" anchorCtr="0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Aquí su dirección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Ciudad, provincia, código postal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A19574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TELÉFONO: 555.123.0123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A19574"/>
              </a:solidFill>
              <a:effectLst/>
              <a:uLnTx/>
              <a:uFillTx/>
              <a:latin typeface="+mn-lt"/>
              <a:ea typeface="+mn-ea"/>
              <a:cs typeface="+mn-cs"/>
            </a:rPr>
            <a:t>FAX: 555.123.0124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info@ejemplo.com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" sz="1200" b="0" i="0" u="none" strike="noStrike" kern="0" cap="none" spc="0" normalizeH="0" baseline="0" noProof="0">
              <a:ln>
                <a:noFill/>
              </a:ln>
              <a:solidFill>
                <a:srgbClr val="C17529"/>
              </a:solidFill>
              <a:effectLst/>
              <a:uLnTx/>
              <a:uFillTx/>
              <a:latin typeface="+mn-lt"/>
              <a:ea typeface="+mn-ea"/>
              <a:cs typeface="+mn-cs"/>
            </a:rPr>
            <a:t>www.ejemplo.com</a:t>
          </a:r>
        </a:p>
        <a:p>
          <a:pPr rtl="0"/>
          <a:endParaRPr lang="en-US" sz="1100"/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rek">
  <a:themeElements>
    <a:clrScheme name="Trek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1">
      <a:majorFont>
        <a:latin typeface="Georgia"/>
        <a:ea typeface=""/>
        <a:cs typeface=""/>
      </a:majorFont>
      <a:minorFont>
        <a:latin typeface="Cambria"/>
        <a:ea typeface=""/>
        <a:cs typeface=""/>
      </a:minorFont>
    </a:fontScheme>
    <a:fmtScheme name="Trek">
      <a:fillStyleLst>
        <a:solidFill>
          <a:schemeClr val="phClr"/>
        </a:solidFill>
        <a:gradFill rotWithShape="1">
          <a:gsLst>
            <a:gs pos="0">
              <a:schemeClr val="phClr">
                <a:tint val="30000"/>
                <a:satMod val="250000"/>
              </a:schemeClr>
            </a:gs>
            <a:gs pos="72000">
              <a:schemeClr val="phClr">
                <a:tint val="75000"/>
                <a:satMod val="210000"/>
              </a:schemeClr>
            </a:gs>
            <a:gs pos="100000">
              <a:schemeClr val="phClr">
                <a:tint val="85000"/>
                <a:satMod val="21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5000"/>
                <a:shade val="85000"/>
                <a:satMod val="230000"/>
              </a:schemeClr>
            </a:gs>
            <a:gs pos="25000">
              <a:schemeClr val="phClr">
                <a:tint val="90000"/>
                <a:shade val="70000"/>
                <a:satMod val="220000"/>
              </a:schemeClr>
            </a:gs>
            <a:gs pos="50000">
              <a:schemeClr val="phClr">
                <a:tint val="90000"/>
                <a:shade val="58000"/>
                <a:satMod val="225000"/>
              </a:schemeClr>
            </a:gs>
            <a:gs pos="65000">
              <a:schemeClr val="phClr">
                <a:tint val="90000"/>
                <a:shade val="58000"/>
                <a:satMod val="225000"/>
              </a:schemeClr>
            </a:gs>
            <a:gs pos="80000">
              <a:schemeClr val="phClr">
                <a:tint val="90000"/>
                <a:shade val="69000"/>
                <a:satMod val="220000"/>
              </a:schemeClr>
            </a:gs>
            <a:gs pos="100000">
              <a:schemeClr val="phClr">
                <a:tint val="77000"/>
                <a:shade val="80000"/>
                <a:satMod val="230000"/>
              </a:schemeClr>
            </a:gs>
          </a:gsLst>
          <a:lin ang="5400000" scaled="1"/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76200" dist="50800" dir="5400000" rotWithShape="0">
              <a:srgbClr val="4E3B30">
                <a:alpha val="60000"/>
              </a:srgbClr>
            </a:outerShdw>
          </a:effectLst>
        </a:effectStyle>
        <a:effectStyle>
          <a:effectLst>
            <a:outerShdw blurRad="76200" dist="50800" dir="5400000" rotWithShape="0">
              <a:srgbClr val="4E3B3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0"/>
            </a:lightRig>
          </a:scene3d>
          <a:sp3d prstMaterial="metal">
            <a:bevelT w="10000" h="10000"/>
          </a:sp3d>
        </a:effectStyle>
        <a:effectStyle>
          <a:effectLst>
            <a:outerShdw blurRad="76200" dist="50800" dir="5400000" rotWithShape="0">
              <a:srgbClr val="4E3B30">
                <a:alpha val="60000"/>
              </a:srgbClr>
            </a:outerShdw>
          </a:effectLst>
          <a:scene3d>
            <a:camera prst="obliqueTopLeft" fov="600000">
              <a:rot lat="0" lon="0" rev="0"/>
            </a:camera>
            <a:lightRig rig="balanced" dir="t">
              <a:rot lat="0" lon="0" rev="19200000"/>
            </a:lightRig>
          </a:scene3d>
          <a:sp3d contourW="12700" prstMaterial="matte">
            <a:bevelT w="60000" h="50800"/>
            <a:contourClr>
              <a:schemeClr val="phClr">
                <a:shade val="60000"/>
                <a:satMod val="110000"/>
              </a:schemeClr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05000"/>
              </a:schemeClr>
            </a:duotone>
          </a:blip>
          <a:tile tx="0" ty="0" sx="95000" sy="95000" flip="none" algn="t"/>
        </a:blipFill>
        <a:blipFill>
          <a:blip xmlns:r="http://schemas.openxmlformats.org/officeDocument/2006/relationships" r:embed="rId2">
            <a:duotone>
              <a:schemeClr val="phClr">
                <a:shade val="30000"/>
                <a:satMod val="455000"/>
              </a:schemeClr>
              <a:schemeClr val="phClr">
                <a:tint val="95000"/>
                <a:satMod val="120000"/>
              </a:schemeClr>
            </a:duotone>
          </a:blip>
          <a:stretch>
            <a:fillRect/>
          </a:stretch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0.499984740745262"/>
    <pageSetUpPr fitToPage="1"/>
  </sheetPr>
  <dimension ref="A1:R20"/>
  <sheetViews>
    <sheetView showGridLines="0" tabSelected="1" topLeftCell="A4" zoomScaleNormal="100" workbookViewId="0"/>
  </sheetViews>
  <sheetFormatPr baseColWidth="10" defaultColWidth="6.6640625" defaultRowHeight="14.25" x14ac:dyDescent="0.2"/>
  <cols>
    <col min="1" max="1" width="3.109375" style="1" customWidth="1"/>
    <col min="2" max="9" width="13.77734375" style="1" customWidth="1"/>
    <col min="10" max="10" width="12.6640625" style="1" customWidth="1"/>
    <col min="11" max="11" width="16" style="1" customWidth="1"/>
    <col min="12" max="12" width="11.77734375" style="1" customWidth="1"/>
    <col min="13" max="13" width="11.33203125" style="1" customWidth="1"/>
    <col min="14" max="16384" width="6.6640625" style="1"/>
  </cols>
  <sheetData>
    <row r="1" spans="1:18" ht="14.25" customHeight="1" x14ac:dyDescent="0.2">
      <c r="K1" s="21" t="s">
        <v>8</v>
      </c>
    </row>
    <row r="2" spans="1:18" ht="30" customHeight="1" x14ac:dyDescent="0.25">
      <c r="A2" s="23"/>
      <c r="B2" s="20"/>
      <c r="C2" s="20"/>
      <c r="D2" s="20"/>
      <c r="E2" s="20"/>
      <c r="F2" s="20"/>
      <c r="G2" s="20"/>
      <c r="H2" s="20"/>
      <c r="I2" s="20"/>
      <c r="J2" s="20"/>
      <c r="K2" s="22">
        <f ca="1">YEAR(TODAY())</f>
        <v>2020</v>
      </c>
    </row>
    <row r="3" spans="1:18" ht="62.25" customHeight="1" x14ac:dyDescent="0.25">
      <c r="A3"/>
      <c r="B3" s="30" t="str">
        <f ca="1">UPPER(TEXT(DATE(AñoCalendario,1,1),"mmmm"" de ""aaaa"))</f>
        <v>ENERO DE MIÉRCOLES</v>
      </c>
      <c r="C3" s="30"/>
      <c r="D3" s="30"/>
      <c r="E3" s="30"/>
      <c r="F3" s="30"/>
    </row>
    <row r="4" spans="1:18" customFormat="1" ht="26.25" customHeight="1" x14ac:dyDescent="0.25">
      <c r="B4" s="12" t="s">
        <v>0</v>
      </c>
      <c r="C4" s="13" t="s">
        <v>1</v>
      </c>
      <c r="D4" s="13" t="s">
        <v>2</v>
      </c>
      <c r="E4" s="13" t="s">
        <v>4</v>
      </c>
      <c r="F4" s="13" t="s">
        <v>5</v>
      </c>
      <c r="G4" s="13" t="s">
        <v>6</v>
      </c>
      <c r="H4" s="14" t="s">
        <v>7</v>
      </c>
      <c r="I4" s="1"/>
      <c r="J4" s="1"/>
      <c r="L4" s="1"/>
      <c r="M4" s="7"/>
      <c r="Q4" s="1"/>
      <c r="R4" s="1"/>
    </row>
    <row r="5" spans="1:18" customFormat="1" ht="15" customHeight="1" x14ac:dyDescent="0.25">
      <c r="B5" s="15" t="str">
        <f ca="1">IF(DAY(JanSun1)=1,"",IF(AND(YEAR(JanSun1+1)=AñoCalendario,MONTH(JanSun1+1)=1),JanSun1+1,""))</f>
        <v/>
      </c>
      <c r="C5" s="15" t="str">
        <f ca="1">IF(DAY(JanSun1)=1,"",IF(AND(YEAR(JanSun1+2)=AñoCalendario,MONTH(JanSun1+2)=1),JanSun1+2,""))</f>
        <v/>
      </c>
      <c r="D5" s="15">
        <f ca="1">IF(DAY(JanSun1)=1,"",IF(AND(YEAR(JanSun1+3)=AñoCalendario,MONTH(JanSun1+3)=1),JanSun1+3,""))</f>
        <v>43831</v>
      </c>
      <c r="E5" s="15">
        <f ca="1">IF(DAY(JanSun1)=1,"",IF(AND(YEAR(JanSun1+4)=AñoCalendario,MONTH(JanSun1+4)=1),JanSun1+4,""))</f>
        <v>43832</v>
      </c>
      <c r="F5" s="15">
        <f ca="1">IF(DAY(JanSun1)=1,"",IF(AND(YEAR(JanSun1+5)=AñoCalendario,MONTH(JanSun1+5)=1),JanSun1+5,""))</f>
        <v>43833</v>
      </c>
      <c r="G5" s="15">
        <f ca="1">IF(DAY(JanSun1)=1,"",IF(AND(YEAR(JanSun1+6)=AñoCalendario,MONTH(JanSun1+6)=1),JanSun1+6,""))</f>
        <v>43834</v>
      </c>
      <c r="H5" s="15">
        <f ca="1">IF(DAY(JanSun1)=1,IF(AND(YEAR(JanSun1)=AñoCalendario,MONTH(JanSun1)=1),JanSun1,""),IF(AND(YEAR(JanSun1+7)=AñoCalendario,MONTH(JanSun1+7)=1),JanSun1+7,""))</f>
        <v>43835</v>
      </c>
      <c r="I5" s="3"/>
      <c r="K5" s="1"/>
      <c r="L5" s="1"/>
      <c r="M5" s="1"/>
      <c r="Q5" s="2"/>
      <c r="R5" s="1"/>
    </row>
    <row r="6" spans="1:18" s="2" customFormat="1" ht="64.5" customHeight="1" x14ac:dyDescent="0.25">
      <c r="A6"/>
      <c r="B6" s="8"/>
      <c r="C6" s="8"/>
      <c r="D6" s="8"/>
      <c r="E6" s="8"/>
      <c r="F6" s="8"/>
      <c r="G6" s="9"/>
      <c r="H6" s="9"/>
      <c r="I6" s="3"/>
    </row>
    <row r="7" spans="1:18" ht="15" customHeight="1" x14ac:dyDescent="0.25">
      <c r="A7"/>
      <c r="B7" s="16">
        <f ca="1">IF(DAY(JanSun1)=1,IF(AND(YEAR(JanSun1+1)=AñoCalendario,MONTH(JanSun1+1)=1),JanSun1+1,""),IF(AND(YEAR(JanSun1+8)=AñoCalendario,MONTH(JanSun1+8)=1),JanSun1+8,""))</f>
        <v>43836</v>
      </c>
      <c r="C7" s="16">
        <f ca="1">IF(DAY(JanSun1)=1,IF(AND(YEAR(JanSun1+2)=AñoCalendario,MONTH(JanSun1+2)=1),JanSun1+2,""),IF(AND(YEAR(JanSun1+9)=AñoCalendario,MONTH(JanSun1+9)=1),JanSun1+9,""))</f>
        <v>43837</v>
      </c>
      <c r="D7" s="16">
        <f ca="1">IF(DAY(JanSun1)=1,IF(AND(YEAR(JanSun1+3)=AñoCalendario,MONTH(JanSun1+3)=1),JanSun1+3,""),IF(AND(YEAR(JanSun1+10)=AñoCalendario,MONTH(JanSun1+10)=1),JanSun1+10,""))</f>
        <v>43838</v>
      </c>
      <c r="E7" s="16">
        <f ca="1">IF(DAY(JanSun1)=1,IF(AND(YEAR(JanSun1+4)=AñoCalendario,MONTH(JanSun1+4)=1),JanSun1+4,""),IF(AND(YEAR(JanSun1+11)=AñoCalendario,MONTH(JanSun1+11)=1),JanSun1+11,""))</f>
        <v>43839</v>
      </c>
      <c r="F7" s="16">
        <f ca="1">IF(DAY(JanSun1)=1,IF(AND(YEAR(JanSun1+5)=AñoCalendario,MONTH(JanSun1+5)=1),JanSun1+5,""),IF(AND(YEAR(JanSun1+12)=AñoCalendario,MONTH(JanSun1+12)=1),JanSun1+12,""))</f>
        <v>43840</v>
      </c>
      <c r="G7" s="16">
        <f ca="1">IF(DAY(JanSun1)=1,IF(AND(YEAR(JanSun1+6)=AñoCalendario,MONTH(JanSun1+6)=1),JanSun1+6,""),IF(AND(YEAR(JanSun1+13)=AñoCalendario,MONTH(JanSun1+13)=1),JanSun1+13,""))</f>
        <v>43841</v>
      </c>
      <c r="H7" s="16">
        <f ca="1">IF(DAY(JanSun1)=1,IF(AND(YEAR(JanSun1+7)=AñoCalendario,MONTH(JanSun1+7)=1),JanSun1+7,""),IF(AND(YEAR(JanSun1+14)=AñoCalendario,MONTH(JanSun1+14)=1),JanSun1+14,""))</f>
        <v>43842</v>
      </c>
      <c r="I7" s="3"/>
    </row>
    <row r="8" spans="1:18" ht="64.5" customHeight="1" x14ac:dyDescent="0.25">
      <c r="A8"/>
      <c r="B8" s="10"/>
      <c r="C8" s="10"/>
      <c r="D8" s="10"/>
      <c r="E8" s="10"/>
      <c r="F8" s="10"/>
      <c r="G8" s="11"/>
      <c r="H8" s="11"/>
      <c r="I8" s="3"/>
    </row>
    <row r="9" spans="1:18" ht="15" customHeight="1" x14ac:dyDescent="0.25">
      <c r="A9"/>
      <c r="B9" s="17">
        <f ca="1">IF(DAY(JanSun1)=1,IF(AND(YEAR(JanSun1+8)=AñoCalendario,MONTH(JanSun1+8)=1),JanSun1+8,""),IF(AND(YEAR(JanSun1+15)=AñoCalendario,MONTH(JanSun1+15)=1),JanSun1+15,""))</f>
        <v>43843</v>
      </c>
      <c r="C9" s="17">
        <f ca="1">IF(DAY(JanSun1)=1,IF(AND(YEAR(JanSun1+9)=AñoCalendario,MONTH(JanSun1+9)=1),JanSun1+9,""),IF(AND(YEAR(JanSun1+16)=AñoCalendario,MONTH(JanSun1+16)=1),JanSun1+16,""))</f>
        <v>43844</v>
      </c>
      <c r="D9" s="17">
        <f ca="1">IF(DAY(JanSun1)=1,IF(AND(YEAR(JanSun1+10)=AñoCalendario,MONTH(JanSun1+10)=1),JanSun1+10,""),IF(AND(YEAR(JanSun1+17)=AñoCalendario,MONTH(JanSun1+17)=1),JanSun1+17,""))</f>
        <v>43845</v>
      </c>
      <c r="E9" s="17">
        <f ca="1">IF(DAY(JanSun1)=1,IF(AND(YEAR(JanSun1+11)=AñoCalendario,MONTH(JanSun1+11)=1),JanSun1+11,""),IF(AND(YEAR(JanSun1+18)=AñoCalendario,MONTH(JanSun1+18)=1),JanSun1+18,""))</f>
        <v>43846</v>
      </c>
      <c r="F9" s="17">
        <f ca="1">IF(DAY(JanSun1)=1,IF(AND(YEAR(JanSun1+12)=AñoCalendario,MONTH(JanSun1+12)=1),JanSun1+12,""),IF(AND(YEAR(JanSun1+19)=AñoCalendario,MONTH(JanSun1+19)=1),JanSun1+19,""))</f>
        <v>43847</v>
      </c>
      <c r="G9" s="17">
        <f ca="1">IF(DAY(JanSun1)=1,IF(AND(YEAR(JanSun1+13)=AñoCalendario,MONTH(JanSun1+13)=1),JanSun1+13,""),IF(AND(YEAR(JanSun1+20)=AñoCalendario,MONTH(JanSun1+20)=1),JanSun1+20,""))</f>
        <v>43848</v>
      </c>
      <c r="H9" s="17">
        <f ca="1">IF(DAY(JanSun1)=1,IF(AND(YEAR(JanSun1+14)=AñoCalendario,MONTH(JanSun1+14)=1),JanSun1+14,""),IF(AND(YEAR(JanSun1+21)=AñoCalendario,MONTH(JanSun1+21)=1),JanSun1+21,""))</f>
        <v>43849</v>
      </c>
      <c r="I9" s="3"/>
    </row>
    <row r="10" spans="1:18" ht="64.5" customHeight="1" x14ac:dyDescent="0.25">
      <c r="A10"/>
      <c r="B10" s="8"/>
      <c r="C10" s="8"/>
      <c r="D10" s="8"/>
      <c r="E10" s="8"/>
      <c r="F10" s="8"/>
      <c r="G10" s="9"/>
      <c r="H10" s="9"/>
      <c r="I10" s="3"/>
    </row>
    <row r="11" spans="1:18" ht="15" customHeight="1" x14ac:dyDescent="0.25">
      <c r="A11"/>
      <c r="B11" s="18">
        <f ca="1">IF(DAY(JanSun1)=1,IF(AND(YEAR(JanSun1+15)=AñoCalendario,MONTH(JanSun1+15)=1),JanSun1+15,""),IF(AND(YEAR(JanSun1+22)=AñoCalendario,MONTH(JanSun1+22)=1),JanSun1+22,""))</f>
        <v>43850</v>
      </c>
      <c r="C11" s="18">
        <f ca="1">IF(DAY(JanSun1)=1,IF(AND(YEAR(JanSun1+16)=AñoCalendario,MONTH(JanSun1+16)=1),JanSun1+16,""),IF(AND(YEAR(JanSun1+23)=AñoCalendario,MONTH(JanSun1+23)=1),JanSun1+23,""))</f>
        <v>43851</v>
      </c>
      <c r="D11" s="18">
        <f ca="1">IF(DAY(JanSun1)=1,IF(AND(YEAR(JanSun1+17)=AñoCalendario,MONTH(JanSun1+17)=1),JanSun1+17,""),IF(AND(YEAR(JanSun1+24)=AñoCalendario,MONTH(JanSun1+24)=1),JanSun1+24,""))</f>
        <v>43852</v>
      </c>
      <c r="E11" s="18">
        <f ca="1">IF(DAY(JanSun1)=1,IF(AND(YEAR(JanSun1+18)=AñoCalendario,MONTH(JanSun1+18)=1),JanSun1+18,""),IF(AND(YEAR(JanSun1+25)=AñoCalendario,MONTH(JanSun1+25)=1),JanSun1+25,""))</f>
        <v>43853</v>
      </c>
      <c r="F11" s="18">
        <f ca="1">IF(DAY(JanSun1)=1,IF(AND(YEAR(JanSun1+19)=AñoCalendario,MONTH(JanSun1+19)=1),JanSun1+19,""),IF(AND(YEAR(JanSun1+26)=AñoCalendario,MONTH(JanSun1+26)=1),JanSun1+26,""))</f>
        <v>43854</v>
      </c>
      <c r="G11" s="18">
        <f ca="1">IF(DAY(JanSun1)=1,IF(AND(YEAR(JanSun1+20)=AñoCalendario,MONTH(JanSun1+20)=1),JanSun1+20,""),IF(AND(YEAR(JanSun1+27)=AñoCalendario,MONTH(JanSun1+27)=1),JanSun1+27,""))</f>
        <v>43855</v>
      </c>
      <c r="H11" s="18">
        <f ca="1">IF(DAY(JanSun1)=1,IF(AND(YEAR(JanSun1+21)=AñoCalendario,MONTH(JanSun1+21)=1),JanSun1+21,""),IF(AND(YEAR(JanSun1+28)=AñoCalendario,MONTH(JanSun1+28)=1),JanSun1+28,""))</f>
        <v>43856</v>
      </c>
      <c r="I11" s="3"/>
    </row>
    <row r="12" spans="1:18" ht="64.5" customHeight="1" x14ac:dyDescent="0.25">
      <c r="A12"/>
      <c r="B12" s="10"/>
      <c r="C12" s="10"/>
      <c r="D12" s="10"/>
      <c r="E12" s="10"/>
      <c r="F12" s="10"/>
      <c r="G12" s="11"/>
      <c r="H12" s="11"/>
      <c r="I12" s="3"/>
    </row>
    <row r="13" spans="1:18" ht="15" customHeight="1" x14ac:dyDescent="0.25">
      <c r="A13"/>
      <c r="B13" s="17">
        <f ca="1">IF(DAY(JanSun1)=1,IF(AND(YEAR(JanSun1+22)=AñoCalendario,MONTH(JanSun1+22)=1),JanSun1+22,""),IF(AND(YEAR(JanSun1+29)=AñoCalendario,MONTH(JanSun1+29)=1),JanSun1+29,""))</f>
        <v>43857</v>
      </c>
      <c r="C13" s="17">
        <f ca="1">IF(DAY(JanSun1)=1,IF(AND(YEAR(JanSun1+23)=AñoCalendario,MONTH(JanSun1+23)=1),JanSun1+23,""),IF(AND(YEAR(JanSun1+30)=AñoCalendario,MONTH(JanSun1+30)=1),JanSun1+30,""))</f>
        <v>43858</v>
      </c>
      <c r="D13" s="17">
        <f ca="1">IF(DAY(JanSun1)=1,IF(AND(YEAR(JanSun1+24)=AñoCalendario,MONTH(JanSun1+24)=1),JanSun1+24,""),IF(AND(YEAR(JanSun1+31)=AñoCalendario,MONTH(JanSun1+31)=1),JanSun1+31,""))</f>
        <v>43859</v>
      </c>
      <c r="E13" s="17">
        <f ca="1">IF(DAY(JanSun1)=1,IF(AND(YEAR(JanSun1+25)=AñoCalendario,MONTH(JanSun1+25)=1),JanSun1+25,""),IF(AND(YEAR(JanSun1+32)=AñoCalendario,MONTH(JanSun1+32)=1),JanSun1+32,""))</f>
        <v>43860</v>
      </c>
      <c r="F13" s="17">
        <f ca="1">IF(DAY(JanSun1)=1,IF(AND(YEAR(JanSun1+26)=AñoCalendario,MONTH(JanSun1+26)=1),JanSun1+26,""),IF(AND(YEAR(JanSun1+33)=AñoCalendario,MONTH(JanSun1+33)=1),JanSun1+33,""))</f>
        <v>43861</v>
      </c>
      <c r="G13" s="17" t="str">
        <f ca="1">IF(DAY(JanSun1)=1,IF(AND(YEAR(JanSun1+27)=AñoCalendario,MONTH(JanSun1+27)=1),JanSun1+27,""),IF(AND(YEAR(JanSun1+34)=AñoCalendario,MONTH(JanSun1+34)=1),JanSun1+34,""))</f>
        <v/>
      </c>
      <c r="H13" s="17" t="str">
        <f ca="1">IF(DAY(JanSun1)=1,IF(AND(YEAR(JanSun1+28)=AñoCalendario,MONTH(JanSun1+28)=1),JanSun1+28,""),IF(AND(YEAR(JanSun1+35)=AñoCalendario,MONTH(JanSun1+35)=1),JanSun1+35,""))</f>
        <v/>
      </c>
      <c r="I13" s="3"/>
    </row>
    <row r="14" spans="1:18" ht="64.5" customHeight="1" x14ac:dyDescent="0.25">
      <c r="A14"/>
      <c r="B14" s="8"/>
      <c r="C14" s="8"/>
      <c r="D14" s="8"/>
      <c r="E14" s="8"/>
      <c r="F14" s="8"/>
      <c r="G14" s="9"/>
      <c r="H14" s="9"/>
      <c r="I14" s="3"/>
    </row>
    <row r="15" spans="1:18" ht="15" customHeight="1" x14ac:dyDescent="0.25">
      <c r="A15"/>
      <c r="B15" s="18" t="str">
        <f ca="1">IF(DAY(JanSun1)=1,IF(AND(YEAR(JanSun1+29)=AñoCalendario,MONTH(JanSun1+29)=1),JanSun1+29,""),IF(AND(YEAR(JanSun1+36)=AñoCalendario,MONTH(JanSun1+36)=1),JanSun1+36,""))</f>
        <v/>
      </c>
      <c r="C15" s="19" t="str">
        <f ca="1">IF(DAY(JanSun1)=1,IF(AND(YEAR(JanSun1+30)=AñoCalendario,MONTH(JanSun1+30)=1),JanSun1+30,""),IF(AND(YEAR(JanSun1+37)=AñoCalendario,MONTH(JanSun1+37)=1),JanSun1+37,""))</f>
        <v/>
      </c>
      <c r="D15" s="27" t="s">
        <v>3</v>
      </c>
      <c r="E15" s="28"/>
      <c r="F15" s="28"/>
      <c r="G15" s="28"/>
      <c r="H15" s="29"/>
      <c r="I15" s="3"/>
    </row>
    <row r="16" spans="1:18" ht="64.5" customHeight="1" x14ac:dyDescent="0.25">
      <c r="A16"/>
      <c r="B16" s="10"/>
      <c r="C16" s="10"/>
      <c r="D16" s="24"/>
      <c r="E16" s="25"/>
      <c r="F16" s="25"/>
      <c r="G16" s="25"/>
      <c r="H16" s="26"/>
      <c r="I16" s="3"/>
    </row>
    <row r="17" spans="3:5" ht="17.25" customHeight="1" x14ac:dyDescent="0.2"/>
    <row r="19" spans="3:5" ht="21" customHeight="1" x14ac:dyDescent="0.25">
      <c r="C19" s="6"/>
      <c r="D19" s="5"/>
      <c r="E19" s="4"/>
    </row>
    <row r="20" spans="3:5" ht="19.5" customHeight="1" x14ac:dyDescent="0.2"/>
  </sheetData>
  <mergeCells count="3">
    <mergeCell ref="D16:H16"/>
    <mergeCell ref="D15:H15"/>
    <mergeCell ref="B3:F3"/>
  </mergeCells>
  <printOptions horizontalCentered="1" verticalCentered="1"/>
  <pageMargins left="0.2" right="0.2" top="0.25" bottom="0.25" header="0" footer="0"/>
  <pageSetup paperSize="9" scale="98" orientation="landscape" r:id="rId1"/>
  <headerFooter scaleWithDoc="0" alignWithMargins="0"/>
  <customProperties>
    <customPr name="SheetChange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5" name="Control numérico 2">
              <controlPr defaultSize="0" autoPict="0" altText="Spinner control. Use spinner to change calendar year or type desired year in cell L2">
                <anchor moveWithCells="1">
                  <from>
                    <xdr:col>11</xdr:col>
                    <xdr:colOff>9525</xdr:colOff>
                    <xdr:row>1</xdr:row>
                    <xdr:rowOff>85725</xdr:rowOff>
                  </from>
                  <to>
                    <xdr:col>11</xdr:col>
                    <xdr:colOff>142875</xdr:colOff>
                    <xdr:row>1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 tint="-0.34998626667073579"/>
    <pageSetUpPr fitToPage="1"/>
  </sheetPr>
  <dimension ref="A1:R20"/>
  <sheetViews>
    <sheetView showGridLines="0" zoomScaleNormal="100" workbookViewId="0"/>
  </sheetViews>
  <sheetFormatPr baseColWidth="10" defaultColWidth="6.6640625" defaultRowHeight="14.25" x14ac:dyDescent="0.2"/>
  <cols>
    <col min="1" max="1" width="3.109375" style="1" customWidth="1"/>
    <col min="2" max="9" width="13.77734375" style="1" customWidth="1"/>
    <col min="10" max="10" width="12.6640625" style="1" customWidth="1"/>
    <col min="11" max="11" width="2.109375" style="1" customWidth="1"/>
    <col min="12" max="12" width="11.77734375" style="1" customWidth="1"/>
    <col min="13" max="13" width="11.33203125" style="1" customWidth="1"/>
    <col min="14" max="16384" width="6.6640625" style="1"/>
  </cols>
  <sheetData>
    <row r="1" spans="1:18" ht="14.25" customHeight="1" x14ac:dyDescent="0.25">
      <c r="A1"/>
    </row>
    <row r="2" spans="1:18" ht="30" customHeight="1" x14ac:dyDescent="0.25">
      <c r="A2"/>
      <c r="B2" s="20"/>
      <c r="C2" s="20"/>
      <c r="D2" s="20"/>
      <c r="E2" s="20"/>
      <c r="F2" s="20"/>
      <c r="G2" s="20"/>
      <c r="H2" s="20"/>
      <c r="I2" s="20"/>
      <c r="J2" s="20"/>
    </row>
    <row r="3" spans="1:18" ht="62.25" customHeight="1" x14ac:dyDescent="0.25">
      <c r="A3"/>
      <c r="B3" s="30" t="str">
        <f ca="1">UPPER(TEXT(DATE(AñoCalendario,2,1),"mmmm"" de ""aaaa"))</f>
        <v>FEBRERO DE SÁBADO</v>
      </c>
      <c r="C3" s="30"/>
      <c r="D3" s="30"/>
      <c r="E3" s="30"/>
      <c r="F3" s="30"/>
    </row>
    <row r="4" spans="1:18" customFormat="1" ht="26.25" customHeight="1" x14ac:dyDescent="0.25">
      <c r="B4" s="12" t="s">
        <v>0</v>
      </c>
      <c r="C4" s="13" t="s">
        <v>1</v>
      </c>
      <c r="D4" s="13" t="s">
        <v>2</v>
      </c>
      <c r="E4" s="13" t="s">
        <v>4</v>
      </c>
      <c r="F4" s="13" t="s">
        <v>5</v>
      </c>
      <c r="G4" s="13" t="s">
        <v>6</v>
      </c>
      <c r="H4" s="14" t="s">
        <v>7</v>
      </c>
      <c r="I4" s="1"/>
      <c r="J4" s="1"/>
      <c r="L4" s="1"/>
      <c r="M4" s="7"/>
      <c r="Q4" s="1"/>
      <c r="R4" s="1"/>
    </row>
    <row r="5" spans="1:18" customFormat="1" ht="15" customHeight="1" x14ac:dyDescent="0.25">
      <c r="B5" s="15" t="str">
        <f ca="1">IF(DAY(FebSun1)=1,"",IF(AND(YEAR(FebSun1+1)=AñoCalendario,MONTH(FebSun1+1)=2),FebSun1+1,""))</f>
        <v/>
      </c>
      <c r="C5" s="15" t="str">
        <f ca="1">IF(DAY(FebSun1)=1,"",IF(AND(YEAR(FebSun1+2)=AñoCalendario,MONTH(FebSun1+2)=2),FebSun1+2,""))</f>
        <v/>
      </c>
      <c r="D5" s="15" t="str">
        <f ca="1">IF(DAY(FebSun1)=1,"",IF(AND(YEAR(FebSun1+3)=AñoCalendario,MONTH(FebSun1+3)=2),FebSun1+3,""))</f>
        <v/>
      </c>
      <c r="E5" s="15" t="str">
        <f ca="1">IF(DAY(FebSun1)=1,"",IF(AND(YEAR(FebSun1+4)=AñoCalendario,MONTH(FebSun1+4)=2),FebSun1+4,""))</f>
        <v/>
      </c>
      <c r="F5" s="15" t="str">
        <f ca="1">IF(DAY(FebSun1)=1,"",IF(AND(YEAR(FebSun1+5)=AñoCalendario,MONTH(FebSun1+5)=2),FebSun1+5,""))</f>
        <v/>
      </c>
      <c r="G5" s="15">
        <f ca="1">IF(DAY(FebSun1)=1,"",IF(AND(YEAR(FebSun1+6)=AñoCalendario,MONTH(FebSun1+6)=2),FebSun1+6,""))</f>
        <v>43862</v>
      </c>
      <c r="H5" s="15">
        <f ca="1">IF(DAY(FebSun1)=1,IF(AND(YEAR(FebSun1)=AñoCalendario,MONTH(FebSun1)=2),FebSun1,""),IF(AND(YEAR(FebSun1+7)=AñoCalendario,MONTH(FebSun1+7)=2),FebSun1+7,""))</f>
        <v>43863</v>
      </c>
      <c r="I5" s="3"/>
      <c r="K5" s="1"/>
      <c r="L5" s="1"/>
      <c r="M5" s="1"/>
      <c r="Q5" s="2"/>
      <c r="R5" s="1"/>
    </row>
    <row r="6" spans="1:18" s="2" customFormat="1" ht="64.5" customHeight="1" x14ac:dyDescent="0.25">
      <c r="A6"/>
      <c r="B6" s="8"/>
      <c r="C6" s="8"/>
      <c r="D6" s="8"/>
      <c r="E6" s="8"/>
      <c r="F6" s="8"/>
      <c r="G6" s="9"/>
      <c r="H6" s="9"/>
      <c r="I6" s="3"/>
    </row>
    <row r="7" spans="1:18" ht="15" customHeight="1" x14ac:dyDescent="0.25">
      <c r="A7"/>
      <c r="B7" s="16">
        <f ca="1">IF(DAY(FebSun1)=1,IF(AND(YEAR(FebSun1+1)=AñoCalendario,MONTH(FebSun1+1)=2),FebSun1+1,""),IF(AND(YEAR(FebSun1+8)=AñoCalendario,MONTH(FebSun1+8)=2),FebSun1+8,""))</f>
        <v>43864</v>
      </c>
      <c r="C7" s="16">
        <f ca="1">IF(DAY(FebSun1)=1,IF(AND(YEAR(FebSun1+2)=AñoCalendario,MONTH(FebSun1+2)=2),FebSun1+2,""),IF(AND(YEAR(FebSun1+9)=AñoCalendario,MONTH(FebSun1+9)=2),FebSun1+9,""))</f>
        <v>43865</v>
      </c>
      <c r="D7" s="16">
        <f ca="1">IF(DAY(FebSun1)=1,IF(AND(YEAR(FebSun1+3)=AñoCalendario,MONTH(FebSun1+3)=2),FebSun1+3,""),IF(AND(YEAR(FebSun1+10)=AñoCalendario,MONTH(FebSun1+10)=2),FebSun1+10,""))</f>
        <v>43866</v>
      </c>
      <c r="E7" s="16">
        <f ca="1">IF(DAY(FebSun1)=1,IF(AND(YEAR(FebSun1+4)=AñoCalendario,MONTH(FebSun1+4)=2),FebSun1+4,""),IF(AND(YEAR(FebSun1+11)=AñoCalendario,MONTH(FebSun1+11)=2),FebSun1+11,""))</f>
        <v>43867</v>
      </c>
      <c r="F7" s="16">
        <f ca="1">IF(DAY(FebSun1)=1,IF(AND(YEAR(FebSun1+5)=AñoCalendario,MONTH(FebSun1+5)=2),FebSun1+5,""),IF(AND(YEAR(FebSun1+12)=AñoCalendario,MONTH(FebSun1+12)=2),FebSun1+12,""))</f>
        <v>43868</v>
      </c>
      <c r="G7" s="16">
        <f ca="1">IF(DAY(FebSun1)=1,IF(AND(YEAR(FebSun1+6)=AñoCalendario,MONTH(FebSun1+6)=2),FebSun1+6,""),IF(AND(YEAR(FebSun1+13)=AñoCalendario,MONTH(FebSun1+13)=2),FebSun1+13,""))</f>
        <v>43869</v>
      </c>
      <c r="H7" s="16">
        <f ca="1">IF(DAY(FebSun1)=1,IF(AND(YEAR(FebSun1+7)=AñoCalendario,MONTH(FebSun1+7)=2),FebSun1+7,""),IF(AND(YEAR(FebSun1+14)=AñoCalendario,MONTH(FebSun1+14)=2),FebSun1+14,""))</f>
        <v>43870</v>
      </c>
      <c r="I7" s="3"/>
    </row>
    <row r="8" spans="1:18" ht="64.5" customHeight="1" x14ac:dyDescent="0.25">
      <c r="A8"/>
      <c r="B8" s="10"/>
      <c r="C8" s="10"/>
      <c r="D8" s="10"/>
      <c r="E8" s="10"/>
      <c r="F8" s="10"/>
      <c r="G8" s="11"/>
      <c r="H8" s="11"/>
      <c r="I8" s="3"/>
    </row>
    <row r="9" spans="1:18" ht="15" customHeight="1" x14ac:dyDescent="0.25">
      <c r="A9"/>
      <c r="B9" s="17">
        <f ca="1">IF(DAY(FebSun1)=1,IF(AND(YEAR(FebSun1+8)=AñoCalendario,MONTH(FebSun1+8)=2),FebSun1+8,""),IF(AND(YEAR(FebSun1+15)=AñoCalendario,MONTH(FebSun1+15)=2),FebSun1+15,""))</f>
        <v>43871</v>
      </c>
      <c r="C9" s="17">
        <f ca="1">IF(DAY(FebSun1)=1,IF(AND(YEAR(FebSun1+9)=AñoCalendario,MONTH(FebSun1+9)=2),FebSun1+9,""),IF(AND(YEAR(FebSun1+16)=AñoCalendario,MONTH(FebSun1+16)=2),FebSun1+16,""))</f>
        <v>43872</v>
      </c>
      <c r="D9" s="17">
        <f ca="1">IF(DAY(FebSun1)=1,IF(AND(YEAR(FebSun1+10)=AñoCalendario,MONTH(FebSun1+10)=2),FebSun1+10,""),IF(AND(YEAR(FebSun1+17)=AñoCalendario,MONTH(FebSun1+17)=2),FebSun1+17,""))</f>
        <v>43873</v>
      </c>
      <c r="E9" s="17">
        <f ca="1">IF(DAY(FebSun1)=1,IF(AND(YEAR(FebSun1+11)=AñoCalendario,MONTH(FebSun1+11)=2),FebSun1+11,""),IF(AND(YEAR(FebSun1+18)=AñoCalendario,MONTH(FebSun1+18)=2),FebSun1+18,""))</f>
        <v>43874</v>
      </c>
      <c r="F9" s="17">
        <f ca="1">IF(DAY(FebSun1)=1,IF(AND(YEAR(FebSun1+12)=AñoCalendario,MONTH(FebSun1+12)=2),FebSun1+12,""),IF(AND(YEAR(FebSun1+19)=AñoCalendario,MONTH(FebSun1+19)=2),FebSun1+19,""))</f>
        <v>43875</v>
      </c>
      <c r="G9" s="17">
        <f ca="1">IF(DAY(FebSun1)=1,IF(AND(YEAR(FebSun1+13)=AñoCalendario,MONTH(FebSun1+13)=2),FebSun1+13,""),IF(AND(YEAR(FebSun1+20)=AñoCalendario,MONTH(FebSun1+20)=2),FebSun1+20,""))</f>
        <v>43876</v>
      </c>
      <c r="H9" s="17">
        <f ca="1">IF(DAY(FebSun1)=1,IF(AND(YEAR(FebSun1+14)=AñoCalendario,MONTH(FebSun1+14)=2),FebSun1+14,""),IF(AND(YEAR(FebSun1+21)=AñoCalendario,MONTH(FebSun1+21)=2),FebSun1+21,""))</f>
        <v>43877</v>
      </c>
      <c r="I9" s="3"/>
    </row>
    <row r="10" spans="1:18" ht="64.5" customHeight="1" x14ac:dyDescent="0.25">
      <c r="A10"/>
      <c r="B10" s="8"/>
      <c r="C10" s="8"/>
      <c r="D10" s="8"/>
      <c r="E10" s="8"/>
      <c r="F10" s="8"/>
      <c r="G10" s="9"/>
      <c r="H10" s="9"/>
      <c r="I10" s="3"/>
    </row>
    <row r="11" spans="1:18" ht="15" customHeight="1" x14ac:dyDescent="0.25">
      <c r="A11"/>
      <c r="B11" s="18">
        <f ca="1">IF(DAY(FebSun1)=1,IF(AND(YEAR(FebSun1+15)=AñoCalendario,MONTH(FebSun1+15)=2),FebSun1+15,""),IF(AND(YEAR(FebSun1+22)=AñoCalendario,MONTH(FebSun1+22)=2),FebSun1+22,""))</f>
        <v>43878</v>
      </c>
      <c r="C11" s="18">
        <f ca="1">IF(DAY(FebSun1)=1,IF(AND(YEAR(FebSun1+16)=AñoCalendario,MONTH(FebSun1+16)=2),FebSun1+16,""),IF(AND(YEAR(FebSun1+23)=AñoCalendario,MONTH(FebSun1+23)=2),FebSun1+23,""))</f>
        <v>43879</v>
      </c>
      <c r="D11" s="18">
        <f ca="1">IF(DAY(FebSun1)=1,IF(AND(YEAR(FebSun1+17)=AñoCalendario,MONTH(FebSun1+17)=2),FebSun1+17,""),IF(AND(YEAR(FebSun1+24)=AñoCalendario,MONTH(FebSun1+24)=2),FebSun1+24,""))</f>
        <v>43880</v>
      </c>
      <c r="E11" s="18">
        <f ca="1">IF(DAY(FebSun1)=1,IF(AND(YEAR(FebSun1+18)=AñoCalendario,MONTH(FebSun1+18)=2),FebSun1+18,""),IF(AND(YEAR(FebSun1+25)=AñoCalendario,MONTH(FebSun1+25)=2),FebSun1+25,""))</f>
        <v>43881</v>
      </c>
      <c r="F11" s="18">
        <f ca="1">IF(DAY(FebSun1)=1,IF(AND(YEAR(FebSun1+19)=AñoCalendario,MONTH(FebSun1+19)=2),FebSun1+19,""),IF(AND(YEAR(FebSun1+26)=AñoCalendario,MONTH(FebSun1+26)=2),FebSun1+26,""))</f>
        <v>43882</v>
      </c>
      <c r="G11" s="18">
        <f ca="1">IF(DAY(FebSun1)=1,IF(AND(YEAR(FebSun1+20)=AñoCalendario,MONTH(FebSun1+20)=2),FebSun1+20,""),IF(AND(YEAR(FebSun1+27)=AñoCalendario,MONTH(FebSun1+27)=2),FebSun1+27,""))</f>
        <v>43883</v>
      </c>
      <c r="H11" s="18">
        <f ca="1">IF(DAY(FebSun1)=1,IF(AND(YEAR(FebSun1+21)=AñoCalendario,MONTH(FebSun1+21)=2),FebSun1+21,""),IF(AND(YEAR(FebSun1+28)=AñoCalendario,MONTH(FebSun1+28)=2),FebSun1+28,""))</f>
        <v>43884</v>
      </c>
      <c r="I11" s="3"/>
    </row>
    <row r="12" spans="1:18" ht="64.5" customHeight="1" x14ac:dyDescent="0.25">
      <c r="A12"/>
      <c r="B12" s="10"/>
      <c r="C12" s="10"/>
      <c r="D12" s="10"/>
      <c r="E12" s="10"/>
      <c r="F12" s="10"/>
      <c r="G12" s="11"/>
      <c r="H12" s="11"/>
      <c r="I12" s="3"/>
    </row>
    <row r="13" spans="1:18" ht="15" customHeight="1" x14ac:dyDescent="0.25">
      <c r="A13"/>
      <c r="B13" s="17">
        <f ca="1">IF(DAY(FebSun1)=1,IF(AND(YEAR(FebSun1+22)=AñoCalendario,MONTH(FebSun1+22)=2),FebSun1+22,""),IF(AND(YEAR(FebSun1+29)=AñoCalendario,MONTH(FebSun1+29)=2),FebSun1+29,""))</f>
        <v>43885</v>
      </c>
      <c r="C13" s="17">
        <f ca="1">IF(DAY(FebSun1)=1,IF(AND(YEAR(FebSun1+23)=AñoCalendario,MONTH(FebSun1+23)=2),FebSun1+23,""),IF(AND(YEAR(FebSun1+30)=AñoCalendario,MONTH(FebSun1+30)=2),FebSun1+30,""))</f>
        <v>43886</v>
      </c>
      <c r="D13" s="17">
        <f ca="1">IF(DAY(FebSun1)=1,IF(AND(YEAR(FebSun1+24)=AñoCalendario,MONTH(FebSun1+24)=2),FebSun1+24,""),IF(AND(YEAR(FebSun1+31)=AñoCalendario,MONTH(FebSun1+31)=2),FebSun1+31,""))</f>
        <v>43887</v>
      </c>
      <c r="E13" s="17">
        <f ca="1">IF(DAY(FebSun1)=1,IF(AND(YEAR(FebSun1+25)=AñoCalendario,MONTH(FebSun1+25)=2),FebSun1+25,""),IF(AND(YEAR(FebSun1+32)=AñoCalendario,MONTH(FebSun1+32)=2),FebSun1+32,""))</f>
        <v>43888</v>
      </c>
      <c r="F13" s="17">
        <f ca="1">IF(DAY(FebSun1)=1,IF(AND(YEAR(FebSun1+26)=AñoCalendario,MONTH(FebSun1+26)=2),FebSun1+26,""),IF(AND(YEAR(FebSun1+33)=AñoCalendario,MONTH(FebSun1+33)=2),FebSun1+33,""))</f>
        <v>43889</v>
      </c>
      <c r="G13" s="17">
        <f ca="1">IF(DAY(FebSun1)=1,IF(AND(YEAR(FebSun1+27)=AñoCalendario,MONTH(FebSun1+27)=2),FebSun1+27,""),IF(AND(YEAR(FebSun1+34)=AñoCalendario,MONTH(FebSun1+34)=2),FebSun1+34,""))</f>
        <v>43890</v>
      </c>
      <c r="H13" s="17" t="str">
        <f ca="1">IF(DAY(FebSun1)=1,IF(AND(YEAR(FebSun1+28)=AñoCalendario,MONTH(FebSun1+28)=2),FebSun1+28,""),IF(AND(YEAR(FebSun1+35)=AñoCalendario,MONTH(FebSun1+35)=2),FebSun1+35,""))</f>
        <v/>
      </c>
      <c r="I13" s="3"/>
    </row>
    <row r="14" spans="1:18" ht="64.5" customHeight="1" x14ac:dyDescent="0.25">
      <c r="A14"/>
      <c r="B14" s="8"/>
      <c r="C14" s="8"/>
      <c r="D14" s="8"/>
      <c r="E14" s="8"/>
      <c r="F14" s="8"/>
      <c r="G14" s="9"/>
      <c r="H14" s="9"/>
      <c r="I14" s="3"/>
    </row>
    <row r="15" spans="1:18" ht="15" customHeight="1" x14ac:dyDescent="0.25">
      <c r="A15"/>
      <c r="B15" s="18" t="str">
        <f ca="1">IF(DAY(FebSun1)=1,IF(AND(YEAR(FebSun1+29)=AñoCalendario,MONTH(FebSun1+29)=2),FebSun1+29,""),IF(AND(YEAR(FebSun1+36)=AñoCalendario,MONTH(FebSun1+36)=2),FebSun1+36,""))</f>
        <v/>
      </c>
      <c r="C15" s="19" t="str">
        <f ca="1">IF(DAY(FebSun1)=1,IF(AND(YEAR(FebSun1+30)=AñoCalendario,MONTH(FebSun1+30)=2),FebSun1+30,""),IF(AND(YEAR(FebSun1+37)=AñoCalendario,MONTH(FebSun1+37)=2),FebSun1+37,""))</f>
        <v/>
      </c>
      <c r="D15" s="27" t="s">
        <v>3</v>
      </c>
      <c r="E15" s="28"/>
      <c r="F15" s="28"/>
      <c r="G15" s="28"/>
      <c r="H15" s="29"/>
      <c r="I15" s="3"/>
    </row>
    <row r="16" spans="1:18" ht="64.5" customHeight="1" x14ac:dyDescent="0.25">
      <c r="A16"/>
      <c r="B16" s="10"/>
      <c r="C16" s="10"/>
      <c r="D16" s="24"/>
      <c r="E16" s="25"/>
      <c r="F16" s="25"/>
      <c r="G16" s="25"/>
      <c r="H16" s="26"/>
      <c r="I16" s="3"/>
    </row>
    <row r="17" spans="3:5" ht="17.25" customHeight="1" x14ac:dyDescent="0.2"/>
    <row r="19" spans="3:5" ht="21" customHeight="1" x14ac:dyDescent="0.25">
      <c r="C19" s="6"/>
      <c r="D19" s="5"/>
      <c r="E19" s="4"/>
    </row>
    <row r="20" spans="3:5" ht="19.5" customHeight="1" x14ac:dyDescent="0.2"/>
  </sheetData>
  <mergeCells count="3">
    <mergeCell ref="B3:F3"/>
    <mergeCell ref="D15:H15"/>
    <mergeCell ref="D16:H16"/>
  </mergeCells>
  <printOptions horizontalCentered="1" verticalCentered="1"/>
  <pageMargins left="0.2" right="0.2" top="0.25" bottom="0.25" header="0" footer="0"/>
  <pageSetup paperSize="9" scale="98" orientation="landscape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0" tint="-0.249977111117893"/>
    <pageSetUpPr fitToPage="1"/>
  </sheetPr>
  <dimension ref="A1:R20"/>
  <sheetViews>
    <sheetView showGridLines="0" zoomScaleNormal="100" workbookViewId="0"/>
  </sheetViews>
  <sheetFormatPr baseColWidth="10" defaultColWidth="6.6640625" defaultRowHeight="14.25" x14ac:dyDescent="0.2"/>
  <cols>
    <col min="1" max="1" width="3.109375" style="1" customWidth="1"/>
    <col min="2" max="9" width="13.77734375" style="1" customWidth="1"/>
    <col min="10" max="10" width="12.6640625" style="1" customWidth="1"/>
    <col min="11" max="11" width="2.109375" style="1" customWidth="1"/>
    <col min="12" max="12" width="11.77734375" style="1" customWidth="1"/>
    <col min="13" max="13" width="11.33203125" style="1" customWidth="1"/>
    <col min="14" max="16384" width="6.6640625" style="1"/>
  </cols>
  <sheetData>
    <row r="1" spans="1:18" ht="14.25" customHeight="1" x14ac:dyDescent="0.25">
      <c r="A1"/>
    </row>
    <row r="2" spans="1:18" ht="30" customHeight="1" x14ac:dyDescent="0.25">
      <c r="A2"/>
      <c r="B2" s="20"/>
      <c r="C2" s="20"/>
      <c r="D2" s="20"/>
      <c r="E2" s="20"/>
      <c r="F2" s="20"/>
      <c r="G2" s="20"/>
      <c r="H2" s="20"/>
      <c r="I2" s="20"/>
      <c r="J2" s="20"/>
    </row>
    <row r="3" spans="1:18" ht="62.25" customHeight="1" x14ac:dyDescent="0.25">
      <c r="A3"/>
      <c r="B3" s="30" t="str">
        <f ca="1">UPPER(TEXT(DATE(AñoCalendario,3,1),"mmmm"" de ""aaaa"))</f>
        <v>MARZO DE DOMINGO</v>
      </c>
      <c r="C3" s="30"/>
      <c r="D3" s="30"/>
      <c r="E3" s="30"/>
      <c r="F3" s="30"/>
    </row>
    <row r="4" spans="1:18" customFormat="1" ht="26.25" customHeight="1" x14ac:dyDescent="0.25">
      <c r="B4" s="12" t="s">
        <v>0</v>
      </c>
      <c r="C4" s="13" t="s">
        <v>1</v>
      </c>
      <c r="D4" s="13" t="s">
        <v>2</v>
      </c>
      <c r="E4" s="13" t="s">
        <v>4</v>
      </c>
      <c r="F4" s="13" t="s">
        <v>5</v>
      </c>
      <c r="G4" s="13" t="s">
        <v>6</v>
      </c>
      <c r="H4" s="14" t="s">
        <v>7</v>
      </c>
      <c r="I4" s="1"/>
      <c r="J4" s="1"/>
      <c r="L4" s="1"/>
      <c r="M4" s="7"/>
      <c r="Q4" s="1"/>
      <c r="R4" s="1"/>
    </row>
    <row r="5" spans="1:18" customFormat="1" ht="15" customHeight="1" x14ac:dyDescent="0.25">
      <c r="B5" s="15" t="str">
        <f ca="1">IF(DAY(MarSun1)=1,"",IF(AND(YEAR(MarSun1+1)=AñoCalendario,MONTH(MarSun1+1)=3),MarSun1+1,""))</f>
        <v/>
      </c>
      <c r="C5" s="15" t="str">
        <f ca="1">IF(DAY(MarSun1)=1,"",IF(AND(YEAR(MarSun1+2)=AñoCalendario,MONTH(MarSun1+2)=3),MarSun1+2,""))</f>
        <v/>
      </c>
      <c r="D5" s="15" t="str">
        <f ca="1">IF(DAY(MarSun1)=1,"",IF(AND(YEAR(MarSun1+3)=AñoCalendario,MONTH(MarSun1+3)=3),MarSun1+3,""))</f>
        <v/>
      </c>
      <c r="E5" s="15" t="str">
        <f ca="1">IF(DAY(MarSun1)=1,"",IF(AND(YEAR(MarSun1+4)=AñoCalendario,MONTH(MarSun1+4)=3),MarSun1+4,""))</f>
        <v/>
      </c>
      <c r="F5" s="15" t="str">
        <f ca="1">IF(DAY(MarSun1)=1,"",IF(AND(YEAR(MarSun1+5)=AñoCalendario,MONTH(MarSun1+5)=3),MarSun1+5,""))</f>
        <v/>
      </c>
      <c r="G5" s="15" t="str">
        <f ca="1">IF(DAY(MarSun1)=1,"",IF(AND(YEAR(MarSun1+6)=AñoCalendario,MONTH(MarSun1+6)=3),MarSun1+6,""))</f>
        <v/>
      </c>
      <c r="H5" s="15">
        <f ca="1">IF(DAY(MarSun1)=1,IF(AND(YEAR(MarSun1)=AñoCalendario,MONTH(MarSun1)=3),MarSun1,""),IF(AND(YEAR(MarSun1+7)=AñoCalendario,MONTH(MarSun1+7)=3),MarSun1+7,""))</f>
        <v>43891</v>
      </c>
      <c r="I5" s="3"/>
      <c r="K5" s="1"/>
      <c r="L5" s="1"/>
      <c r="M5" s="1"/>
      <c r="Q5" s="2"/>
      <c r="R5" s="1"/>
    </row>
    <row r="6" spans="1:18" s="2" customFormat="1" ht="64.5" customHeight="1" x14ac:dyDescent="0.25">
      <c r="A6"/>
      <c r="B6" s="8"/>
      <c r="C6" s="8"/>
      <c r="D6" s="8"/>
      <c r="E6" s="8"/>
      <c r="F6" s="8"/>
      <c r="G6" s="9"/>
      <c r="H6" s="9"/>
      <c r="I6" s="3"/>
    </row>
    <row r="7" spans="1:18" ht="15" customHeight="1" x14ac:dyDescent="0.25">
      <c r="A7"/>
      <c r="B7" s="16">
        <f ca="1">IF(DAY(MarSun1)=1,IF(AND(YEAR(MarSun1+1)=AñoCalendario,MONTH(MarSun1+1)=3),MarSun1+1,""),IF(AND(YEAR(MarSun1+8)=AñoCalendario,MONTH(MarSun1+8)=3),MarSun1+8,""))</f>
        <v>43892</v>
      </c>
      <c r="C7" s="16">
        <f ca="1">IF(DAY(MarSun1)=1,IF(AND(YEAR(MarSun1+2)=AñoCalendario,MONTH(MarSun1+2)=3),MarSun1+2,""),IF(AND(YEAR(MarSun1+9)=AñoCalendario,MONTH(MarSun1+9)=3),MarSun1+9,""))</f>
        <v>43893</v>
      </c>
      <c r="D7" s="16">
        <f ca="1">IF(DAY(MarSun1)=1,IF(AND(YEAR(MarSun1+3)=AñoCalendario,MONTH(MarSun1+3)=3),MarSun1+3,""),IF(AND(YEAR(MarSun1+10)=AñoCalendario,MONTH(MarSun1+10)=3),MarSun1+10,""))</f>
        <v>43894</v>
      </c>
      <c r="E7" s="16">
        <f ca="1">IF(DAY(MarSun1)=1,IF(AND(YEAR(MarSun1+4)=AñoCalendario,MONTH(MarSun1+4)=3),MarSun1+4,""),IF(AND(YEAR(MarSun1+11)=AñoCalendario,MONTH(MarSun1+11)=3),MarSun1+11,""))</f>
        <v>43895</v>
      </c>
      <c r="F7" s="16">
        <f ca="1">IF(DAY(MarSun1)=1,IF(AND(YEAR(MarSun1+5)=AñoCalendario,MONTH(MarSun1+5)=3),MarSun1+5,""),IF(AND(YEAR(MarSun1+12)=AñoCalendario,MONTH(MarSun1+12)=3),MarSun1+12,""))</f>
        <v>43896</v>
      </c>
      <c r="G7" s="16">
        <f ca="1">IF(DAY(MarSun1)=1,IF(AND(YEAR(MarSun1+6)=AñoCalendario,MONTH(MarSun1+6)=3),MarSun1+6,""),IF(AND(YEAR(MarSun1+13)=AñoCalendario,MONTH(MarSun1+13)=3),MarSun1+13,""))</f>
        <v>43897</v>
      </c>
      <c r="H7" s="16">
        <f ca="1">IF(DAY(MarSun1)=1,IF(AND(YEAR(MarSun1+7)=AñoCalendario,MONTH(MarSun1+7)=3),MarSun1+7,""),IF(AND(YEAR(MarSun1+14)=AñoCalendario,MONTH(MarSun1+14)=3),MarSun1+14,""))</f>
        <v>43898</v>
      </c>
      <c r="I7" s="3"/>
    </row>
    <row r="8" spans="1:18" ht="64.5" customHeight="1" x14ac:dyDescent="0.25">
      <c r="A8"/>
      <c r="B8" s="10"/>
      <c r="C8" s="10"/>
      <c r="D8" s="10"/>
      <c r="E8" s="10"/>
      <c r="F8" s="10"/>
      <c r="G8" s="11"/>
      <c r="H8" s="11"/>
      <c r="I8" s="3"/>
    </row>
    <row r="9" spans="1:18" ht="15" customHeight="1" x14ac:dyDescent="0.25">
      <c r="A9"/>
      <c r="B9" s="17">
        <f ca="1">IF(DAY(MarSun1)=1,IF(AND(YEAR(MarSun1+8)=AñoCalendario,MONTH(MarSun1+8)=3),MarSun1+8,""),IF(AND(YEAR(MarSun1+15)=AñoCalendario,MONTH(MarSun1+15)=3),MarSun1+15,""))</f>
        <v>43899</v>
      </c>
      <c r="C9" s="17">
        <f ca="1">IF(DAY(MarSun1)=1,IF(AND(YEAR(MarSun1+9)=AñoCalendario,MONTH(MarSun1+9)=3),MarSun1+9,""),IF(AND(YEAR(MarSun1+16)=AñoCalendario,MONTH(MarSun1+16)=3),MarSun1+16,""))</f>
        <v>43900</v>
      </c>
      <c r="D9" s="17">
        <f ca="1">IF(DAY(MarSun1)=1,IF(AND(YEAR(MarSun1+10)=AñoCalendario,MONTH(MarSun1+10)=3),MarSun1+10,""),IF(AND(YEAR(MarSun1+17)=AñoCalendario,MONTH(MarSun1+17)=3),MarSun1+17,""))</f>
        <v>43901</v>
      </c>
      <c r="E9" s="17">
        <f ca="1">IF(DAY(MarSun1)=1,IF(AND(YEAR(MarSun1+11)=AñoCalendario,MONTH(MarSun1+11)=3),MarSun1+11,""),IF(AND(YEAR(MarSun1+18)=AñoCalendario,MONTH(MarSun1+18)=3),MarSun1+18,""))</f>
        <v>43902</v>
      </c>
      <c r="F9" s="17">
        <f ca="1">IF(DAY(MarSun1)=1,IF(AND(YEAR(MarSun1+12)=AñoCalendario,MONTH(MarSun1+12)=3),MarSun1+12,""),IF(AND(YEAR(MarSun1+19)=AñoCalendario,MONTH(MarSun1+19)=3),MarSun1+19,""))</f>
        <v>43903</v>
      </c>
      <c r="G9" s="17">
        <f ca="1">IF(DAY(MarSun1)=1,IF(AND(YEAR(MarSun1+13)=AñoCalendario,MONTH(MarSun1+13)=3),MarSun1+13,""),IF(AND(YEAR(MarSun1+20)=AñoCalendario,MONTH(MarSun1+20)=3),MarSun1+20,""))</f>
        <v>43904</v>
      </c>
      <c r="H9" s="17">
        <f ca="1">IF(DAY(MarSun1)=1,IF(AND(YEAR(MarSun1+14)=AñoCalendario,MONTH(MarSun1+14)=3),MarSun1+14,""),IF(AND(YEAR(MarSun1+21)=AñoCalendario,MONTH(MarSun1+21)=3),MarSun1+21,""))</f>
        <v>43905</v>
      </c>
      <c r="I9" s="3"/>
    </row>
    <row r="10" spans="1:18" ht="64.5" customHeight="1" x14ac:dyDescent="0.25">
      <c r="A10"/>
      <c r="B10" s="8"/>
      <c r="C10" s="8"/>
      <c r="D10" s="8"/>
      <c r="E10" s="8"/>
      <c r="F10" s="8"/>
      <c r="G10" s="9"/>
      <c r="H10" s="9"/>
      <c r="I10" s="3"/>
    </row>
    <row r="11" spans="1:18" ht="15" customHeight="1" x14ac:dyDescent="0.25">
      <c r="A11"/>
      <c r="B11" s="18">
        <f ca="1">IF(DAY(MarSun1)=1,IF(AND(YEAR(MarSun1+15)=AñoCalendario,MONTH(MarSun1+15)=3),MarSun1+15,""),IF(AND(YEAR(MarSun1+22)=AñoCalendario,MONTH(MarSun1+22)=3),MarSun1+22,""))</f>
        <v>43906</v>
      </c>
      <c r="C11" s="18">
        <f ca="1">IF(DAY(MarSun1)=1,IF(AND(YEAR(MarSun1+16)=AñoCalendario,MONTH(MarSun1+16)=3),MarSun1+16,""),IF(AND(YEAR(MarSun1+23)=AñoCalendario,MONTH(MarSun1+23)=3),MarSun1+23,""))</f>
        <v>43907</v>
      </c>
      <c r="D11" s="18">
        <f ca="1">IF(DAY(MarSun1)=1,IF(AND(YEAR(MarSun1+17)=AñoCalendario,MONTH(MarSun1+17)=3),MarSun1+17,""),IF(AND(YEAR(MarSun1+24)=AñoCalendario,MONTH(MarSun1+24)=3),MarSun1+24,""))</f>
        <v>43908</v>
      </c>
      <c r="E11" s="18">
        <f ca="1">IF(DAY(MarSun1)=1,IF(AND(YEAR(MarSun1+18)=AñoCalendario,MONTH(MarSun1+18)=3),MarSun1+18,""),IF(AND(YEAR(MarSun1+25)=AñoCalendario,MONTH(MarSun1+25)=3),MarSun1+25,""))</f>
        <v>43909</v>
      </c>
      <c r="F11" s="18">
        <f ca="1">IF(DAY(MarSun1)=1,IF(AND(YEAR(MarSun1+19)=AñoCalendario,MONTH(MarSun1+19)=3),MarSun1+19,""),IF(AND(YEAR(MarSun1+26)=AñoCalendario,MONTH(MarSun1+26)=3),MarSun1+26,""))</f>
        <v>43910</v>
      </c>
      <c r="G11" s="18">
        <f ca="1">IF(DAY(MarSun1)=1,IF(AND(YEAR(MarSun1+20)=AñoCalendario,MONTH(MarSun1+20)=3),MarSun1+20,""),IF(AND(YEAR(MarSun1+27)=AñoCalendario,MONTH(MarSun1+27)=3),MarSun1+27,""))</f>
        <v>43911</v>
      </c>
      <c r="H11" s="18">
        <f ca="1">IF(DAY(MarSun1)=1,IF(AND(YEAR(MarSun1+21)=AñoCalendario,MONTH(MarSun1+21)=3),MarSun1+21,""),IF(AND(YEAR(MarSun1+28)=AñoCalendario,MONTH(MarSun1+28)=3),MarSun1+28,""))</f>
        <v>43912</v>
      </c>
      <c r="I11" s="3"/>
    </row>
    <row r="12" spans="1:18" ht="64.5" customHeight="1" x14ac:dyDescent="0.25">
      <c r="A12"/>
      <c r="B12" s="10"/>
      <c r="C12" s="10"/>
      <c r="D12" s="10"/>
      <c r="E12" s="10"/>
      <c r="F12" s="10"/>
      <c r="G12" s="11"/>
      <c r="H12" s="11"/>
      <c r="I12" s="3"/>
    </row>
    <row r="13" spans="1:18" ht="15" customHeight="1" x14ac:dyDescent="0.25">
      <c r="A13"/>
      <c r="B13" s="17">
        <f ca="1">IF(DAY(MarSun1)=1,IF(AND(YEAR(MarSun1+22)=AñoCalendario,MONTH(MarSun1+22)=3),MarSun1+22,""),IF(AND(YEAR(MarSun1+29)=AñoCalendario,MONTH(MarSun1+29)=3),MarSun1+29,""))</f>
        <v>43913</v>
      </c>
      <c r="C13" s="17">
        <f ca="1">IF(DAY(MarSun1)=1,IF(AND(YEAR(MarSun1+23)=AñoCalendario,MONTH(MarSun1+23)=3),MarSun1+23,""),IF(AND(YEAR(MarSun1+30)=AñoCalendario,MONTH(MarSun1+30)=3),MarSun1+30,""))</f>
        <v>43914</v>
      </c>
      <c r="D13" s="17">
        <f ca="1">IF(DAY(MarSun1)=1,IF(AND(YEAR(MarSun1+24)=AñoCalendario,MONTH(MarSun1+24)=3),MarSun1+24,""),IF(AND(YEAR(MarSun1+31)=AñoCalendario,MONTH(MarSun1+31)=3),MarSun1+31,""))</f>
        <v>43915</v>
      </c>
      <c r="E13" s="17">
        <f ca="1">IF(DAY(MarSun1)=1,IF(AND(YEAR(MarSun1+25)=AñoCalendario,MONTH(MarSun1+25)=3),MarSun1+25,""),IF(AND(YEAR(MarSun1+32)=AñoCalendario,MONTH(MarSun1+32)=3),MarSun1+32,""))</f>
        <v>43916</v>
      </c>
      <c r="F13" s="17">
        <f ca="1">IF(DAY(MarSun1)=1,IF(AND(YEAR(MarSun1+26)=AñoCalendario,MONTH(MarSun1+26)=3),MarSun1+26,""),IF(AND(YEAR(MarSun1+33)=AñoCalendario,MONTH(MarSun1+33)=3),MarSun1+33,""))</f>
        <v>43917</v>
      </c>
      <c r="G13" s="17">
        <f ca="1">IF(DAY(MarSun1)=1,IF(AND(YEAR(MarSun1+27)=AñoCalendario,MONTH(MarSun1+27)=3),MarSun1+27,""),IF(AND(YEAR(MarSun1+34)=AñoCalendario,MONTH(MarSun1+34)=3),MarSun1+34,""))</f>
        <v>43918</v>
      </c>
      <c r="H13" s="17">
        <f ca="1">IF(DAY(MarSun1)=1,IF(AND(YEAR(MarSun1+28)=AñoCalendario,MONTH(MarSun1+28)=3),MarSun1+28,""),IF(AND(YEAR(MarSun1+35)=AñoCalendario,MONTH(MarSun1+35)=3),MarSun1+35,""))</f>
        <v>43919</v>
      </c>
      <c r="I13" s="3"/>
    </row>
    <row r="14" spans="1:18" ht="64.5" customHeight="1" x14ac:dyDescent="0.25">
      <c r="A14"/>
      <c r="B14" s="8"/>
      <c r="C14" s="8"/>
      <c r="D14" s="8"/>
      <c r="E14" s="8"/>
      <c r="F14" s="8"/>
      <c r="G14" s="9"/>
      <c r="H14" s="9"/>
      <c r="I14" s="3"/>
    </row>
    <row r="15" spans="1:18" ht="15" customHeight="1" x14ac:dyDescent="0.25">
      <c r="A15"/>
      <c r="B15" s="18">
        <f ca="1">IF(DAY(MarSun1)=1,IF(AND(YEAR(MarSun1+29)=AñoCalendario,MONTH(MarSun1+29)=3),MarSun1+29,""),IF(AND(YEAR(MarSun1+36)=AñoCalendario,MONTH(MarSun1+36)=3),MarSun1+36,""))</f>
        <v>43920</v>
      </c>
      <c r="C15" s="19">
        <f ca="1">IF(DAY(MarSun1)=1,IF(AND(YEAR(MarSun1+30)=AñoCalendario,MONTH(MarSun1+30)=3),MarSun1+30,""),IF(AND(YEAR(MarSun1+37)=AñoCalendario,MONTH(MarSun1+37)=3),MarSun1+37,""))</f>
        <v>43921</v>
      </c>
      <c r="D15" s="27" t="s">
        <v>3</v>
      </c>
      <c r="E15" s="28"/>
      <c r="F15" s="28"/>
      <c r="G15" s="28"/>
      <c r="H15" s="29"/>
      <c r="I15" s="3"/>
    </row>
    <row r="16" spans="1:18" ht="64.5" customHeight="1" x14ac:dyDescent="0.25">
      <c r="A16"/>
      <c r="B16" s="10"/>
      <c r="C16" s="10"/>
      <c r="D16" s="24"/>
      <c r="E16" s="25"/>
      <c r="F16" s="25"/>
      <c r="G16" s="25"/>
      <c r="H16" s="26"/>
      <c r="I16" s="3"/>
    </row>
    <row r="17" spans="3:5" ht="17.25" customHeight="1" x14ac:dyDescent="0.2"/>
    <row r="19" spans="3:5" ht="21" customHeight="1" x14ac:dyDescent="0.25">
      <c r="C19" s="6"/>
      <c r="D19" s="5"/>
      <c r="E19" s="4"/>
    </row>
    <row r="20" spans="3:5" ht="19.5" customHeight="1" x14ac:dyDescent="0.2"/>
  </sheetData>
  <mergeCells count="3">
    <mergeCell ref="B3:F3"/>
    <mergeCell ref="D15:H15"/>
    <mergeCell ref="D16:H16"/>
  </mergeCells>
  <printOptions horizontalCentered="1" verticalCentered="1"/>
  <pageMargins left="0.2" right="0.2" top="0.25" bottom="0.25" header="0" footer="0"/>
  <pageSetup paperSize="9" scale="98" orientation="landscape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0" tint="-0.14999847407452621"/>
    <pageSetUpPr fitToPage="1"/>
  </sheetPr>
  <dimension ref="A1:R20"/>
  <sheetViews>
    <sheetView showGridLines="0" zoomScaleNormal="100" workbookViewId="0"/>
  </sheetViews>
  <sheetFormatPr baseColWidth="10" defaultColWidth="6.6640625" defaultRowHeight="14.25" x14ac:dyDescent="0.2"/>
  <cols>
    <col min="1" max="1" width="3.109375" style="1" customWidth="1"/>
    <col min="2" max="9" width="13.77734375" style="1" customWidth="1"/>
    <col min="10" max="10" width="12.6640625" style="1" customWidth="1"/>
    <col min="11" max="11" width="2.109375" style="1" customWidth="1"/>
    <col min="12" max="12" width="11.77734375" style="1" customWidth="1"/>
    <col min="13" max="13" width="11.33203125" style="1" customWidth="1"/>
    <col min="14" max="16384" width="6.6640625" style="1"/>
  </cols>
  <sheetData>
    <row r="1" spans="1:18" ht="14.25" customHeight="1" x14ac:dyDescent="0.25">
      <c r="A1"/>
    </row>
    <row r="2" spans="1:18" ht="30" customHeight="1" x14ac:dyDescent="0.25">
      <c r="A2"/>
      <c r="B2" s="20"/>
      <c r="C2" s="20"/>
      <c r="D2" s="20"/>
      <c r="E2" s="20"/>
      <c r="F2" s="20"/>
      <c r="G2" s="20"/>
      <c r="H2" s="20"/>
      <c r="I2" s="20"/>
      <c r="J2" s="20"/>
    </row>
    <row r="3" spans="1:18" ht="62.25" customHeight="1" x14ac:dyDescent="0.25">
      <c r="A3"/>
      <c r="B3" s="30" t="str">
        <f ca="1">UPPER(TEXT(DATE(AñoCalendario,4,1),"mmmm"" de ""aaaa"))</f>
        <v>ABRIL DE MIÉRCOLES</v>
      </c>
      <c r="C3" s="30"/>
      <c r="D3" s="30"/>
      <c r="E3" s="30"/>
      <c r="F3" s="30"/>
    </row>
    <row r="4" spans="1:18" customFormat="1" ht="26.25" customHeight="1" x14ac:dyDescent="0.25">
      <c r="B4" s="12" t="s">
        <v>0</v>
      </c>
      <c r="C4" s="13" t="s">
        <v>1</v>
      </c>
      <c r="D4" s="13" t="s">
        <v>2</v>
      </c>
      <c r="E4" s="13" t="s">
        <v>4</v>
      </c>
      <c r="F4" s="13" t="s">
        <v>5</v>
      </c>
      <c r="G4" s="13" t="s">
        <v>6</v>
      </c>
      <c r="H4" s="14" t="s">
        <v>7</v>
      </c>
      <c r="I4" s="1"/>
      <c r="J4" s="1"/>
      <c r="L4" s="1"/>
      <c r="M4" s="7"/>
      <c r="Q4" s="1"/>
      <c r="R4" s="1"/>
    </row>
    <row r="5" spans="1:18" customFormat="1" ht="15" customHeight="1" x14ac:dyDescent="0.25">
      <c r="B5" s="15" t="str">
        <f ca="1">IF(DAY(AbrDom1)=1,"",IF(AND(YEAR(AbrDom1+1)=AñoCalendario,MONTH(AbrDom1+1)=4),AbrDom1+1,""))</f>
        <v/>
      </c>
      <c r="C5" s="15" t="str">
        <f ca="1">IF(DAY(AbrDom1)=1,"",IF(AND(YEAR(AbrDom1+2)=AñoCalendario,MONTH(AbrDom1+2)=4),AbrDom1+2,""))</f>
        <v/>
      </c>
      <c r="D5" s="15">
        <f ca="1">IF(DAY(AbrDom1)=1,"",IF(AND(YEAR(AbrDom1+3)=AñoCalendario,MONTH(AbrDom1+3)=4),AbrDom1+3,""))</f>
        <v>43922</v>
      </c>
      <c r="E5" s="15">
        <f ca="1">IF(DAY(AbrDom1)=1,"",IF(AND(YEAR(AbrDom1+4)=AñoCalendario,MONTH(AbrDom1+4)=4),AbrDom1+4,""))</f>
        <v>43923</v>
      </c>
      <c r="F5" s="15">
        <f ca="1">IF(DAY(AbrDom1)=1,"",IF(AND(YEAR(AbrDom1+5)=AñoCalendario,MONTH(AbrDom1+5)=4),AbrDom1+5,""))</f>
        <v>43924</v>
      </c>
      <c r="G5" s="15">
        <f ca="1">IF(DAY(AbrDom1)=1,"",IF(AND(YEAR(AbrDom1+6)=AñoCalendario,MONTH(AbrDom1+6)=4),AbrDom1+6,""))</f>
        <v>43925</v>
      </c>
      <c r="H5" s="15">
        <f ca="1">IF(DAY(AbrDom1)=1,IF(AND(YEAR(AbrDom1)=AñoCalendario,MONTH(AbrDom1)=4),AbrDom1,""),IF(AND(YEAR(AbrDom1+7)=AñoCalendario,MONTH(AbrDom1+7)=4),AbrDom1+7,""))</f>
        <v>43926</v>
      </c>
      <c r="I5" s="3"/>
      <c r="K5" s="1"/>
      <c r="L5" s="1"/>
      <c r="M5" s="1"/>
      <c r="Q5" s="2"/>
      <c r="R5" s="1"/>
    </row>
    <row r="6" spans="1:18" s="2" customFormat="1" ht="64.5" customHeight="1" x14ac:dyDescent="0.25">
      <c r="A6"/>
      <c r="B6" s="8"/>
      <c r="C6" s="8"/>
      <c r="D6" s="8"/>
      <c r="E6" s="8"/>
      <c r="F6" s="8"/>
      <c r="G6" s="9"/>
      <c r="H6" s="9"/>
      <c r="I6" s="3"/>
    </row>
    <row r="7" spans="1:18" ht="15" customHeight="1" x14ac:dyDescent="0.25">
      <c r="A7"/>
      <c r="B7" s="16">
        <f ca="1">IF(DAY(AbrDom1)=1,IF(AND(YEAR(AbrDom1+1)=AñoCalendario,MONTH(AbrDom1+1)=4),AbrDom1+1,""),IF(AND(YEAR(AbrDom1+8)=AñoCalendario,MONTH(AbrDom1+8)=4),AbrDom1+8,""))</f>
        <v>43927</v>
      </c>
      <c r="C7" s="16">
        <f ca="1">IF(DAY(AbrDom1)=1,IF(AND(YEAR(AbrDom1+2)=AñoCalendario,MONTH(AbrDom1+2)=4),AbrDom1+2,""),IF(AND(YEAR(AbrDom1+9)=AñoCalendario,MONTH(AbrDom1+9)=4),AbrDom1+9,""))</f>
        <v>43928</v>
      </c>
      <c r="D7" s="16">
        <f ca="1">IF(DAY(AbrDom1)=1,IF(AND(YEAR(AbrDom1+3)=AñoCalendario,MONTH(AbrDom1+3)=4),AbrDom1+3,""),IF(AND(YEAR(AbrDom1+10)=AñoCalendario,MONTH(AbrDom1+10)=4),AbrDom1+10,""))</f>
        <v>43929</v>
      </c>
      <c r="E7" s="16">
        <f ca="1">IF(DAY(AbrDom1)=1,IF(AND(YEAR(AbrDom1+4)=AñoCalendario,MONTH(AbrDom1+4)=4),AbrDom1+4,""),IF(AND(YEAR(AbrDom1+11)=AñoCalendario,MONTH(AbrDom1+11)=4),AbrDom1+11,""))</f>
        <v>43930</v>
      </c>
      <c r="F7" s="16">
        <f ca="1">IF(DAY(AbrDom1)=1,IF(AND(YEAR(AbrDom1+5)=AñoCalendario,MONTH(AbrDom1+5)=4),AbrDom1+5,""),IF(AND(YEAR(AbrDom1+12)=AñoCalendario,MONTH(AbrDom1+12)=4),AbrDom1+12,""))</f>
        <v>43931</v>
      </c>
      <c r="G7" s="16">
        <f ca="1">IF(DAY(AbrDom1)=1,IF(AND(YEAR(AbrDom1+6)=AñoCalendario,MONTH(AbrDom1+6)=4),AbrDom1+6,""),IF(AND(YEAR(AbrDom1+13)=AñoCalendario,MONTH(AbrDom1+13)=4),AbrDom1+13,""))</f>
        <v>43932</v>
      </c>
      <c r="H7" s="16">
        <f ca="1">IF(DAY(AbrDom1)=1,IF(AND(YEAR(AbrDom1+7)=AñoCalendario,MONTH(AbrDom1+7)=4),AbrDom1+7,""),IF(AND(YEAR(AbrDom1+14)=AñoCalendario,MONTH(AbrDom1+14)=4),AbrDom1+14,""))</f>
        <v>43933</v>
      </c>
      <c r="I7" s="3"/>
    </row>
    <row r="8" spans="1:18" ht="64.5" customHeight="1" x14ac:dyDescent="0.25">
      <c r="A8"/>
      <c r="B8" s="10"/>
      <c r="C8" s="10"/>
      <c r="D8" s="10"/>
      <c r="E8" s="10"/>
      <c r="F8" s="10"/>
      <c r="G8" s="11"/>
      <c r="H8" s="11"/>
      <c r="I8" s="3"/>
    </row>
    <row r="9" spans="1:18" ht="15" customHeight="1" x14ac:dyDescent="0.25">
      <c r="A9"/>
      <c r="B9" s="17">
        <f ca="1">IF(DAY(AbrDom1)=1,IF(AND(YEAR(AbrDom1+8)=AñoCalendario,MONTH(AbrDom1+8)=4),AbrDom1+8,""),IF(AND(YEAR(AbrDom1+15)=AñoCalendario,MONTH(AbrDom1+15)=4),AbrDom1+15,""))</f>
        <v>43934</v>
      </c>
      <c r="C9" s="17">
        <f ca="1">IF(DAY(AbrDom1)=1,IF(AND(YEAR(AbrDom1+9)=AñoCalendario,MONTH(AbrDom1+9)=4),AbrDom1+9,""),IF(AND(YEAR(AbrDom1+16)=AñoCalendario,MONTH(AbrDom1+16)=4),AbrDom1+16,""))</f>
        <v>43935</v>
      </c>
      <c r="D9" s="17">
        <f ca="1">IF(DAY(AbrDom1)=1,IF(AND(YEAR(AbrDom1+10)=AñoCalendario,MONTH(AbrDom1+10)=4),AbrDom1+10,""),IF(AND(YEAR(AbrDom1+17)=AñoCalendario,MONTH(AbrDom1+17)=4),AbrDom1+17,""))</f>
        <v>43936</v>
      </c>
      <c r="E9" s="17">
        <f ca="1">IF(DAY(AbrDom1)=1,IF(AND(YEAR(AbrDom1+11)=AñoCalendario,MONTH(AbrDom1+11)=4),AbrDom1+11,""),IF(AND(YEAR(AbrDom1+18)=AñoCalendario,MONTH(AbrDom1+18)=4),AbrDom1+18,""))</f>
        <v>43937</v>
      </c>
      <c r="F9" s="17">
        <f ca="1">IF(DAY(AbrDom1)=1,IF(AND(YEAR(AbrDom1+12)=AñoCalendario,MONTH(AbrDom1+12)=4),AbrDom1+12,""),IF(AND(YEAR(AbrDom1+19)=AñoCalendario,MONTH(AbrDom1+19)=4),AbrDom1+19,""))</f>
        <v>43938</v>
      </c>
      <c r="G9" s="17">
        <f ca="1">IF(DAY(AbrDom1)=1,IF(AND(YEAR(AbrDom1+13)=AñoCalendario,MONTH(AbrDom1+13)=4),AbrDom1+13,""),IF(AND(YEAR(AbrDom1+20)=AñoCalendario,MONTH(AbrDom1+20)=4),AbrDom1+20,""))</f>
        <v>43939</v>
      </c>
      <c r="H9" s="17">
        <f ca="1">IF(DAY(AbrDom1)=1,IF(AND(YEAR(AbrDom1+14)=AñoCalendario,MONTH(AbrDom1+14)=4),AbrDom1+14,""),IF(AND(YEAR(AbrDom1+21)=AñoCalendario,MONTH(AbrDom1+21)=4),AbrDom1+21,""))</f>
        <v>43940</v>
      </c>
      <c r="I9" s="3"/>
    </row>
    <row r="10" spans="1:18" ht="64.5" customHeight="1" x14ac:dyDescent="0.25">
      <c r="A10"/>
      <c r="B10" s="8"/>
      <c r="C10" s="8"/>
      <c r="D10" s="8"/>
      <c r="E10" s="8"/>
      <c r="F10" s="8"/>
      <c r="G10" s="9"/>
      <c r="H10" s="9"/>
      <c r="I10" s="3"/>
    </row>
    <row r="11" spans="1:18" ht="15" customHeight="1" x14ac:dyDescent="0.25">
      <c r="A11"/>
      <c r="B11" s="18">
        <f ca="1">IF(DAY(AbrDom1)=1,IF(AND(YEAR(AbrDom1+15)=AñoCalendario,MONTH(AbrDom1+15)=4),AbrDom1+15,""),IF(AND(YEAR(AbrDom1+22)=AñoCalendario,MONTH(AbrDom1+22)=4),AbrDom1+22,""))</f>
        <v>43941</v>
      </c>
      <c r="C11" s="18">
        <f ca="1">IF(DAY(AbrDom1)=1,IF(AND(YEAR(AbrDom1+16)=AñoCalendario,MONTH(AbrDom1+16)=4),AbrDom1+16,""),IF(AND(YEAR(AbrDom1+23)=AñoCalendario,MONTH(AbrDom1+23)=4),AbrDom1+23,""))</f>
        <v>43942</v>
      </c>
      <c r="D11" s="18">
        <f ca="1">IF(DAY(AbrDom1)=1,IF(AND(YEAR(AbrDom1+17)=AñoCalendario,MONTH(AbrDom1+17)=4),AbrDom1+17,""),IF(AND(YEAR(AbrDom1+24)=AñoCalendario,MONTH(AbrDom1+24)=4),AbrDom1+24,""))</f>
        <v>43943</v>
      </c>
      <c r="E11" s="18">
        <f ca="1">IF(DAY(AbrDom1)=1,IF(AND(YEAR(AbrDom1+18)=AñoCalendario,MONTH(AbrDom1+18)=4),AbrDom1+18,""),IF(AND(YEAR(AbrDom1+25)=AñoCalendario,MONTH(AbrDom1+25)=4),AbrDom1+25,""))</f>
        <v>43944</v>
      </c>
      <c r="F11" s="18">
        <f ca="1">IF(DAY(AbrDom1)=1,IF(AND(YEAR(AbrDom1+19)=AñoCalendario,MONTH(AbrDom1+19)=4),AbrDom1+19,""),IF(AND(YEAR(AbrDom1+26)=AñoCalendario,MONTH(AbrDom1+26)=4),AbrDom1+26,""))</f>
        <v>43945</v>
      </c>
      <c r="G11" s="18">
        <f ca="1">IF(DAY(AbrDom1)=1,IF(AND(YEAR(AbrDom1+20)=AñoCalendario,MONTH(AbrDom1+20)=4),AbrDom1+20,""),IF(AND(YEAR(AbrDom1+27)=AñoCalendario,MONTH(AbrDom1+27)=4),AbrDom1+27,""))</f>
        <v>43946</v>
      </c>
      <c r="H11" s="18">
        <f ca="1">IF(DAY(AbrDom1)=1,IF(AND(YEAR(AbrDom1+21)=AñoCalendario,MONTH(AbrDom1+21)=4),AbrDom1+21,""),IF(AND(YEAR(AbrDom1+28)=AñoCalendario,MONTH(AbrDom1+28)=4),AbrDom1+28,""))</f>
        <v>43947</v>
      </c>
      <c r="I11" s="3"/>
    </row>
    <row r="12" spans="1:18" ht="64.5" customHeight="1" x14ac:dyDescent="0.25">
      <c r="A12"/>
      <c r="B12" s="10"/>
      <c r="C12" s="10"/>
      <c r="D12" s="10"/>
      <c r="E12" s="10"/>
      <c r="F12" s="10"/>
      <c r="G12" s="11"/>
      <c r="H12" s="11"/>
      <c r="I12" s="3"/>
    </row>
    <row r="13" spans="1:18" ht="15" customHeight="1" x14ac:dyDescent="0.25">
      <c r="A13"/>
      <c r="B13" s="17">
        <f ca="1">IF(DAY(AbrDom1)=1,IF(AND(YEAR(AbrDom1+22)=AñoCalendario,MONTH(AbrDom1+22)=4),AbrDom1+22,""),IF(AND(YEAR(AbrDom1+29)=AñoCalendario,MONTH(AbrDom1+29)=4),AbrDom1+29,""))</f>
        <v>43948</v>
      </c>
      <c r="C13" s="17">
        <f ca="1">IF(DAY(AbrDom1)=1,IF(AND(YEAR(AbrDom1+23)=AñoCalendario,MONTH(AbrDom1+23)=4),AbrDom1+23,""),IF(AND(YEAR(AbrDom1+30)=AñoCalendario,MONTH(AbrDom1+30)=4),AbrDom1+30,""))</f>
        <v>43949</v>
      </c>
      <c r="D13" s="17">
        <f ca="1">IF(DAY(AbrDom1)=1,IF(AND(YEAR(AbrDom1+24)=AñoCalendario,MONTH(AbrDom1+24)=4),AbrDom1+24,""),IF(AND(YEAR(AbrDom1+31)=AñoCalendario,MONTH(AbrDom1+31)=4),AbrDom1+31,""))</f>
        <v>43950</v>
      </c>
      <c r="E13" s="17">
        <f ca="1">IF(DAY(AbrDom1)=1,IF(AND(YEAR(AbrDom1+25)=AñoCalendario,MONTH(AbrDom1+25)=4),AbrDom1+25,""),IF(AND(YEAR(AbrDom1+32)=AñoCalendario,MONTH(AbrDom1+32)=4),AbrDom1+32,""))</f>
        <v>43951</v>
      </c>
      <c r="F13" s="17" t="str">
        <f ca="1">IF(DAY(AbrDom1)=1,IF(AND(YEAR(AbrDom1+26)=AñoCalendario,MONTH(AbrDom1+26)=4),AbrDom1+26,""),IF(AND(YEAR(AbrDom1+33)=AñoCalendario,MONTH(AbrDom1+33)=4),AbrDom1+33,""))</f>
        <v/>
      </c>
      <c r="G13" s="17" t="str">
        <f ca="1">IF(DAY(AbrDom1)=1,IF(AND(YEAR(AbrDom1+27)=AñoCalendario,MONTH(AbrDom1+27)=4),AbrDom1+27,""),IF(AND(YEAR(AbrDom1+34)=AñoCalendario,MONTH(AbrDom1+34)=4),AbrDom1+34,""))</f>
        <v/>
      </c>
      <c r="H13" s="17" t="str">
        <f ca="1">IF(DAY(AbrDom1)=1,IF(AND(YEAR(AbrDom1+28)=AñoCalendario,MONTH(AbrDom1+28)=4),AbrDom1+28,""),IF(AND(YEAR(AbrDom1+35)=AñoCalendario,MONTH(AbrDom1+35)=4),AbrDom1+35,""))</f>
        <v/>
      </c>
      <c r="I13" s="3"/>
    </row>
    <row r="14" spans="1:18" ht="64.5" customHeight="1" x14ac:dyDescent="0.25">
      <c r="A14"/>
      <c r="B14" s="8"/>
      <c r="C14" s="8"/>
      <c r="D14" s="8"/>
      <c r="E14" s="8"/>
      <c r="F14" s="8"/>
      <c r="G14" s="9"/>
      <c r="H14" s="9"/>
      <c r="I14" s="3"/>
    </row>
    <row r="15" spans="1:18" ht="15" customHeight="1" x14ac:dyDescent="0.25">
      <c r="A15"/>
      <c r="B15" s="18" t="str">
        <f ca="1">IF(DAY(AbrDom1)=1,IF(AND(YEAR(AbrDom1+29)=AñoCalendario,MONTH(AbrDom1+29)=4),AbrDom1+29,""),IF(AND(YEAR(AbrDom1+36)=AñoCalendario,MONTH(AbrDom1+36)=4),AbrDom1+36,""))</f>
        <v/>
      </c>
      <c r="C15" s="19" t="str">
        <f ca="1">IF(DAY(AbrDom1)=1,IF(AND(YEAR(AbrDom1+30)=AñoCalendario,MONTH(AbrDom1+30)=4),AbrDom1+30,""),IF(AND(YEAR(AbrDom1+37)=AñoCalendario,MONTH(AbrDom1+37)=4),AbrDom1+37,""))</f>
        <v/>
      </c>
      <c r="D15" s="27" t="s">
        <v>3</v>
      </c>
      <c r="E15" s="28"/>
      <c r="F15" s="28"/>
      <c r="G15" s="28"/>
      <c r="H15" s="29"/>
      <c r="I15" s="3"/>
    </row>
    <row r="16" spans="1:18" ht="64.5" customHeight="1" x14ac:dyDescent="0.25">
      <c r="A16"/>
      <c r="B16" s="10"/>
      <c r="C16" s="10"/>
      <c r="D16" s="24"/>
      <c r="E16" s="25"/>
      <c r="F16" s="25"/>
      <c r="G16" s="25"/>
      <c r="H16" s="26"/>
      <c r="I16" s="3"/>
    </row>
    <row r="17" spans="3:5" ht="17.25" customHeight="1" x14ac:dyDescent="0.2"/>
    <row r="19" spans="3:5" ht="21" customHeight="1" x14ac:dyDescent="0.25">
      <c r="C19" s="6"/>
      <c r="D19" s="5"/>
      <c r="E19" s="4"/>
    </row>
    <row r="20" spans="3:5" ht="19.5" customHeight="1" x14ac:dyDescent="0.2"/>
  </sheetData>
  <mergeCells count="3">
    <mergeCell ref="B3:F3"/>
    <mergeCell ref="D15:H15"/>
    <mergeCell ref="D16:H16"/>
  </mergeCells>
  <printOptions horizontalCentered="1" verticalCentered="1"/>
  <pageMargins left="0.2" right="0.2" top="0.25" bottom="0.25" header="0" footer="0"/>
  <pageSetup paperSize="9" scale="98" orientation="landscape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 tint="-4.9989318521683403E-2"/>
    <pageSetUpPr fitToPage="1"/>
  </sheetPr>
  <dimension ref="A1:R20"/>
  <sheetViews>
    <sheetView showGridLines="0" zoomScaleNormal="100" workbookViewId="0"/>
  </sheetViews>
  <sheetFormatPr baseColWidth="10" defaultColWidth="6.6640625" defaultRowHeight="14.25" x14ac:dyDescent="0.2"/>
  <cols>
    <col min="1" max="1" width="3.109375" style="1" customWidth="1"/>
    <col min="2" max="9" width="13.77734375" style="1" customWidth="1"/>
    <col min="10" max="10" width="12.6640625" style="1" customWidth="1"/>
    <col min="11" max="11" width="2.109375" style="1" customWidth="1"/>
    <col min="12" max="12" width="11.77734375" style="1" customWidth="1"/>
    <col min="13" max="13" width="11.33203125" style="1" customWidth="1"/>
    <col min="14" max="16384" width="6.6640625" style="1"/>
  </cols>
  <sheetData>
    <row r="1" spans="1:18" ht="14.25" customHeight="1" x14ac:dyDescent="0.25">
      <c r="A1"/>
    </row>
    <row r="2" spans="1:18" ht="30" customHeight="1" x14ac:dyDescent="0.25">
      <c r="A2"/>
      <c r="B2" s="20"/>
      <c r="C2" s="20"/>
      <c r="D2" s="20"/>
      <c r="E2" s="20"/>
      <c r="F2" s="20"/>
      <c r="G2" s="20"/>
      <c r="H2" s="20"/>
      <c r="I2" s="20"/>
      <c r="J2" s="20"/>
    </row>
    <row r="3" spans="1:18" ht="62.25" customHeight="1" x14ac:dyDescent="0.25">
      <c r="A3"/>
      <c r="B3" s="30" t="str">
        <f ca="1">UPPER(TEXT(DATE(AñoCalendario,5,1),"mmmm"" de ""aaaa"))</f>
        <v>MAYO DE VIERNES</v>
      </c>
      <c r="C3" s="30"/>
      <c r="D3" s="30"/>
      <c r="E3" s="30"/>
      <c r="F3" s="30"/>
    </row>
    <row r="4" spans="1:18" customFormat="1" ht="26.25" customHeight="1" x14ac:dyDescent="0.25">
      <c r="B4" s="12" t="s">
        <v>0</v>
      </c>
      <c r="C4" s="13" t="s">
        <v>1</v>
      </c>
      <c r="D4" s="13" t="s">
        <v>2</v>
      </c>
      <c r="E4" s="13" t="s">
        <v>4</v>
      </c>
      <c r="F4" s="13" t="s">
        <v>5</v>
      </c>
      <c r="G4" s="13" t="s">
        <v>6</v>
      </c>
      <c r="H4" s="14" t="s">
        <v>7</v>
      </c>
      <c r="I4" s="1"/>
      <c r="J4" s="1"/>
      <c r="L4" s="1"/>
      <c r="M4" s="7"/>
      <c r="Q4" s="1"/>
      <c r="R4" s="1"/>
    </row>
    <row r="5" spans="1:18" customFormat="1" ht="15" customHeight="1" x14ac:dyDescent="0.25">
      <c r="B5" s="15" t="str">
        <f ca="1">IF(DAY(MaySun1)=1,"",IF(AND(YEAR(MaySun1+1)=AñoCalendario,MONTH(MaySun1+1)=5),MaySun1+1,""))</f>
        <v/>
      </c>
      <c r="C5" s="15" t="str">
        <f ca="1">IF(DAY(MaySun1)=1,"",IF(AND(YEAR(MaySun1+2)=AñoCalendario,MONTH(MaySun1+2)=5),MaySun1+2,""))</f>
        <v/>
      </c>
      <c r="D5" s="15" t="str">
        <f ca="1">IF(DAY(MaySun1)=1,"",IF(AND(YEAR(MaySun1+3)=AñoCalendario,MONTH(MaySun1+3)=5),MaySun1+3,""))</f>
        <v/>
      </c>
      <c r="E5" s="15" t="str">
        <f ca="1">IF(DAY(MaySun1)=1,"",IF(AND(YEAR(MaySun1+4)=AñoCalendario,MONTH(MaySun1+4)=5),MaySun1+4,""))</f>
        <v/>
      </c>
      <c r="F5" s="15">
        <f ca="1">IF(DAY(MaySun1)=1,"",IF(AND(YEAR(MaySun1+5)=AñoCalendario,MONTH(MaySun1+5)=5),MaySun1+5,""))</f>
        <v>43952</v>
      </c>
      <c r="G5" s="15">
        <f ca="1">IF(DAY(MaySun1)=1,"",IF(AND(YEAR(MaySun1+6)=AñoCalendario,MONTH(MaySun1+6)=5),MaySun1+6,""))</f>
        <v>43953</v>
      </c>
      <c r="H5" s="15">
        <f ca="1">IF(DAY(MaySun1)=1,IF(AND(YEAR(MaySun1)=AñoCalendario,MONTH(MaySun1)=5),MaySun1,""),IF(AND(YEAR(MaySun1+7)=AñoCalendario,MONTH(MaySun1+7)=5),MaySun1+7,""))</f>
        <v>43954</v>
      </c>
      <c r="I5" s="3"/>
      <c r="K5" s="1"/>
      <c r="L5" s="1"/>
      <c r="M5" s="1"/>
      <c r="Q5" s="2"/>
      <c r="R5" s="1"/>
    </row>
    <row r="6" spans="1:18" s="2" customFormat="1" ht="64.5" customHeight="1" x14ac:dyDescent="0.25">
      <c r="A6"/>
      <c r="B6" s="8"/>
      <c r="C6" s="8"/>
      <c r="D6" s="8"/>
      <c r="E6" s="8"/>
      <c r="F6" s="8"/>
      <c r="G6" s="9"/>
      <c r="H6" s="9"/>
      <c r="I6" s="3"/>
    </row>
    <row r="7" spans="1:18" ht="15" customHeight="1" x14ac:dyDescent="0.25">
      <c r="A7"/>
      <c r="B7" s="16">
        <f ca="1">IF(DAY(MaySun1)=1,IF(AND(YEAR(MaySun1+1)=AñoCalendario,MONTH(MaySun1+1)=5),MaySun1+1,""),IF(AND(YEAR(MaySun1+8)=AñoCalendario,MONTH(MaySun1+8)=5),MaySun1+8,""))</f>
        <v>43955</v>
      </c>
      <c r="C7" s="16">
        <f ca="1">IF(DAY(MaySun1)=1,IF(AND(YEAR(MaySun1+2)=AñoCalendario,MONTH(MaySun1+2)=5),MaySun1+2,""),IF(AND(YEAR(MaySun1+9)=AñoCalendario,MONTH(MaySun1+9)=5),MaySun1+9,""))</f>
        <v>43956</v>
      </c>
      <c r="D7" s="16">
        <f ca="1">IF(DAY(MaySun1)=1,IF(AND(YEAR(MaySun1+3)=AñoCalendario,MONTH(MaySun1+3)=5),MaySun1+3,""),IF(AND(YEAR(MaySun1+10)=AñoCalendario,MONTH(MaySun1+10)=5),MaySun1+10,""))</f>
        <v>43957</v>
      </c>
      <c r="E7" s="16">
        <f ca="1">IF(DAY(MaySun1)=1,IF(AND(YEAR(MaySun1+4)=AñoCalendario,MONTH(MaySun1+4)=5),MaySun1+4,""),IF(AND(YEAR(MaySun1+11)=AñoCalendario,MONTH(MaySun1+11)=5),MaySun1+11,""))</f>
        <v>43958</v>
      </c>
      <c r="F7" s="16">
        <f ca="1">IF(DAY(MaySun1)=1,IF(AND(YEAR(MaySun1+5)=AñoCalendario,MONTH(MaySun1+5)=5),MaySun1+5,""),IF(AND(YEAR(MaySun1+12)=AñoCalendario,MONTH(MaySun1+12)=5),MaySun1+12,""))</f>
        <v>43959</v>
      </c>
      <c r="G7" s="16">
        <f ca="1">IF(DAY(MaySun1)=1,IF(AND(YEAR(MaySun1+6)=AñoCalendario,MONTH(MaySun1+6)=5),MaySun1+6,""),IF(AND(YEAR(MaySun1+13)=AñoCalendario,MONTH(MaySun1+13)=5),MaySun1+13,""))</f>
        <v>43960</v>
      </c>
      <c r="H7" s="16">
        <f ca="1">IF(DAY(MaySun1)=1,IF(AND(YEAR(MaySun1+7)=AñoCalendario,MONTH(MaySun1+7)=5),MaySun1+7,""),IF(AND(YEAR(MaySun1+14)=AñoCalendario,MONTH(MaySun1+14)=5),MaySun1+14,""))</f>
        <v>43961</v>
      </c>
      <c r="I7" s="3"/>
    </row>
    <row r="8" spans="1:18" ht="64.5" customHeight="1" x14ac:dyDescent="0.25">
      <c r="A8"/>
      <c r="B8" s="10"/>
      <c r="C8" s="10"/>
      <c r="D8" s="10"/>
      <c r="E8" s="10"/>
      <c r="F8" s="10"/>
      <c r="G8" s="11"/>
      <c r="H8" s="11"/>
      <c r="I8" s="3"/>
    </row>
    <row r="9" spans="1:18" ht="15" customHeight="1" x14ac:dyDescent="0.25">
      <c r="A9"/>
      <c r="B9" s="17">
        <f ca="1">IF(DAY(MaySun1)=1,IF(AND(YEAR(MaySun1+8)=AñoCalendario,MONTH(MaySun1+8)=5),MaySun1+8,""),IF(AND(YEAR(MaySun1+15)=AñoCalendario,MONTH(MaySun1+15)=5),MaySun1+15,""))</f>
        <v>43962</v>
      </c>
      <c r="C9" s="17">
        <f ca="1">IF(DAY(MaySun1)=1,IF(AND(YEAR(MaySun1+9)=AñoCalendario,MONTH(MaySun1+9)=5),MaySun1+9,""),IF(AND(YEAR(MaySun1+16)=AñoCalendario,MONTH(MaySun1+16)=5),MaySun1+16,""))</f>
        <v>43963</v>
      </c>
      <c r="D9" s="17">
        <f ca="1">IF(DAY(MaySun1)=1,IF(AND(YEAR(MaySun1+10)=AñoCalendario,MONTH(MaySun1+10)=5),MaySun1+10,""),IF(AND(YEAR(MaySun1+17)=AñoCalendario,MONTH(MaySun1+17)=5),MaySun1+17,""))</f>
        <v>43964</v>
      </c>
      <c r="E9" s="17">
        <f ca="1">IF(DAY(MaySun1)=1,IF(AND(YEAR(MaySun1+11)=AñoCalendario,MONTH(MaySun1+11)=5),MaySun1+11,""),IF(AND(YEAR(MaySun1+18)=AñoCalendario,MONTH(MaySun1+18)=5),MaySun1+18,""))</f>
        <v>43965</v>
      </c>
      <c r="F9" s="17">
        <f ca="1">IF(DAY(MaySun1)=1,IF(AND(YEAR(MaySun1+12)=AñoCalendario,MONTH(MaySun1+12)=5),MaySun1+12,""),IF(AND(YEAR(MaySun1+19)=AñoCalendario,MONTH(MaySun1+19)=5),MaySun1+19,""))</f>
        <v>43966</v>
      </c>
      <c r="G9" s="17">
        <f ca="1">IF(DAY(MaySun1)=1,IF(AND(YEAR(MaySun1+13)=AñoCalendario,MONTH(MaySun1+13)=5),MaySun1+13,""),IF(AND(YEAR(MaySun1+20)=AñoCalendario,MONTH(MaySun1+20)=5),MaySun1+20,""))</f>
        <v>43967</v>
      </c>
      <c r="H9" s="17">
        <f ca="1">IF(DAY(MaySun1)=1,IF(AND(YEAR(MaySun1+14)=AñoCalendario,MONTH(MaySun1+14)=5),MaySun1+14,""),IF(AND(YEAR(MaySun1+21)=AñoCalendario,MONTH(MaySun1+21)=5),MaySun1+21,""))</f>
        <v>43968</v>
      </c>
      <c r="I9" s="3"/>
    </row>
    <row r="10" spans="1:18" ht="64.5" customHeight="1" x14ac:dyDescent="0.25">
      <c r="A10"/>
      <c r="B10" s="8"/>
      <c r="C10" s="8"/>
      <c r="D10" s="8"/>
      <c r="E10" s="8"/>
      <c r="F10" s="8"/>
      <c r="G10" s="9"/>
      <c r="H10" s="9"/>
      <c r="I10" s="3"/>
    </row>
    <row r="11" spans="1:18" ht="15" customHeight="1" x14ac:dyDescent="0.25">
      <c r="A11"/>
      <c r="B11" s="18">
        <f ca="1">IF(DAY(MaySun1)=1,IF(AND(YEAR(MaySun1+15)=AñoCalendario,MONTH(MaySun1+15)=5),MaySun1+15,""),IF(AND(YEAR(MaySun1+22)=AñoCalendario,MONTH(MaySun1+22)=5),MaySun1+22,""))</f>
        <v>43969</v>
      </c>
      <c r="C11" s="18">
        <f ca="1">IF(DAY(MaySun1)=1,IF(AND(YEAR(MaySun1+16)=AñoCalendario,MONTH(MaySun1+16)=5),MaySun1+16,""),IF(AND(YEAR(MaySun1+23)=AñoCalendario,MONTH(MaySun1+23)=5),MaySun1+23,""))</f>
        <v>43970</v>
      </c>
      <c r="D11" s="18">
        <f ca="1">IF(DAY(MaySun1)=1,IF(AND(YEAR(MaySun1+17)=AñoCalendario,MONTH(MaySun1+17)=5),MaySun1+17,""),IF(AND(YEAR(MaySun1+24)=AñoCalendario,MONTH(MaySun1+24)=5),MaySun1+24,""))</f>
        <v>43971</v>
      </c>
      <c r="E11" s="18">
        <f ca="1">IF(DAY(MaySun1)=1,IF(AND(YEAR(MaySun1+18)=AñoCalendario,MONTH(MaySun1+18)=5),MaySun1+18,""),IF(AND(YEAR(MaySun1+25)=AñoCalendario,MONTH(MaySun1+25)=5),MaySun1+25,""))</f>
        <v>43972</v>
      </c>
      <c r="F11" s="18">
        <f ca="1">IF(DAY(MaySun1)=1,IF(AND(YEAR(MaySun1+19)=AñoCalendario,MONTH(MaySun1+19)=5),MaySun1+19,""),IF(AND(YEAR(MaySun1+26)=AñoCalendario,MONTH(MaySun1+26)=5),MaySun1+26,""))</f>
        <v>43973</v>
      </c>
      <c r="G11" s="18">
        <f ca="1">IF(DAY(MaySun1)=1,IF(AND(YEAR(MaySun1+20)=AñoCalendario,MONTH(MaySun1+20)=5),MaySun1+20,""),IF(AND(YEAR(MaySun1+27)=AñoCalendario,MONTH(MaySun1+27)=5),MaySun1+27,""))</f>
        <v>43974</v>
      </c>
      <c r="H11" s="18">
        <f ca="1">IF(DAY(MaySun1)=1,IF(AND(YEAR(MaySun1+21)=AñoCalendario,MONTH(MaySun1+21)=5),MaySun1+21,""),IF(AND(YEAR(MaySun1+28)=AñoCalendario,MONTH(MaySun1+28)=5),MaySun1+28,""))</f>
        <v>43975</v>
      </c>
      <c r="I11" s="3"/>
    </row>
    <row r="12" spans="1:18" ht="64.5" customHeight="1" x14ac:dyDescent="0.25">
      <c r="A12"/>
      <c r="B12" s="10"/>
      <c r="C12" s="10"/>
      <c r="D12" s="10"/>
      <c r="E12" s="10"/>
      <c r="F12" s="10"/>
      <c r="G12" s="11"/>
      <c r="H12" s="11"/>
      <c r="I12" s="3"/>
    </row>
    <row r="13" spans="1:18" ht="15" customHeight="1" x14ac:dyDescent="0.25">
      <c r="A13"/>
      <c r="B13" s="17">
        <f ca="1">IF(DAY(MaySun1)=1,IF(AND(YEAR(MaySun1+22)=AñoCalendario,MONTH(MaySun1+22)=5),MaySun1+22,""),IF(AND(YEAR(MaySun1+29)=AñoCalendario,MONTH(MaySun1+29)=5),MaySun1+29,""))</f>
        <v>43976</v>
      </c>
      <c r="C13" s="17">
        <f ca="1">IF(DAY(MaySun1)=1,IF(AND(YEAR(MaySun1+23)=AñoCalendario,MONTH(MaySun1+23)=5),MaySun1+23,""),IF(AND(YEAR(MaySun1+30)=AñoCalendario,MONTH(MaySun1+30)=5),MaySun1+30,""))</f>
        <v>43977</v>
      </c>
      <c r="D13" s="17">
        <f ca="1">IF(DAY(MaySun1)=1,IF(AND(YEAR(MaySun1+24)=AñoCalendario,MONTH(MaySun1+24)=5),MaySun1+24,""),IF(AND(YEAR(MaySun1+31)=AñoCalendario,MONTH(MaySun1+31)=5),MaySun1+31,""))</f>
        <v>43978</v>
      </c>
      <c r="E13" s="17">
        <f ca="1">IF(DAY(MaySun1)=1,IF(AND(YEAR(MaySun1+25)=AñoCalendario,MONTH(MaySun1+25)=5),MaySun1+25,""),IF(AND(YEAR(MaySun1+32)=AñoCalendario,MONTH(MaySun1+32)=5),MaySun1+32,""))</f>
        <v>43979</v>
      </c>
      <c r="F13" s="17">
        <f ca="1">IF(DAY(MaySun1)=1,IF(AND(YEAR(MaySun1+26)=AñoCalendario,MONTH(MaySun1+26)=5),MaySun1+26,""),IF(AND(YEAR(MaySun1+33)=AñoCalendario,MONTH(MaySun1+33)=5),MaySun1+33,""))</f>
        <v>43980</v>
      </c>
      <c r="G13" s="17">
        <f ca="1">IF(DAY(MaySun1)=1,IF(AND(YEAR(MaySun1+27)=AñoCalendario,MONTH(MaySun1+27)=5),MaySun1+27,""),IF(AND(YEAR(MaySun1+34)=AñoCalendario,MONTH(MaySun1+34)=5),MaySun1+34,""))</f>
        <v>43981</v>
      </c>
      <c r="H13" s="17">
        <f ca="1">IF(DAY(MaySun1)=1,IF(AND(YEAR(MaySun1+28)=AñoCalendario,MONTH(MaySun1+28)=5),MaySun1+28,""),IF(AND(YEAR(MaySun1+35)=AñoCalendario,MONTH(MaySun1+35)=5),MaySun1+35,""))</f>
        <v>43982</v>
      </c>
      <c r="I13" s="3"/>
    </row>
    <row r="14" spans="1:18" ht="64.5" customHeight="1" x14ac:dyDescent="0.25">
      <c r="A14"/>
      <c r="B14" s="8"/>
      <c r="C14" s="8"/>
      <c r="D14" s="8"/>
      <c r="E14" s="8"/>
      <c r="F14" s="8"/>
      <c r="G14" s="9"/>
      <c r="H14" s="9"/>
      <c r="I14" s="3"/>
    </row>
    <row r="15" spans="1:18" ht="15" customHeight="1" x14ac:dyDescent="0.25">
      <c r="A15"/>
      <c r="B15" s="18" t="str">
        <f ca="1">IF(DAY(MaySun1)=1,IF(AND(YEAR(MaySun1+29)=AñoCalendario,MONTH(MaySun1+29)=5),MaySun1+29,""),IF(AND(YEAR(MaySun1+36)=AñoCalendario,MONTH(MaySun1+36)=5),MaySun1+36,""))</f>
        <v/>
      </c>
      <c r="C15" s="19" t="str">
        <f ca="1">IF(DAY(MaySun1)=1,IF(AND(YEAR(MaySun1+30)=AñoCalendario,MONTH(MaySun1+30)=5),MaySun1+30,""),IF(AND(YEAR(MaySun1+37)=AñoCalendario,MONTH(MaySun1+37)=5),MaySun1+37,""))</f>
        <v/>
      </c>
      <c r="D15" s="27" t="s">
        <v>3</v>
      </c>
      <c r="E15" s="28"/>
      <c r="F15" s="28"/>
      <c r="G15" s="28"/>
      <c r="H15" s="29"/>
      <c r="I15" s="3"/>
    </row>
    <row r="16" spans="1:18" ht="64.5" customHeight="1" x14ac:dyDescent="0.25">
      <c r="A16"/>
      <c r="B16" s="10"/>
      <c r="C16" s="10"/>
      <c r="D16" s="24"/>
      <c r="E16" s="25"/>
      <c r="F16" s="25"/>
      <c r="G16" s="25"/>
      <c r="H16" s="26"/>
      <c r="I16" s="3"/>
    </row>
    <row r="17" spans="3:5" ht="17.25" customHeight="1" x14ac:dyDescent="0.2"/>
    <row r="19" spans="3:5" ht="21" customHeight="1" x14ac:dyDescent="0.25">
      <c r="C19" s="6"/>
      <c r="D19" s="5"/>
      <c r="E19" s="4"/>
    </row>
    <row r="20" spans="3:5" ht="19.5" customHeight="1" x14ac:dyDescent="0.2"/>
  </sheetData>
  <mergeCells count="3">
    <mergeCell ref="B3:F3"/>
    <mergeCell ref="D15:H15"/>
    <mergeCell ref="D16:H16"/>
  </mergeCells>
  <printOptions horizontalCentered="1" verticalCentered="1"/>
  <pageMargins left="0.2" right="0.2" top="0.25" bottom="0.25" header="0" footer="0"/>
  <pageSetup paperSize="9" scale="98" orientation="landscape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0" tint="-0.499984740745262"/>
    <pageSetUpPr fitToPage="1"/>
  </sheetPr>
  <dimension ref="A1:R20"/>
  <sheetViews>
    <sheetView showGridLines="0" zoomScaleNormal="100" workbookViewId="0"/>
  </sheetViews>
  <sheetFormatPr baseColWidth="10" defaultColWidth="6.6640625" defaultRowHeight="14.25" x14ac:dyDescent="0.2"/>
  <cols>
    <col min="1" max="1" width="3.109375" style="1" customWidth="1"/>
    <col min="2" max="9" width="13.77734375" style="1" customWidth="1"/>
    <col min="10" max="10" width="12.6640625" style="1" customWidth="1"/>
    <col min="11" max="11" width="2.109375" style="1" customWidth="1"/>
    <col min="12" max="12" width="11.77734375" style="1" customWidth="1"/>
    <col min="13" max="13" width="11.33203125" style="1" customWidth="1"/>
    <col min="14" max="16384" width="6.6640625" style="1"/>
  </cols>
  <sheetData>
    <row r="1" spans="1:18" ht="14.25" customHeight="1" x14ac:dyDescent="0.25">
      <c r="A1"/>
    </row>
    <row r="2" spans="1:18" ht="30" customHeight="1" x14ac:dyDescent="0.25">
      <c r="A2"/>
      <c r="B2" s="20"/>
      <c r="C2" s="20"/>
      <c r="D2" s="20"/>
      <c r="E2" s="20"/>
      <c r="F2" s="20"/>
      <c r="G2" s="20"/>
      <c r="H2" s="20"/>
      <c r="I2" s="20"/>
      <c r="J2" s="20"/>
    </row>
    <row r="3" spans="1:18" ht="62.25" customHeight="1" x14ac:dyDescent="0.25">
      <c r="A3"/>
      <c r="B3" s="30" t="str">
        <f ca="1">UPPER(TEXT(DATE(AñoCalendario,6,1),"mmmm"" de ""aaaa"))</f>
        <v>JUNIO DE LUNES</v>
      </c>
      <c r="C3" s="30"/>
      <c r="D3" s="30"/>
      <c r="E3" s="30"/>
      <c r="F3" s="30"/>
    </row>
    <row r="4" spans="1:18" customFormat="1" ht="26.25" customHeight="1" x14ac:dyDescent="0.25">
      <c r="B4" s="12" t="s">
        <v>0</v>
      </c>
      <c r="C4" s="13" t="s">
        <v>1</v>
      </c>
      <c r="D4" s="13" t="s">
        <v>2</v>
      </c>
      <c r="E4" s="13" t="s">
        <v>4</v>
      </c>
      <c r="F4" s="13" t="s">
        <v>5</v>
      </c>
      <c r="G4" s="13" t="s">
        <v>6</v>
      </c>
      <c r="H4" s="14" t="s">
        <v>7</v>
      </c>
      <c r="I4" s="1"/>
      <c r="J4" s="1"/>
      <c r="L4" s="1"/>
      <c r="M4" s="7"/>
      <c r="Q4" s="1"/>
      <c r="R4" s="1"/>
    </row>
    <row r="5" spans="1:18" customFormat="1" ht="15" customHeight="1" x14ac:dyDescent="0.25">
      <c r="B5" s="15">
        <f ca="1">IF(DAY(JunSun1)=1,"",IF(AND(YEAR(JunSun1+1)=AñoCalendario,MONTH(JunSun1+1)=6),JunSun1+1,""))</f>
        <v>43983</v>
      </c>
      <c r="C5" s="15">
        <f ca="1">IF(DAY(JunSun1)=1,"",IF(AND(YEAR(JunSun1+2)=AñoCalendario,MONTH(JunSun1+2)=6),JunSun1+2,""))</f>
        <v>43984</v>
      </c>
      <c r="D5" s="15">
        <f ca="1">IF(DAY(JunSun1)=1,"",IF(AND(YEAR(JunSun1+3)=AñoCalendario,MONTH(JunSun1+3)=6),JunSun1+3,""))</f>
        <v>43985</v>
      </c>
      <c r="E5" s="15">
        <f ca="1">IF(DAY(JunSun1)=1,"",IF(AND(YEAR(JunSun1+4)=AñoCalendario,MONTH(JunSun1+4)=6),JunSun1+4,""))</f>
        <v>43986</v>
      </c>
      <c r="F5" s="15">
        <f ca="1">IF(DAY(JunSun1)=1,"",IF(AND(YEAR(JunSun1+5)=AñoCalendario,MONTH(JunSun1+5)=6),JunSun1+5,""))</f>
        <v>43987</v>
      </c>
      <c r="G5" s="15">
        <f ca="1">IF(DAY(JunSun1)=1,"",IF(AND(YEAR(JunSun1+6)=AñoCalendario,MONTH(JunSun1+6)=6),JunSun1+6,""))</f>
        <v>43988</v>
      </c>
      <c r="H5" s="15">
        <f ca="1">IF(DAY(JunSun1)=1,IF(AND(YEAR(JunSun1)=AñoCalendario,MONTH(JunSun1)=6),JunSun1,""),IF(AND(YEAR(JunSun1+7)=AñoCalendario,MONTH(JunSun1+7)=6),JunSun1+7,""))</f>
        <v>43989</v>
      </c>
      <c r="I5" s="3"/>
      <c r="K5" s="1"/>
      <c r="L5" s="1"/>
      <c r="M5" s="1"/>
      <c r="Q5" s="2"/>
      <c r="R5" s="1"/>
    </row>
    <row r="6" spans="1:18" s="2" customFormat="1" ht="64.5" customHeight="1" x14ac:dyDescent="0.25">
      <c r="A6"/>
      <c r="B6" s="8"/>
      <c r="C6" s="8"/>
      <c r="D6" s="8"/>
      <c r="E6" s="8"/>
      <c r="F6" s="8"/>
      <c r="G6" s="9"/>
      <c r="H6" s="9"/>
      <c r="I6" s="3"/>
    </row>
    <row r="7" spans="1:18" ht="15" customHeight="1" x14ac:dyDescent="0.25">
      <c r="A7"/>
      <c r="B7" s="16">
        <f ca="1">IF(DAY(JunSun1)=1,IF(AND(YEAR(JunSun1+1)=AñoCalendario,MONTH(JunSun1+1)=6),JunSun1+1,""),IF(AND(YEAR(JunSun1+8)=AñoCalendario,MONTH(JunSun1+8)=6),JunSun1+8,""))</f>
        <v>43990</v>
      </c>
      <c r="C7" s="16">
        <f ca="1">IF(DAY(JunSun1)=1,IF(AND(YEAR(JunSun1+2)=AñoCalendario,MONTH(JunSun1+2)=6),JunSun1+2,""),IF(AND(YEAR(JunSun1+9)=AñoCalendario,MONTH(JunSun1+9)=6),JunSun1+9,""))</f>
        <v>43991</v>
      </c>
      <c r="D7" s="16">
        <f ca="1">IF(DAY(JunSun1)=1,IF(AND(YEAR(JunSun1+3)=AñoCalendario,MONTH(JunSun1+3)=6),JunSun1+3,""),IF(AND(YEAR(JunSun1+10)=AñoCalendario,MONTH(JunSun1+10)=6),JunSun1+10,""))</f>
        <v>43992</v>
      </c>
      <c r="E7" s="16">
        <f ca="1">IF(DAY(JunSun1)=1,IF(AND(YEAR(JunSun1+4)=AñoCalendario,MONTH(JunSun1+4)=6),JunSun1+4,""),IF(AND(YEAR(JunSun1+11)=AñoCalendario,MONTH(JunSun1+11)=6),JunSun1+11,""))</f>
        <v>43993</v>
      </c>
      <c r="F7" s="16">
        <f ca="1">IF(DAY(JunSun1)=1,IF(AND(YEAR(JunSun1+5)=AñoCalendario,MONTH(JunSun1+5)=6),JunSun1+5,""),IF(AND(YEAR(JunSun1+12)=AñoCalendario,MONTH(JunSun1+12)=6),JunSun1+12,""))</f>
        <v>43994</v>
      </c>
      <c r="G7" s="16">
        <f ca="1">IF(DAY(JunSun1)=1,IF(AND(YEAR(JunSun1+6)=AñoCalendario,MONTH(JunSun1+6)=6),JunSun1+6,""),IF(AND(YEAR(JunSun1+13)=AñoCalendario,MONTH(JunSun1+13)=6),JunSun1+13,""))</f>
        <v>43995</v>
      </c>
      <c r="H7" s="16">
        <f ca="1">IF(DAY(JunSun1)=1,IF(AND(YEAR(JunSun1+7)=AñoCalendario,MONTH(JunSun1+7)=6),JunSun1+7,""),IF(AND(YEAR(JunSun1+14)=AñoCalendario,MONTH(JunSun1+14)=6),JunSun1+14,""))</f>
        <v>43996</v>
      </c>
      <c r="I7" s="3"/>
    </row>
    <row r="8" spans="1:18" ht="64.5" customHeight="1" x14ac:dyDescent="0.25">
      <c r="A8"/>
      <c r="B8" s="10"/>
      <c r="C8" s="10"/>
      <c r="D8" s="10"/>
      <c r="E8" s="10"/>
      <c r="F8" s="10"/>
      <c r="G8" s="11"/>
      <c r="H8" s="11"/>
      <c r="I8" s="3"/>
    </row>
    <row r="9" spans="1:18" ht="15" customHeight="1" x14ac:dyDescent="0.25">
      <c r="A9"/>
      <c r="B9" s="17">
        <f ca="1">IF(DAY(JunSun1)=1,IF(AND(YEAR(JunSun1+8)=AñoCalendario,MONTH(JunSun1+8)=6),JunSun1+8,""),IF(AND(YEAR(JunSun1+15)=AñoCalendario,MONTH(JunSun1+15)=6),JunSun1+15,""))</f>
        <v>43997</v>
      </c>
      <c r="C9" s="17">
        <f ca="1">IF(DAY(JunSun1)=1,IF(AND(YEAR(JunSun1+9)=AñoCalendario,MONTH(JunSun1+9)=6),JunSun1+9,""),IF(AND(YEAR(JunSun1+16)=AñoCalendario,MONTH(JunSun1+16)=6),JunSun1+16,""))</f>
        <v>43998</v>
      </c>
      <c r="D9" s="17">
        <f ca="1">IF(DAY(JunSun1)=1,IF(AND(YEAR(JunSun1+10)=AñoCalendario,MONTH(JunSun1+10)=6),JunSun1+10,""),IF(AND(YEAR(JunSun1+17)=AñoCalendario,MONTH(JunSun1+17)=6),JunSun1+17,""))</f>
        <v>43999</v>
      </c>
      <c r="E9" s="17">
        <f ca="1">IF(DAY(JunSun1)=1,IF(AND(YEAR(JunSun1+11)=AñoCalendario,MONTH(JunSun1+11)=6),JunSun1+11,""),IF(AND(YEAR(JunSun1+18)=AñoCalendario,MONTH(JunSun1+18)=6),JunSun1+18,""))</f>
        <v>44000</v>
      </c>
      <c r="F9" s="17">
        <f ca="1">IF(DAY(JunSun1)=1,IF(AND(YEAR(JunSun1+12)=AñoCalendario,MONTH(JunSun1+12)=6),JunSun1+12,""),IF(AND(YEAR(JunSun1+19)=AñoCalendario,MONTH(JunSun1+19)=6),JunSun1+19,""))</f>
        <v>44001</v>
      </c>
      <c r="G9" s="17">
        <f ca="1">IF(DAY(JunSun1)=1,IF(AND(YEAR(JunSun1+13)=AñoCalendario,MONTH(JunSun1+13)=6),JunSun1+13,""),IF(AND(YEAR(JunSun1+20)=AñoCalendario,MONTH(JunSun1+20)=6),JunSun1+20,""))</f>
        <v>44002</v>
      </c>
      <c r="H9" s="17">
        <f ca="1">IF(DAY(JunSun1)=1,IF(AND(YEAR(JunSun1+14)=AñoCalendario,MONTH(JunSun1+14)=6),JunSun1+14,""),IF(AND(YEAR(JunSun1+21)=AñoCalendario,MONTH(JunSun1+21)=6),JunSun1+21,""))</f>
        <v>44003</v>
      </c>
      <c r="I9" s="3"/>
    </row>
    <row r="10" spans="1:18" ht="64.5" customHeight="1" x14ac:dyDescent="0.25">
      <c r="A10"/>
      <c r="B10" s="8"/>
      <c r="C10" s="8"/>
      <c r="D10" s="8"/>
      <c r="E10" s="8"/>
      <c r="F10" s="8"/>
      <c r="G10" s="9"/>
      <c r="H10" s="9"/>
      <c r="I10" s="3"/>
    </row>
    <row r="11" spans="1:18" ht="15" customHeight="1" x14ac:dyDescent="0.25">
      <c r="A11"/>
      <c r="B11" s="18">
        <f ca="1">IF(DAY(JunSun1)=1,IF(AND(YEAR(JunSun1+15)=AñoCalendario,MONTH(JunSun1+15)=6),JunSun1+15,""),IF(AND(YEAR(JunSun1+22)=AñoCalendario,MONTH(JunSun1+22)=6),JunSun1+22,""))</f>
        <v>44004</v>
      </c>
      <c r="C11" s="18">
        <f ca="1">IF(DAY(JunSun1)=1,IF(AND(YEAR(JunSun1+16)=AñoCalendario,MONTH(JunSun1+16)=6),JunSun1+16,""),IF(AND(YEAR(JunSun1+23)=AñoCalendario,MONTH(JunSun1+23)=6),JunSun1+23,""))</f>
        <v>44005</v>
      </c>
      <c r="D11" s="18">
        <f ca="1">IF(DAY(JunSun1)=1,IF(AND(YEAR(JunSun1+17)=AñoCalendario,MONTH(JunSun1+17)=6),JunSun1+17,""),IF(AND(YEAR(JunSun1+24)=AñoCalendario,MONTH(JunSun1+24)=6),JunSun1+24,""))</f>
        <v>44006</v>
      </c>
      <c r="E11" s="18">
        <f ca="1">IF(DAY(JunSun1)=1,IF(AND(YEAR(JunSun1+18)=AñoCalendario,MONTH(JunSun1+18)=6),JunSun1+18,""),IF(AND(YEAR(JunSun1+25)=AñoCalendario,MONTH(JunSun1+25)=6),JunSun1+25,""))</f>
        <v>44007</v>
      </c>
      <c r="F11" s="18">
        <f ca="1">IF(DAY(JunSun1)=1,IF(AND(YEAR(JunSun1+19)=AñoCalendario,MONTH(JunSun1+19)=6),JunSun1+19,""),IF(AND(YEAR(JunSun1+26)=AñoCalendario,MONTH(JunSun1+26)=6),JunSun1+26,""))</f>
        <v>44008</v>
      </c>
      <c r="G11" s="18">
        <f ca="1">IF(DAY(JunSun1)=1,IF(AND(YEAR(JunSun1+20)=AñoCalendario,MONTH(JunSun1+20)=6),JunSun1+20,""),IF(AND(YEAR(JunSun1+27)=AñoCalendario,MONTH(JunSun1+27)=6),JunSun1+27,""))</f>
        <v>44009</v>
      </c>
      <c r="H11" s="18">
        <f ca="1">IF(DAY(JunSun1)=1,IF(AND(YEAR(JunSun1+21)=AñoCalendario,MONTH(JunSun1+21)=6),JunSun1+21,""),IF(AND(YEAR(JunSun1+28)=AñoCalendario,MONTH(JunSun1+28)=6),JunSun1+28,""))</f>
        <v>44010</v>
      </c>
      <c r="I11" s="3"/>
    </row>
    <row r="12" spans="1:18" ht="64.5" customHeight="1" x14ac:dyDescent="0.25">
      <c r="A12"/>
      <c r="B12" s="10"/>
      <c r="C12" s="10"/>
      <c r="D12" s="10"/>
      <c r="E12" s="10"/>
      <c r="F12" s="10"/>
      <c r="G12" s="11"/>
      <c r="H12" s="11"/>
      <c r="I12" s="3"/>
    </row>
    <row r="13" spans="1:18" ht="15" customHeight="1" x14ac:dyDescent="0.25">
      <c r="A13"/>
      <c r="B13" s="17">
        <f ca="1">IF(DAY(JunSun1)=1,IF(AND(YEAR(JunSun1+22)=AñoCalendario,MONTH(JunSun1+22)=6),JunSun1+22,""),IF(AND(YEAR(JunSun1+29)=AñoCalendario,MONTH(JunSun1+29)=6),JunSun1+29,""))</f>
        <v>44011</v>
      </c>
      <c r="C13" s="17">
        <f ca="1">IF(DAY(JunSun1)=1,IF(AND(YEAR(JunSun1+23)=AñoCalendario,MONTH(JunSun1+23)=6),JunSun1+23,""),IF(AND(YEAR(JunSun1+30)=AñoCalendario,MONTH(JunSun1+30)=6),JunSun1+30,""))</f>
        <v>44012</v>
      </c>
      <c r="D13" s="17" t="str">
        <f ca="1">IF(DAY(JunSun1)=1,IF(AND(YEAR(JunSun1+24)=AñoCalendario,MONTH(JunSun1+24)=6),JunSun1+24,""),IF(AND(YEAR(JunSun1+31)=AñoCalendario,MONTH(JunSun1+31)=6),JunSun1+31,""))</f>
        <v/>
      </c>
      <c r="E13" s="17" t="str">
        <f ca="1">IF(DAY(JunSun1)=1,IF(AND(YEAR(JunSun1+25)=AñoCalendario,MONTH(JunSun1+25)=6),JunSun1+25,""),IF(AND(YEAR(JunSun1+32)=AñoCalendario,MONTH(JunSun1+32)=6),JunSun1+32,""))</f>
        <v/>
      </c>
      <c r="F13" s="17" t="str">
        <f ca="1">IF(DAY(JunSun1)=1,IF(AND(YEAR(JunSun1+26)=AñoCalendario,MONTH(JunSun1+26)=6),JunSun1+26,""),IF(AND(YEAR(JunSun1+33)=AñoCalendario,MONTH(JunSun1+33)=6),JunSun1+33,""))</f>
        <v/>
      </c>
      <c r="G13" s="17" t="str">
        <f ca="1">IF(DAY(JunSun1)=1,IF(AND(YEAR(JunSun1+27)=AñoCalendario,MONTH(JunSun1+27)=6),JunSun1+27,""),IF(AND(YEAR(JunSun1+34)=AñoCalendario,MONTH(JunSun1+34)=6),JunSun1+34,""))</f>
        <v/>
      </c>
      <c r="H13" s="17" t="str">
        <f ca="1">IF(DAY(JunSun1)=1,IF(AND(YEAR(JunSun1+28)=AñoCalendario,MONTH(JunSun1+28)=6),JunSun1+28,""),IF(AND(YEAR(JunSun1+35)=AñoCalendario,MONTH(JunSun1+35)=6),JunSun1+35,""))</f>
        <v/>
      </c>
      <c r="I13" s="3"/>
    </row>
    <row r="14" spans="1:18" ht="64.5" customHeight="1" x14ac:dyDescent="0.25">
      <c r="A14"/>
      <c r="B14" s="8"/>
      <c r="C14" s="8"/>
      <c r="D14" s="8"/>
      <c r="E14" s="8"/>
      <c r="F14" s="8"/>
      <c r="G14" s="9"/>
      <c r="H14" s="9"/>
      <c r="I14" s="3"/>
    </row>
    <row r="15" spans="1:18" ht="15" customHeight="1" x14ac:dyDescent="0.25">
      <c r="A15"/>
      <c r="B15" s="18" t="str">
        <f ca="1">IF(DAY(JunSun1)=1,IF(AND(YEAR(JunSun1+29)=AñoCalendario,MONTH(JunSun1+29)=6),JunSun1+29,""),IF(AND(YEAR(JunSun1+36)=AñoCalendario,MONTH(JunSun1+36)=6),JunSun1+36,""))</f>
        <v/>
      </c>
      <c r="C15" s="19" t="str">
        <f ca="1">IF(DAY(JunSun1)=1,IF(AND(YEAR(JunSun1+30)=AñoCalendario,MONTH(JunSun1+30)=6),JunSun1+30,""),IF(AND(YEAR(JunSun1+37)=AñoCalendario,MONTH(JunSun1+37)=6),JunSun1+37,""))</f>
        <v/>
      </c>
      <c r="D15" s="27" t="s">
        <v>3</v>
      </c>
      <c r="E15" s="28"/>
      <c r="F15" s="28"/>
      <c r="G15" s="28"/>
      <c r="H15" s="29"/>
      <c r="I15" s="3"/>
    </row>
    <row r="16" spans="1:18" ht="64.5" customHeight="1" x14ac:dyDescent="0.25">
      <c r="A16"/>
      <c r="B16" s="10"/>
      <c r="C16" s="10"/>
      <c r="D16" s="24"/>
      <c r="E16" s="25"/>
      <c r="F16" s="25"/>
      <c r="G16" s="25"/>
      <c r="H16" s="26"/>
      <c r="I16" s="3"/>
    </row>
    <row r="17" spans="3:5" ht="17.25" customHeight="1" x14ac:dyDescent="0.2"/>
    <row r="19" spans="3:5" ht="21" customHeight="1" x14ac:dyDescent="0.25">
      <c r="C19" s="6"/>
      <c r="D19" s="5"/>
      <c r="E19" s="4"/>
    </row>
    <row r="20" spans="3:5" ht="19.5" customHeight="1" x14ac:dyDescent="0.2"/>
  </sheetData>
  <mergeCells count="3">
    <mergeCell ref="B3:F3"/>
    <mergeCell ref="D15:H15"/>
    <mergeCell ref="D16:H16"/>
  </mergeCells>
  <printOptions horizontalCentered="1" verticalCentered="1"/>
  <pageMargins left="0.2" right="0.2" top="0.25" bottom="0.25" header="0" footer="0"/>
  <pageSetup paperSize="9" scale="98" orientation="landscape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0" tint="-0.34998626667073579"/>
    <pageSetUpPr fitToPage="1"/>
  </sheetPr>
  <dimension ref="A1:R20"/>
  <sheetViews>
    <sheetView showGridLines="0" zoomScaleNormal="100" workbookViewId="0"/>
  </sheetViews>
  <sheetFormatPr baseColWidth="10" defaultColWidth="6.6640625" defaultRowHeight="14.25" x14ac:dyDescent="0.2"/>
  <cols>
    <col min="1" max="1" width="3.109375" style="1" customWidth="1"/>
    <col min="2" max="9" width="13.77734375" style="1" customWidth="1"/>
    <col min="10" max="10" width="12.6640625" style="1" customWidth="1"/>
    <col min="11" max="11" width="2.109375" style="1" customWidth="1"/>
    <col min="12" max="12" width="11.77734375" style="1" customWidth="1"/>
    <col min="13" max="13" width="11.33203125" style="1" customWidth="1"/>
    <col min="14" max="16384" width="6.6640625" style="1"/>
  </cols>
  <sheetData>
    <row r="1" spans="1:18" ht="14.25" customHeight="1" x14ac:dyDescent="0.25">
      <c r="A1"/>
    </row>
    <row r="2" spans="1:18" ht="30" customHeight="1" x14ac:dyDescent="0.25">
      <c r="A2"/>
      <c r="B2" s="20"/>
      <c r="C2" s="20"/>
      <c r="D2" s="20"/>
      <c r="E2" s="20"/>
      <c r="F2" s="20"/>
      <c r="G2" s="20"/>
      <c r="H2" s="20"/>
      <c r="I2" s="20"/>
      <c r="J2" s="20"/>
    </row>
    <row r="3" spans="1:18" ht="62.25" customHeight="1" x14ac:dyDescent="0.25">
      <c r="A3"/>
      <c r="B3" s="30" t="str">
        <f ca="1">UPPER(TEXT(DATE(AñoCalendario,7,1),"mmmm"" de ""aaaa"))</f>
        <v>JULIO DE MIÉRCOLES</v>
      </c>
      <c r="C3" s="30"/>
      <c r="D3" s="30"/>
      <c r="E3" s="30"/>
      <c r="F3" s="30"/>
    </row>
    <row r="4" spans="1:18" customFormat="1" ht="26.25" customHeight="1" x14ac:dyDescent="0.25">
      <c r="B4" s="12" t="s">
        <v>0</v>
      </c>
      <c r="C4" s="13" t="s">
        <v>1</v>
      </c>
      <c r="D4" s="13" t="s">
        <v>2</v>
      </c>
      <c r="E4" s="13" t="s">
        <v>4</v>
      </c>
      <c r="F4" s="13" t="s">
        <v>5</v>
      </c>
      <c r="G4" s="13" t="s">
        <v>6</v>
      </c>
      <c r="H4" s="14" t="s">
        <v>7</v>
      </c>
      <c r="I4" s="1"/>
      <c r="J4" s="1"/>
      <c r="L4" s="1"/>
      <c r="M4" s="7"/>
      <c r="Q4" s="1"/>
      <c r="R4" s="1"/>
    </row>
    <row r="5" spans="1:18" customFormat="1" ht="15" customHeight="1" x14ac:dyDescent="0.25">
      <c r="B5" s="15" t="str">
        <f ca="1">IF(DAY(JulSun1)=1,"",IF(AND(YEAR(JulSun1+1)=AñoCalendario,MONTH(JulSun1+1)=7),JulSun1+1,""))</f>
        <v/>
      </c>
      <c r="C5" s="15" t="str">
        <f ca="1">IF(DAY(JulSun1)=1,"",IF(AND(YEAR(JulSun1+2)=AñoCalendario,MONTH(JulSun1+2)=7),JulSun1+2,""))</f>
        <v/>
      </c>
      <c r="D5" s="15">
        <f ca="1">IF(DAY(JulSun1)=1,"",IF(AND(YEAR(JulSun1+3)=AñoCalendario,MONTH(JulSun1+3)=7),JulSun1+3,""))</f>
        <v>44013</v>
      </c>
      <c r="E5" s="15">
        <f ca="1">IF(DAY(JulSun1)=1,"",IF(AND(YEAR(JulSun1+4)=AñoCalendario,MONTH(JulSun1+4)=7),JulSun1+4,""))</f>
        <v>44014</v>
      </c>
      <c r="F5" s="15">
        <f ca="1">IF(DAY(JulSun1)=1,"",IF(AND(YEAR(JulSun1+5)=AñoCalendario,MONTH(JulSun1+5)=7),JulSun1+5,""))</f>
        <v>44015</v>
      </c>
      <c r="G5" s="15">
        <f ca="1">IF(DAY(JulSun1)=1,"",IF(AND(YEAR(JulSun1+6)=AñoCalendario,MONTH(JulSun1+6)=7),JulSun1+6,""))</f>
        <v>44016</v>
      </c>
      <c r="H5" s="15">
        <f ca="1">IF(DAY(JulSun1)=1,IF(AND(YEAR(JulSun1)=AñoCalendario,MONTH(JulSun1)=7),JulSun1,""),IF(AND(YEAR(JulSun1+7)=AñoCalendario,MONTH(JulSun1+7)=7),JulSun1+7,""))</f>
        <v>44017</v>
      </c>
      <c r="I5" s="3"/>
      <c r="K5" s="1"/>
      <c r="L5" s="1"/>
      <c r="M5" s="1"/>
      <c r="Q5" s="2"/>
      <c r="R5" s="1"/>
    </row>
    <row r="6" spans="1:18" s="2" customFormat="1" ht="64.5" customHeight="1" x14ac:dyDescent="0.25">
      <c r="A6"/>
      <c r="B6" s="8"/>
      <c r="C6" s="8"/>
      <c r="D6" s="8"/>
      <c r="E6" s="8"/>
      <c r="F6" s="8"/>
      <c r="G6" s="9"/>
      <c r="H6" s="9"/>
      <c r="I6" s="3"/>
    </row>
    <row r="7" spans="1:18" ht="15" customHeight="1" x14ac:dyDescent="0.25">
      <c r="A7"/>
      <c r="B7" s="16">
        <f ca="1">IF(DAY(JulSun1)=1,IF(AND(YEAR(JulSun1+1)=AñoCalendario,MONTH(JulSun1+1)=7),JulSun1+1,""),IF(AND(YEAR(JulSun1+8)=AñoCalendario,MONTH(JulSun1+8)=7),JulSun1+8,""))</f>
        <v>44018</v>
      </c>
      <c r="C7" s="16">
        <f ca="1">IF(DAY(JulSun1)=1,IF(AND(YEAR(JulSun1+2)=AñoCalendario,MONTH(JulSun1+2)=7),JulSun1+2,""),IF(AND(YEAR(JulSun1+9)=AñoCalendario,MONTH(JulSun1+9)=7),JulSun1+9,""))</f>
        <v>44019</v>
      </c>
      <c r="D7" s="16">
        <f ca="1">IF(DAY(JulSun1)=1,IF(AND(YEAR(JulSun1+3)=AñoCalendario,MONTH(JulSun1+3)=7),JulSun1+3,""),IF(AND(YEAR(JulSun1+10)=AñoCalendario,MONTH(JulSun1+10)=7),JulSun1+10,""))</f>
        <v>44020</v>
      </c>
      <c r="E7" s="16">
        <f ca="1">IF(DAY(JulSun1)=1,IF(AND(YEAR(JulSun1+4)=AñoCalendario,MONTH(JulSun1+4)=7),JulSun1+4,""),IF(AND(YEAR(JulSun1+11)=AñoCalendario,MONTH(JulSun1+11)=7),JulSun1+11,""))</f>
        <v>44021</v>
      </c>
      <c r="F7" s="16">
        <f ca="1">IF(DAY(JulSun1)=1,IF(AND(YEAR(JulSun1+5)=AñoCalendario,MONTH(JulSun1+5)=7),JulSun1+5,""),IF(AND(YEAR(JulSun1+12)=AñoCalendario,MONTH(JulSun1+12)=7),JulSun1+12,""))</f>
        <v>44022</v>
      </c>
      <c r="G7" s="16">
        <f ca="1">IF(DAY(JulSun1)=1,IF(AND(YEAR(JulSun1+6)=AñoCalendario,MONTH(JulSun1+6)=7),JulSun1+6,""),IF(AND(YEAR(JulSun1+13)=AñoCalendario,MONTH(JulSun1+13)=7),JulSun1+13,""))</f>
        <v>44023</v>
      </c>
      <c r="H7" s="16">
        <f ca="1">IF(DAY(JulSun1)=1,IF(AND(YEAR(JulSun1+7)=AñoCalendario,MONTH(JulSun1+7)=7),JulSun1+7,""),IF(AND(YEAR(JulSun1+14)=AñoCalendario,MONTH(JulSun1+14)=7),JulSun1+14,""))</f>
        <v>44024</v>
      </c>
      <c r="I7" s="3"/>
    </row>
    <row r="8" spans="1:18" ht="64.5" customHeight="1" x14ac:dyDescent="0.25">
      <c r="A8"/>
      <c r="B8" s="10"/>
      <c r="C8" s="10"/>
      <c r="D8" s="10"/>
      <c r="E8" s="10"/>
      <c r="F8" s="10"/>
      <c r="G8" s="11"/>
      <c r="H8" s="11"/>
      <c r="I8" s="3"/>
    </row>
    <row r="9" spans="1:18" ht="15" customHeight="1" x14ac:dyDescent="0.25">
      <c r="A9"/>
      <c r="B9" s="17">
        <f ca="1">IF(DAY(JulSun1)=1,IF(AND(YEAR(JulSun1+8)=AñoCalendario,MONTH(JulSun1+8)=7),JulSun1+8,""),IF(AND(YEAR(JulSun1+15)=AñoCalendario,MONTH(JulSun1+15)=7),JulSun1+15,""))</f>
        <v>44025</v>
      </c>
      <c r="C9" s="17">
        <f ca="1">IF(DAY(JulSun1)=1,IF(AND(YEAR(JulSun1+9)=AñoCalendario,MONTH(JulSun1+9)=7),JulSun1+9,""),IF(AND(YEAR(JulSun1+16)=AñoCalendario,MONTH(JulSun1+16)=7),JulSun1+16,""))</f>
        <v>44026</v>
      </c>
      <c r="D9" s="17">
        <f ca="1">IF(DAY(JulSun1)=1,IF(AND(YEAR(JulSun1+10)=AñoCalendario,MONTH(JulSun1+10)=7),JulSun1+10,""),IF(AND(YEAR(JulSun1+17)=AñoCalendario,MONTH(JulSun1+17)=7),JulSun1+17,""))</f>
        <v>44027</v>
      </c>
      <c r="E9" s="17">
        <f ca="1">IF(DAY(JulSun1)=1,IF(AND(YEAR(JulSun1+11)=AñoCalendario,MONTH(JulSun1+11)=7),JulSun1+11,""),IF(AND(YEAR(JulSun1+18)=AñoCalendario,MONTH(JulSun1+18)=7),JulSun1+18,""))</f>
        <v>44028</v>
      </c>
      <c r="F9" s="17">
        <f ca="1">IF(DAY(JulSun1)=1,IF(AND(YEAR(JulSun1+12)=AñoCalendario,MONTH(JulSun1+12)=7),JulSun1+12,""),IF(AND(YEAR(JulSun1+19)=AñoCalendario,MONTH(JulSun1+19)=7),JulSun1+19,""))</f>
        <v>44029</v>
      </c>
      <c r="G9" s="17">
        <f ca="1">IF(DAY(JulSun1)=1,IF(AND(YEAR(JulSun1+13)=AñoCalendario,MONTH(JulSun1+13)=7),JulSun1+13,""),IF(AND(YEAR(JulSun1+20)=AñoCalendario,MONTH(JulSun1+20)=7),JulSun1+20,""))</f>
        <v>44030</v>
      </c>
      <c r="H9" s="17">
        <f ca="1">IF(DAY(JulSun1)=1,IF(AND(YEAR(JulSun1+14)=AñoCalendario,MONTH(JulSun1+14)=7),JulSun1+14,""),IF(AND(YEAR(JulSun1+21)=AñoCalendario,MONTH(JulSun1+21)=7),JulSun1+21,""))</f>
        <v>44031</v>
      </c>
      <c r="I9" s="3"/>
    </row>
    <row r="10" spans="1:18" ht="64.5" customHeight="1" x14ac:dyDescent="0.25">
      <c r="A10"/>
      <c r="B10" s="8"/>
      <c r="C10" s="8"/>
      <c r="D10" s="8"/>
      <c r="E10" s="8"/>
      <c r="F10" s="8"/>
      <c r="G10" s="9"/>
      <c r="H10" s="9"/>
      <c r="I10" s="3"/>
    </row>
    <row r="11" spans="1:18" ht="15" customHeight="1" x14ac:dyDescent="0.25">
      <c r="A11"/>
      <c r="B11" s="18">
        <f ca="1">IF(DAY(JulSun1)=1,IF(AND(YEAR(JulSun1+15)=AñoCalendario,MONTH(JulSun1+15)=7),JulSun1+15,""),IF(AND(YEAR(JulSun1+22)=AñoCalendario,MONTH(JulSun1+22)=7),JulSun1+22,""))</f>
        <v>44032</v>
      </c>
      <c r="C11" s="18">
        <f ca="1">IF(DAY(JulSun1)=1,IF(AND(YEAR(JulSun1+16)=AñoCalendario,MONTH(JulSun1+16)=7),JulSun1+16,""),IF(AND(YEAR(JulSun1+23)=AñoCalendario,MONTH(JulSun1+23)=7),JulSun1+23,""))</f>
        <v>44033</v>
      </c>
      <c r="D11" s="18">
        <f ca="1">IF(DAY(JulSun1)=1,IF(AND(YEAR(JulSun1+17)=AñoCalendario,MONTH(JulSun1+17)=7),JulSun1+17,""),IF(AND(YEAR(JulSun1+24)=AñoCalendario,MONTH(JulSun1+24)=7),JulSun1+24,""))</f>
        <v>44034</v>
      </c>
      <c r="E11" s="18">
        <f ca="1">IF(DAY(JulSun1)=1,IF(AND(YEAR(JulSun1+18)=AñoCalendario,MONTH(JulSun1+18)=7),JulSun1+18,""),IF(AND(YEAR(JulSun1+25)=AñoCalendario,MONTH(JulSun1+25)=7),JulSun1+25,""))</f>
        <v>44035</v>
      </c>
      <c r="F11" s="18">
        <f ca="1">IF(DAY(JulSun1)=1,IF(AND(YEAR(JulSun1+19)=AñoCalendario,MONTH(JulSun1+19)=7),JulSun1+19,""),IF(AND(YEAR(JulSun1+26)=AñoCalendario,MONTH(JulSun1+26)=7),JulSun1+26,""))</f>
        <v>44036</v>
      </c>
      <c r="G11" s="18">
        <f ca="1">IF(DAY(JulSun1)=1,IF(AND(YEAR(JulSun1+20)=AñoCalendario,MONTH(JulSun1+20)=7),JulSun1+20,""),IF(AND(YEAR(JulSun1+27)=AñoCalendario,MONTH(JulSun1+27)=7),JulSun1+27,""))</f>
        <v>44037</v>
      </c>
      <c r="H11" s="18">
        <f ca="1">IF(DAY(JulSun1)=1,IF(AND(YEAR(JulSun1+21)=AñoCalendario,MONTH(JulSun1+21)=7),JulSun1+21,""),IF(AND(YEAR(JulSun1+28)=AñoCalendario,MONTH(JulSun1+28)=7),JulSun1+28,""))</f>
        <v>44038</v>
      </c>
      <c r="I11" s="3"/>
    </row>
    <row r="12" spans="1:18" ht="64.5" customHeight="1" x14ac:dyDescent="0.25">
      <c r="A12"/>
      <c r="B12" s="10"/>
      <c r="C12" s="10"/>
      <c r="D12" s="10"/>
      <c r="E12" s="10"/>
      <c r="F12" s="10"/>
      <c r="G12" s="11"/>
      <c r="H12" s="11"/>
      <c r="I12" s="3"/>
    </row>
    <row r="13" spans="1:18" ht="15" customHeight="1" x14ac:dyDescent="0.25">
      <c r="A13"/>
      <c r="B13" s="17">
        <f ca="1">IF(DAY(JulSun1)=1,IF(AND(YEAR(JulSun1+22)=AñoCalendario,MONTH(JulSun1+22)=7),JulSun1+22,""),IF(AND(YEAR(JulSun1+29)=AñoCalendario,MONTH(JulSun1+29)=7),JulSun1+29,""))</f>
        <v>44039</v>
      </c>
      <c r="C13" s="17">
        <f ca="1">IF(DAY(JulSun1)=1,IF(AND(YEAR(JulSun1+23)=AñoCalendario,MONTH(JulSun1+23)=7),JulSun1+23,""),IF(AND(YEAR(JulSun1+30)=AñoCalendario,MONTH(JulSun1+30)=7),JulSun1+30,""))</f>
        <v>44040</v>
      </c>
      <c r="D13" s="17">
        <f ca="1">IF(DAY(JulSun1)=1,IF(AND(YEAR(JulSun1+24)=AñoCalendario,MONTH(JulSun1+24)=7),JulSun1+24,""),IF(AND(YEAR(JulSun1+31)=AñoCalendario,MONTH(JulSun1+31)=7),JulSun1+31,""))</f>
        <v>44041</v>
      </c>
      <c r="E13" s="17">
        <f ca="1">IF(DAY(JulSun1)=1,IF(AND(YEAR(JulSun1+25)=AñoCalendario,MONTH(JulSun1+25)=7),JulSun1+25,""),IF(AND(YEAR(JulSun1+32)=AñoCalendario,MONTH(JulSun1+32)=7),JulSun1+32,""))</f>
        <v>44042</v>
      </c>
      <c r="F13" s="17">
        <f ca="1">IF(DAY(JulSun1)=1,IF(AND(YEAR(JulSun1+26)=AñoCalendario,MONTH(JulSun1+26)=7),JulSun1+26,""),IF(AND(YEAR(JulSun1+33)=AñoCalendario,MONTH(JulSun1+33)=7),JulSun1+33,""))</f>
        <v>44043</v>
      </c>
      <c r="G13" s="17" t="str">
        <f ca="1">IF(DAY(JulSun1)=1,IF(AND(YEAR(JulSun1+27)=AñoCalendario,MONTH(JulSun1+27)=7),JulSun1+27,""),IF(AND(YEAR(JulSun1+34)=AñoCalendario,MONTH(JulSun1+34)=7),JulSun1+34,""))</f>
        <v/>
      </c>
      <c r="H13" s="17" t="str">
        <f ca="1">IF(DAY(JulSun1)=1,IF(AND(YEAR(JulSun1+28)=AñoCalendario,MONTH(JulSun1+28)=7),JulSun1+28,""),IF(AND(YEAR(JulSun1+35)=AñoCalendario,MONTH(JulSun1+35)=7),JulSun1+35,""))</f>
        <v/>
      </c>
      <c r="I13" s="3"/>
    </row>
    <row r="14" spans="1:18" ht="64.5" customHeight="1" x14ac:dyDescent="0.25">
      <c r="A14"/>
      <c r="B14" s="8"/>
      <c r="C14" s="8"/>
      <c r="D14" s="8"/>
      <c r="E14" s="8"/>
      <c r="F14" s="8"/>
      <c r="G14" s="9"/>
      <c r="H14" s="9"/>
      <c r="I14" s="3"/>
    </row>
    <row r="15" spans="1:18" ht="15" customHeight="1" x14ac:dyDescent="0.25">
      <c r="A15"/>
      <c r="B15" s="18" t="str">
        <f ca="1">IF(DAY(JulSun1)=1,IF(AND(YEAR(JulSun1+29)=AñoCalendario,MONTH(JulSun1+29)=7),JulSun1+29,""),IF(AND(YEAR(JulSun1+36)=AñoCalendario,MONTH(JulSun1+36)=7),JulSun1+36,""))</f>
        <v/>
      </c>
      <c r="C15" s="19" t="str">
        <f ca="1">IF(DAY(JulSun1)=1,IF(AND(YEAR(JulSun1+30)=AñoCalendario,MONTH(JulSun1+30)=7),JulSun1+30,""),IF(AND(YEAR(JulSun1+37)=AñoCalendario,MONTH(JulSun1+37)=7),JulSun1+37,""))</f>
        <v/>
      </c>
      <c r="D15" s="27" t="s">
        <v>3</v>
      </c>
      <c r="E15" s="28"/>
      <c r="F15" s="28"/>
      <c r="G15" s="28"/>
      <c r="H15" s="29"/>
      <c r="I15" s="3"/>
    </row>
    <row r="16" spans="1:18" ht="64.5" customHeight="1" x14ac:dyDescent="0.25">
      <c r="A16"/>
      <c r="B16" s="10"/>
      <c r="C16" s="10"/>
      <c r="D16" s="24"/>
      <c r="E16" s="25"/>
      <c r="F16" s="25"/>
      <c r="G16" s="25"/>
      <c r="H16" s="26"/>
      <c r="I16" s="3"/>
    </row>
    <row r="17" spans="3:5" ht="17.25" customHeight="1" x14ac:dyDescent="0.2"/>
    <row r="19" spans="3:5" ht="21" customHeight="1" x14ac:dyDescent="0.25">
      <c r="C19" s="6"/>
      <c r="D19" s="5"/>
      <c r="E19" s="4"/>
    </row>
    <row r="20" spans="3:5" ht="19.5" customHeight="1" x14ac:dyDescent="0.2"/>
  </sheetData>
  <mergeCells count="3">
    <mergeCell ref="B3:F3"/>
    <mergeCell ref="D15:H15"/>
    <mergeCell ref="D16:H16"/>
  </mergeCells>
  <printOptions horizontalCentered="1" verticalCentered="1"/>
  <pageMargins left="0.2" right="0.2" top="0.25" bottom="0.25" header="0" footer="0"/>
  <pageSetup paperSize="9" scale="98" orientation="landscape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0" tint="-0.249977111117893"/>
    <pageSetUpPr fitToPage="1"/>
  </sheetPr>
  <dimension ref="A1:R20"/>
  <sheetViews>
    <sheetView showGridLines="0" zoomScaleNormal="100" workbookViewId="0"/>
  </sheetViews>
  <sheetFormatPr baseColWidth="10" defaultColWidth="6.6640625" defaultRowHeight="14.25" x14ac:dyDescent="0.2"/>
  <cols>
    <col min="1" max="1" width="3.109375" style="1" customWidth="1"/>
    <col min="2" max="9" width="13.77734375" style="1" customWidth="1"/>
    <col min="10" max="10" width="12.6640625" style="1" customWidth="1"/>
    <col min="11" max="11" width="2.109375" style="1" customWidth="1"/>
    <col min="12" max="12" width="11.77734375" style="1" customWidth="1"/>
    <col min="13" max="13" width="11.33203125" style="1" customWidth="1"/>
    <col min="14" max="16384" width="6.6640625" style="1"/>
  </cols>
  <sheetData>
    <row r="1" spans="1:18" ht="14.25" customHeight="1" x14ac:dyDescent="0.25">
      <c r="A1"/>
    </row>
    <row r="2" spans="1:18" ht="30" customHeight="1" x14ac:dyDescent="0.25">
      <c r="A2"/>
      <c r="B2" s="20"/>
      <c r="C2" s="20"/>
      <c r="D2" s="20"/>
      <c r="E2" s="20"/>
      <c r="F2" s="20"/>
      <c r="G2" s="20"/>
      <c r="H2" s="20"/>
      <c r="I2" s="20"/>
      <c r="J2" s="20"/>
    </row>
    <row r="3" spans="1:18" ht="62.25" customHeight="1" x14ac:dyDescent="0.25">
      <c r="A3"/>
      <c r="B3" s="30" t="str">
        <f ca="1">UPPER(TEXT(DATE(AñoCalendario,8,1),"mmmm"" de ""aaaa"))</f>
        <v>AGOSTO DE SÁBADO</v>
      </c>
      <c r="C3" s="30"/>
      <c r="D3" s="30"/>
      <c r="E3" s="30"/>
      <c r="F3" s="30"/>
    </row>
    <row r="4" spans="1:18" customFormat="1" ht="26.25" customHeight="1" x14ac:dyDescent="0.25">
      <c r="B4" s="12" t="s">
        <v>0</v>
      </c>
      <c r="C4" s="13" t="s">
        <v>1</v>
      </c>
      <c r="D4" s="13" t="s">
        <v>2</v>
      </c>
      <c r="E4" s="13" t="s">
        <v>4</v>
      </c>
      <c r="F4" s="13" t="s">
        <v>5</v>
      </c>
      <c r="G4" s="13" t="s">
        <v>6</v>
      </c>
      <c r="H4" s="14" t="s">
        <v>7</v>
      </c>
      <c r="I4" s="1"/>
      <c r="J4" s="1"/>
      <c r="L4" s="1"/>
      <c r="M4" s="7"/>
      <c r="Q4" s="1"/>
      <c r="R4" s="1"/>
    </row>
    <row r="5" spans="1:18" customFormat="1" ht="15" customHeight="1" x14ac:dyDescent="0.25">
      <c r="B5" s="15" t="str">
        <f ca="1">IF(DAY(AgoDom1)=1,"",IF(AND(YEAR(AgoDom1+1)=AñoCalendario,MONTH(AgoDom1+1)=8),AgoDom1+1,""))</f>
        <v/>
      </c>
      <c r="C5" s="15" t="str">
        <f ca="1">IF(DAY(AgoDom1)=1,"",IF(AND(YEAR(AgoDom1+2)=AñoCalendario,MONTH(AgoDom1+2)=8),AgoDom1+2,""))</f>
        <v/>
      </c>
      <c r="D5" s="15" t="str">
        <f ca="1">IF(DAY(AgoDom1)=1,"",IF(AND(YEAR(AgoDom1+3)=AñoCalendario,MONTH(AgoDom1+3)=8),AgoDom1+3,""))</f>
        <v/>
      </c>
      <c r="E5" s="15" t="str">
        <f ca="1">IF(DAY(AgoDom1)=1,"",IF(AND(YEAR(AgoDom1+4)=AñoCalendario,MONTH(AgoDom1+4)=8),AgoDom1+4,""))</f>
        <v/>
      </c>
      <c r="F5" s="15" t="str">
        <f ca="1">IF(DAY(AgoDom1)=1,"",IF(AND(YEAR(AgoDom1+5)=AñoCalendario,MONTH(AgoDom1+5)=8),AgoDom1+5,""))</f>
        <v/>
      </c>
      <c r="G5" s="15">
        <f ca="1">IF(DAY(AgoDom1)=1,"",IF(AND(YEAR(AgoDom1+6)=AñoCalendario,MONTH(AgoDom1+6)=8),AgoDom1+6,""))</f>
        <v>44044</v>
      </c>
      <c r="H5" s="15">
        <f ca="1">IF(DAY(AgoDom1)=1,IF(AND(YEAR(AgoDom1)=AñoCalendario,MONTH(AgoDom1)=8),AgoDom1,""),IF(AND(YEAR(AgoDom1+7)=AñoCalendario,MONTH(AgoDom1+7)=8),AgoDom1+7,""))</f>
        <v>44045</v>
      </c>
      <c r="I5" s="3"/>
      <c r="K5" s="1"/>
      <c r="L5" s="1"/>
      <c r="M5" s="1"/>
      <c r="Q5" s="2"/>
      <c r="R5" s="1"/>
    </row>
    <row r="6" spans="1:18" s="2" customFormat="1" ht="64.5" customHeight="1" x14ac:dyDescent="0.25">
      <c r="A6"/>
      <c r="B6" s="8"/>
      <c r="C6" s="8"/>
      <c r="D6" s="8"/>
      <c r="E6" s="8"/>
      <c r="F6" s="8"/>
      <c r="G6" s="9"/>
      <c r="H6" s="9"/>
      <c r="I6" s="3"/>
    </row>
    <row r="7" spans="1:18" ht="15" customHeight="1" x14ac:dyDescent="0.25">
      <c r="A7"/>
      <c r="B7" s="16">
        <f ca="1">IF(DAY(AgoDom1)=1,IF(AND(YEAR(AgoDom1+1)=AñoCalendario,MONTH(AgoDom1+1)=8),AgoDom1+1,""),IF(AND(YEAR(AgoDom1+8)=AñoCalendario,MONTH(AgoDom1+8)=8),AgoDom1+8,""))</f>
        <v>44046</v>
      </c>
      <c r="C7" s="16">
        <f ca="1">IF(DAY(AgoDom1)=1,IF(AND(YEAR(AgoDom1+2)=AñoCalendario,MONTH(AgoDom1+2)=8),AgoDom1+2,""),IF(AND(YEAR(AgoDom1+9)=AñoCalendario,MONTH(AgoDom1+9)=8),AgoDom1+9,""))</f>
        <v>44047</v>
      </c>
      <c r="D7" s="16">
        <f ca="1">IF(DAY(AgoDom1)=1,IF(AND(YEAR(AgoDom1+3)=AñoCalendario,MONTH(AgoDom1+3)=8),AgoDom1+3,""),IF(AND(YEAR(AgoDom1+10)=AñoCalendario,MONTH(AgoDom1+10)=8),AgoDom1+10,""))</f>
        <v>44048</v>
      </c>
      <c r="E7" s="16">
        <f ca="1">IF(DAY(AgoDom1)=1,IF(AND(YEAR(AgoDom1+4)=AñoCalendario,MONTH(AgoDom1+4)=8),AgoDom1+4,""),IF(AND(YEAR(AgoDom1+11)=AñoCalendario,MONTH(AgoDom1+11)=8),AgoDom1+11,""))</f>
        <v>44049</v>
      </c>
      <c r="F7" s="16">
        <f ca="1">IF(DAY(AgoDom1)=1,IF(AND(YEAR(AgoDom1+5)=AñoCalendario,MONTH(AgoDom1+5)=8),AgoDom1+5,""),IF(AND(YEAR(AgoDom1+12)=AñoCalendario,MONTH(AgoDom1+12)=8),AgoDom1+12,""))</f>
        <v>44050</v>
      </c>
      <c r="G7" s="16">
        <f ca="1">IF(DAY(AgoDom1)=1,IF(AND(YEAR(AgoDom1+6)=AñoCalendario,MONTH(AgoDom1+6)=8),AgoDom1+6,""),IF(AND(YEAR(AgoDom1+13)=AñoCalendario,MONTH(AgoDom1+13)=8),AgoDom1+13,""))</f>
        <v>44051</v>
      </c>
      <c r="H7" s="16">
        <f ca="1">IF(DAY(AgoDom1)=1,IF(AND(YEAR(AgoDom1+7)=AñoCalendario,MONTH(AgoDom1+7)=8),AgoDom1+7,""),IF(AND(YEAR(AgoDom1+14)=AñoCalendario,MONTH(AgoDom1+14)=8),AgoDom1+14,""))</f>
        <v>44052</v>
      </c>
      <c r="I7" s="3"/>
    </row>
    <row r="8" spans="1:18" ht="64.5" customHeight="1" x14ac:dyDescent="0.25">
      <c r="A8"/>
      <c r="B8" s="10"/>
      <c r="C8" s="10"/>
      <c r="D8" s="10"/>
      <c r="E8" s="10"/>
      <c r="F8" s="10"/>
      <c r="G8" s="11"/>
      <c r="H8" s="11"/>
      <c r="I8" s="3"/>
    </row>
    <row r="9" spans="1:18" ht="15" customHeight="1" x14ac:dyDescent="0.25">
      <c r="A9"/>
      <c r="B9" s="17">
        <f ca="1">IF(DAY(AgoDom1)=1,IF(AND(YEAR(AgoDom1+8)=AñoCalendario,MONTH(AgoDom1+8)=8),AgoDom1+8,""),IF(AND(YEAR(AgoDom1+15)=AñoCalendario,MONTH(AgoDom1+15)=8),AgoDom1+15,""))</f>
        <v>44053</v>
      </c>
      <c r="C9" s="17">
        <f ca="1">IF(DAY(AgoDom1)=1,IF(AND(YEAR(AgoDom1+9)=AñoCalendario,MONTH(AgoDom1+9)=8),AgoDom1+9,""),IF(AND(YEAR(AgoDom1+16)=AñoCalendario,MONTH(AgoDom1+16)=8),AgoDom1+16,""))</f>
        <v>44054</v>
      </c>
      <c r="D9" s="17">
        <f ca="1">IF(DAY(AgoDom1)=1,IF(AND(YEAR(AgoDom1+10)=AñoCalendario,MONTH(AgoDom1+10)=8),AgoDom1+10,""),IF(AND(YEAR(AgoDom1+17)=AñoCalendario,MONTH(AgoDom1+17)=8),AgoDom1+17,""))</f>
        <v>44055</v>
      </c>
      <c r="E9" s="17">
        <f ca="1">IF(DAY(AgoDom1)=1,IF(AND(YEAR(AgoDom1+11)=AñoCalendario,MONTH(AgoDom1+11)=8),AgoDom1+11,""),IF(AND(YEAR(AgoDom1+18)=AñoCalendario,MONTH(AgoDom1+18)=8),AgoDom1+18,""))</f>
        <v>44056</v>
      </c>
      <c r="F9" s="17">
        <f ca="1">IF(DAY(AgoDom1)=1,IF(AND(YEAR(AgoDom1+12)=AñoCalendario,MONTH(AgoDom1+12)=8),AgoDom1+12,""),IF(AND(YEAR(AgoDom1+19)=AñoCalendario,MONTH(AgoDom1+19)=8),AgoDom1+19,""))</f>
        <v>44057</v>
      </c>
      <c r="G9" s="17">
        <f ca="1">IF(DAY(AgoDom1)=1,IF(AND(YEAR(AgoDom1+13)=AñoCalendario,MONTH(AgoDom1+13)=8),AgoDom1+13,""),IF(AND(YEAR(AgoDom1+20)=AñoCalendario,MONTH(AgoDom1+20)=8),AgoDom1+20,""))</f>
        <v>44058</v>
      </c>
      <c r="H9" s="17">
        <f ca="1">IF(DAY(AgoDom1)=1,IF(AND(YEAR(AgoDom1+14)=AñoCalendario,MONTH(AgoDom1+14)=8),AgoDom1+14,""),IF(AND(YEAR(AgoDom1+21)=AñoCalendario,MONTH(AgoDom1+21)=8),AgoDom1+21,""))</f>
        <v>44059</v>
      </c>
      <c r="I9" s="3"/>
    </row>
    <row r="10" spans="1:18" ht="64.5" customHeight="1" x14ac:dyDescent="0.25">
      <c r="A10"/>
      <c r="B10" s="8"/>
      <c r="C10" s="8"/>
      <c r="D10" s="8"/>
      <c r="E10" s="8"/>
      <c r="F10" s="8"/>
      <c r="G10" s="9"/>
      <c r="H10" s="9"/>
      <c r="I10" s="3"/>
    </row>
    <row r="11" spans="1:18" ht="15" customHeight="1" x14ac:dyDescent="0.25">
      <c r="A11"/>
      <c r="B11" s="18">
        <f ca="1">IF(DAY(AgoDom1)=1,IF(AND(YEAR(AgoDom1+15)=AñoCalendario,MONTH(AgoDom1+15)=8),AgoDom1+15,""),IF(AND(YEAR(AgoDom1+22)=AñoCalendario,MONTH(AgoDom1+22)=8),AgoDom1+22,""))</f>
        <v>44060</v>
      </c>
      <c r="C11" s="18">
        <f ca="1">IF(DAY(AgoDom1)=1,IF(AND(YEAR(AgoDom1+16)=AñoCalendario,MONTH(AgoDom1+16)=8),AgoDom1+16,""),IF(AND(YEAR(AgoDom1+23)=AñoCalendario,MONTH(AgoDom1+23)=8),AgoDom1+23,""))</f>
        <v>44061</v>
      </c>
      <c r="D11" s="18">
        <f ca="1">IF(DAY(AgoDom1)=1,IF(AND(YEAR(AgoDom1+17)=AñoCalendario,MONTH(AgoDom1+17)=8),AgoDom1+17,""),IF(AND(YEAR(AgoDom1+24)=AñoCalendario,MONTH(AgoDom1+24)=8),AgoDom1+24,""))</f>
        <v>44062</v>
      </c>
      <c r="E11" s="18">
        <f ca="1">IF(DAY(AgoDom1)=1,IF(AND(YEAR(AgoDom1+18)=AñoCalendario,MONTH(AgoDom1+18)=8),AgoDom1+18,""),IF(AND(YEAR(AgoDom1+25)=AñoCalendario,MONTH(AgoDom1+25)=8),AgoDom1+25,""))</f>
        <v>44063</v>
      </c>
      <c r="F11" s="18">
        <f ca="1">IF(DAY(AgoDom1)=1,IF(AND(YEAR(AgoDom1+19)=AñoCalendario,MONTH(AgoDom1+19)=8),AgoDom1+19,""),IF(AND(YEAR(AgoDom1+26)=AñoCalendario,MONTH(AgoDom1+26)=8),AgoDom1+26,""))</f>
        <v>44064</v>
      </c>
      <c r="G11" s="18">
        <f ca="1">IF(DAY(AgoDom1)=1,IF(AND(YEAR(AgoDom1+20)=AñoCalendario,MONTH(AgoDom1+20)=8),AgoDom1+20,""),IF(AND(YEAR(AgoDom1+27)=AñoCalendario,MONTH(AgoDom1+27)=8),AgoDom1+27,""))</f>
        <v>44065</v>
      </c>
      <c r="H11" s="18">
        <f ca="1">IF(DAY(AgoDom1)=1,IF(AND(YEAR(AgoDom1+21)=AñoCalendario,MONTH(AgoDom1+21)=8),AgoDom1+21,""),IF(AND(YEAR(AgoDom1+28)=AñoCalendario,MONTH(AgoDom1+28)=8),AgoDom1+28,""))</f>
        <v>44066</v>
      </c>
      <c r="I11" s="3"/>
    </row>
    <row r="12" spans="1:18" ht="64.5" customHeight="1" x14ac:dyDescent="0.25">
      <c r="A12"/>
      <c r="B12" s="10"/>
      <c r="C12" s="10"/>
      <c r="D12" s="10"/>
      <c r="E12" s="10"/>
      <c r="F12" s="10"/>
      <c r="G12" s="11"/>
      <c r="H12" s="11"/>
      <c r="I12" s="3"/>
    </row>
    <row r="13" spans="1:18" ht="15" customHeight="1" x14ac:dyDescent="0.25">
      <c r="A13"/>
      <c r="B13" s="17">
        <f ca="1">IF(DAY(AgoDom1)=1,IF(AND(YEAR(AgoDom1+22)=AñoCalendario,MONTH(AgoDom1+22)=8),AgoDom1+22,""),IF(AND(YEAR(AgoDom1+29)=AñoCalendario,MONTH(AgoDom1+29)=8),AgoDom1+29,""))</f>
        <v>44067</v>
      </c>
      <c r="C13" s="17">
        <f ca="1">IF(DAY(AgoDom1)=1,IF(AND(YEAR(AgoDom1+23)=AñoCalendario,MONTH(AgoDom1+23)=8),AgoDom1+23,""),IF(AND(YEAR(AgoDom1+30)=AñoCalendario,MONTH(AgoDom1+30)=8),AgoDom1+30,""))</f>
        <v>44068</v>
      </c>
      <c r="D13" s="17">
        <f ca="1">IF(DAY(AgoDom1)=1,IF(AND(YEAR(AgoDom1+24)=AñoCalendario,MONTH(AgoDom1+24)=8),AgoDom1+24,""),IF(AND(YEAR(AgoDom1+31)=AñoCalendario,MONTH(AgoDom1+31)=8),AgoDom1+31,""))</f>
        <v>44069</v>
      </c>
      <c r="E13" s="17">
        <f ca="1">IF(DAY(AgoDom1)=1,IF(AND(YEAR(AgoDom1+25)=AñoCalendario,MONTH(AgoDom1+25)=8),AgoDom1+25,""),IF(AND(YEAR(AgoDom1+32)=AñoCalendario,MONTH(AgoDom1+32)=8),AgoDom1+32,""))</f>
        <v>44070</v>
      </c>
      <c r="F13" s="17">
        <f ca="1">IF(DAY(AgoDom1)=1,IF(AND(YEAR(AgoDom1+26)=AñoCalendario,MONTH(AgoDom1+26)=8),AgoDom1+26,""),IF(AND(YEAR(AgoDom1+33)=AñoCalendario,MONTH(AgoDom1+33)=8),AgoDom1+33,""))</f>
        <v>44071</v>
      </c>
      <c r="G13" s="17">
        <f ca="1">IF(DAY(AgoDom1)=1,IF(AND(YEAR(AgoDom1+27)=AñoCalendario,MONTH(AgoDom1+27)=8),AgoDom1+27,""),IF(AND(YEAR(AgoDom1+34)=AñoCalendario,MONTH(AgoDom1+34)=8),AgoDom1+34,""))</f>
        <v>44072</v>
      </c>
      <c r="H13" s="17">
        <f ca="1">IF(DAY(AgoDom1)=1,IF(AND(YEAR(AgoDom1+28)=AñoCalendario,MONTH(AgoDom1+28)=8),AgoDom1+28,""),IF(AND(YEAR(AgoDom1+35)=AñoCalendario,MONTH(AgoDom1+35)=8),AgoDom1+35,""))</f>
        <v>44073</v>
      </c>
      <c r="I13" s="3"/>
    </row>
    <row r="14" spans="1:18" ht="64.5" customHeight="1" x14ac:dyDescent="0.25">
      <c r="A14"/>
      <c r="B14" s="8"/>
      <c r="C14" s="8"/>
      <c r="D14" s="8"/>
      <c r="E14" s="8"/>
      <c r="F14" s="8"/>
      <c r="G14" s="9"/>
      <c r="H14" s="9"/>
      <c r="I14" s="3"/>
    </row>
    <row r="15" spans="1:18" ht="15" customHeight="1" x14ac:dyDescent="0.25">
      <c r="A15"/>
      <c r="B15" s="18">
        <f ca="1">IF(DAY(AgoDom1)=1,IF(AND(YEAR(AgoDom1+29)=AñoCalendario,MONTH(AgoDom1+29)=8),AgoDom1+29,""),IF(AND(YEAR(AgoDom1+36)=AñoCalendario,MONTH(AgoDom1+36)=8),AgoDom1+36,""))</f>
        <v>44074</v>
      </c>
      <c r="C15" s="19" t="str">
        <f ca="1">IF(DAY(AgoDom1)=1,IF(AND(YEAR(AgoDom1+30)=AñoCalendario,MONTH(AgoDom1+30)=8),AgoDom1+30,""),IF(AND(YEAR(AgoDom1+37)=AñoCalendario,MONTH(AgoDom1+37)=8),AgoDom1+37,""))</f>
        <v/>
      </c>
      <c r="D15" s="27" t="s">
        <v>3</v>
      </c>
      <c r="E15" s="28"/>
      <c r="F15" s="28"/>
      <c r="G15" s="28"/>
      <c r="H15" s="29"/>
      <c r="I15" s="3"/>
    </row>
    <row r="16" spans="1:18" ht="64.5" customHeight="1" x14ac:dyDescent="0.25">
      <c r="A16"/>
      <c r="B16" s="10"/>
      <c r="C16" s="10"/>
      <c r="D16" s="24"/>
      <c r="E16" s="25"/>
      <c r="F16" s="25"/>
      <c r="G16" s="25"/>
      <c r="H16" s="26"/>
      <c r="I16" s="3"/>
    </row>
    <row r="17" spans="3:5" ht="17.25" customHeight="1" x14ac:dyDescent="0.2"/>
    <row r="19" spans="3:5" ht="21" customHeight="1" x14ac:dyDescent="0.25">
      <c r="C19" s="6"/>
      <c r="D19" s="5"/>
      <c r="E19" s="4"/>
    </row>
    <row r="20" spans="3:5" ht="19.5" customHeight="1" x14ac:dyDescent="0.2"/>
  </sheetData>
  <mergeCells count="3">
    <mergeCell ref="B3:F3"/>
    <mergeCell ref="D15:H15"/>
    <mergeCell ref="D16:H16"/>
  </mergeCells>
  <printOptions horizontalCentered="1" verticalCentered="1"/>
  <pageMargins left="0.2" right="0.2" top="0.25" bottom="0.25" header="0" footer="0"/>
  <pageSetup paperSize="9" scale="98" orientation="landscape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0" tint="-0.14999847407452621"/>
    <pageSetUpPr fitToPage="1"/>
  </sheetPr>
  <dimension ref="A1:R20"/>
  <sheetViews>
    <sheetView showGridLines="0" zoomScaleNormal="100" workbookViewId="0"/>
  </sheetViews>
  <sheetFormatPr baseColWidth="10" defaultColWidth="6.6640625" defaultRowHeight="14.25" x14ac:dyDescent="0.2"/>
  <cols>
    <col min="1" max="1" width="3.109375" style="1" customWidth="1"/>
    <col min="2" max="9" width="13.77734375" style="1" customWidth="1"/>
    <col min="10" max="10" width="12.6640625" style="1" customWidth="1"/>
    <col min="11" max="11" width="2.109375" style="1" customWidth="1"/>
    <col min="12" max="12" width="11.77734375" style="1" customWidth="1"/>
    <col min="13" max="13" width="11.33203125" style="1" customWidth="1"/>
    <col min="14" max="16384" width="6.6640625" style="1"/>
  </cols>
  <sheetData>
    <row r="1" spans="1:18" ht="14.25" customHeight="1" x14ac:dyDescent="0.25">
      <c r="A1"/>
    </row>
    <row r="2" spans="1:18" ht="30" customHeight="1" x14ac:dyDescent="0.25">
      <c r="A2"/>
      <c r="B2" s="20"/>
      <c r="C2" s="20"/>
      <c r="D2" s="20"/>
      <c r="E2" s="20"/>
      <c r="F2" s="20"/>
      <c r="G2" s="20"/>
      <c r="H2" s="20"/>
      <c r="I2" s="20"/>
      <c r="J2" s="20"/>
    </row>
    <row r="3" spans="1:18" ht="62.25" customHeight="1" x14ac:dyDescent="0.25">
      <c r="A3"/>
      <c r="B3" s="30" t="str">
        <f ca="1">UPPER(TEXT(DATE(AñoCalendario,9,1),"mmmm"" de ""aaaa"))</f>
        <v>SEPTIEMBRE DE MARTES</v>
      </c>
      <c r="C3" s="30"/>
      <c r="D3" s="30"/>
      <c r="E3" s="30"/>
      <c r="F3" s="30"/>
    </row>
    <row r="4" spans="1:18" customFormat="1" ht="26.25" customHeight="1" x14ac:dyDescent="0.25">
      <c r="B4" s="12" t="s">
        <v>0</v>
      </c>
      <c r="C4" s="13" t="s">
        <v>1</v>
      </c>
      <c r="D4" s="13" t="s">
        <v>2</v>
      </c>
      <c r="E4" s="13" t="s">
        <v>4</v>
      </c>
      <c r="F4" s="13" t="s">
        <v>5</v>
      </c>
      <c r="G4" s="13" t="s">
        <v>6</v>
      </c>
      <c r="H4" s="14" t="s">
        <v>7</v>
      </c>
      <c r="I4" s="1"/>
      <c r="J4" s="1"/>
      <c r="L4" s="1"/>
      <c r="M4" s="7"/>
      <c r="Q4" s="1"/>
      <c r="R4" s="1"/>
    </row>
    <row r="5" spans="1:18" customFormat="1" ht="15" customHeight="1" x14ac:dyDescent="0.25">
      <c r="B5" s="15" t="str">
        <f ca="1">IF(DAY(SepDom1)=1,"",IF(AND(YEAR(SepDom1+1)=AñoCalendario,MONTH(SepDom1+1)=9),SepDom1+1,""))</f>
        <v/>
      </c>
      <c r="C5" s="15">
        <f ca="1">IF(DAY(SepDom1)=1,"",IF(AND(YEAR(SepDom1+2)=AñoCalendario,MONTH(SepDom1+2)=9),SepDom1+2,""))</f>
        <v>44075</v>
      </c>
      <c r="D5" s="15">
        <f ca="1">IF(DAY(SepDom1)=1,"",IF(AND(YEAR(SepDom1+3)=AñoCalendario,MONTH(SepDom1+3)=9),SepDom1+3,""))</f>
        <v>44076</v>
      </c>
      <c r="E5" s="15">
        <f ca="1">IF(DAY(SepDom1)=1,"",IF(AND(YEAR(SepDom1+4)=AñoCalendario,MONTH(SepDom1+4)=9),SepDom1+4,""))</f>
        <v>44077</v>
      </c>
      <c r="F5" s="15">
        <f ca="1">IF(DAY(SepDom1)=1,"",IF(AND(YEAR(SepDom1+5)=AñoCalendario,MONTH(SepDom1+5)=9),SepDom1+5,""))</f>
        <v>44078</v>
      </c>
      <c r="G5" s="15">
        <f ca="1">IF(DAY(SepDom1)=1,"",IF(AND(YEAR(SepDom1+6)=AñoCalendario,MONTH(SepDom1+6)=9),SepDom1+6,""))</f>
        <v>44079</v>
      </c>
      <c r="H5" s="15">
        <f ca="1">IF(DAY(SepDom1)=1,IF(AND(YEAR(SepDom1)=AñoCalendario,MONTH(SepDom1)=9),SepDom1,""),IF(AND(YEAR(SepDom1+7)=AñoCalendario,MONTH(SepDom1+7)=9),SepDom1+7,""))</f>
        <v>44080</v>
      </c>
      <c r="I5" s="3"/>
      <c r="K5" s="1"/>
      <c r="L5" s="1"/>
      <c r="M5" s="1"/>
      <c r="Q5" s="2"/>
      <c r="R5" s="1"/>
    </row>
    <row r="6" spans="1:18" s="2" customFormat="1" ht="64.5" customHeight="1" x14ac:dyDescent="0.25">
      <c r="A6"/>
      <c r="B6" s="8"/>
      <c r="C6" s="8"/>
      <c r="D6" s="8"/>
      <c r="E6" s="8"/>
      <c r="F6" s="8"/>
      <c r="G6" s="9"/>
      <c r="H6" s="9"/>
      <c r="I6" s="3"/>
    </row>
    <row r="7" spans="1:18" ht="15" customHeight="1" x14ac:dyDescent="0.25">
      <c r="A7"/>
      <c r="B7" s="16">
        <f ca="1">IF(DAY(SepDom1)=1,IF(AND(YEAR(SepDom1+1)=AñoCalendario,MONTH(SepDom1+1)=9),SepDom1+1,""),IF(AND(YEAR(SepDom1+8)=AñoCalendario,MONTH(SepDom1+8)=9),SepDom1+8,""))</f>
        <v>44081</v>
      </c>
      <c r="C7" s="16">
        <f ca="1">IF(DAY(SepDom1)=1,IF(AND(YEAR(SepDom1+2)=AñoCalendario,MONTH(SepDom1+2)=9),SepDom1+2,""),IF(AND(YEAR(SepDom1+9)=AñoCalendario,MONTH(SepDom1+9)=9),SepDom1+9,""))</f>
        <v>44082</v>
      </c>
      <c r="D7" s="16">
        <f ca="1">IF(DAY(SepDom1)=1,IF(AND(YEAR(SepDom1+3)=AñoCalendario,MONTH(SepDom1+3)=9),SepDom1+3,""),IF(AND(YEAR(SepDom1+10)=AñoCalendario,MONTH(SepDom1+10)=9),SepDom1+10,""))</f>
        <v>44083</v>
      </c>
      <c r="E7" s="16">
        <f ca="1">IF(DAY(SepDom1)=1,IF(AND(YEAR(SepDom1+4)=AñoCalendario,MONTH(SepDom1+4)=9),SepDom1+4,""),IF(AND(YEAR(SepDom1+11)=AñoCalendario,MONTH(SepDom1+11)=9),SepDom1+11,""))</f>
        <v>44084</v>
      </c>
      <c r="F7" s="16">
        <f ca="1">IF(DAY(SepDom1)=1,IF(AND(YEAR(SepDom1+5)=AñoCalendario,MONTH(SepDom1+5)=9),SepDom1+5,""),IF(AND(YEAR(SepDom1+12)=AñoCalendario,MONTH(SepDom1+12)=9),SepDom1+12,""))</f>
        <v>44085</v>
      </c>
      <c r="G7" s="16">
        <f ca="1">IF(DAY(SepDom1)=1,IF(AND(YEAR(SepDom1+6)=AñoCalendario,MONTH(SepDom1+6)=9),SepDom1+6,""),IF(AND(YEAR(SepDom1+13)=AñoCalendario,MONTH(SepDom1+13)=9),SepDom1+13,""))</f>
        <v>44086</v>
      </c>
      <c r="H7" s="16">
        <f ca="1">IF(DAY(SepDom1)=1,IF(AND(YEAR(SepDom1+7)=AñoCalendario,MONTH(SepDom1+7)=9),SepDom1+7,""),IF(AND(YEAR(SepDom1+14)=AñoCalendario,MONTH(SepDom1+14)=9),SepDom1+14,""))</f>
        <v>44087</v>
      </c>
      <c r="I7" s="3"/>
    </row>
    <row r="8" spans="1:18" ht="64.5" customHeight="1" x14ac:dyDescent="0.25">
      <c r="A8"/>
      <c r="B8" s="10"/>
      <c r="C8" s="10"/>
      <c r="D8" s="10"/>
      <c r="E8" s="10"/>
      <c r="F8" s="10"/>
      <c r="G8" s="11"/>
      <c r="H8" s="11"/>
      <c r="I8" s="3"/>
    </row>
    <row r="9" spans="1:18" ht="15" customHeight="1" x14ac:dyDescent="0.25">
      <c r="A9"/>
      <c r="B9" s="17">
        <f ca="1">IF(DAY(SepDom1)=1,IF(AND(YEAR(SepDom1+8)=AñoCalendario,MONTH(SepDom1+8)=9),SepDom1+8,""),IF(AND(YEAR(SepDom1+15)=AñoCalendario,MONTH(SepDom1+15)=9),SepDom1+15,""))</f>
        <v>44088</v>
      </c>
      <c r="C9" s="17">
        <f ca="1">IF(DAY(SepDom1)=1,IF(AND(YEAR(SepDom1+9)=AñoCalendario,MONTH(SepDom1+9)=9),SepDom1+9,""),IF(AND(YEAR(SepDom1+16)=AñoCalendario,MONTH(SepDom1+16)=9),SepDom1+16,""))</f>
        <v>44089</v>
      </c>
      <c r="D9" s="17">
        <f ca="1">IF(DAY(SepDom1)=1,IF(AND(YEAR(SepDom1+10)=AñoCalendario,MONTH(SepDom1+10)=9),SepDom1+10,""),IF(AND(YEAR(SepDom1+17)=AñoCalendario,MONTH(SepDom1+17)=9),SepDom1+17,""))</f>
        <v>44090</v>
      </c>
      <c r="E9" s="17">
        <f ca="1">IF(DAY(SepDom1)=1,IF(AND(YEAR(SepDom1+11)=AñoCalendario,MONTH(SepDom1+11)=9),SepDom1+11,""),IF(AND(YEAR(SepDom1+18)=AñoCalendario,MONTH(SepDom1+18)=9),SepDom1+18,""))</f>
        <v>44091</v>
      </c>
      <c r="F9" s="17">
        <f ca="1">IF(DAY(SepDom1)=1,IF(AND(YEAR(SepDom1+12)=AñoCalendario,MONTH(SepDom1+12)=9),SepDom1+12,""),IF(AND(YEAR(SepDom1+19)=AñoCalendario,MONTH(SepDom1+19)=9),SepDom1+19,""))</f>
        <v>44092</v>
      </c>
      <c r="G9" s="17">
        <f ca="1">IF(DAY(SepDom1)=1,IF(AND(YEAR(SepDom1+13)=AñoCalendario,MONTH(SepDom1+13)=9),SepDom1+13,""),IF(AND(YEAR(SepDom1+20)=AñoCalendario,MONTH(SepDom1+20)=9),SepDom1+20,""))</f>
        <v>44093</v>
      </c>
      <c r="H9" s="17">
        <f ca="1">IF(DAY(SepDom1)=1,IF(AND(YEAR(SepDom1+14)=AñoCalendario,MONTH(SepDom1+14)=9),SepDom1+14,""),IF(AND(YEAR(SepDom1+21)=AñoCalendario,MONTH(SepDom1+21)=9),SepDom1+21,""))</f>
        <v>44094</v>
      </c>
      <c r="I9" s="3"/>
    </row>
    <row r="10" spans="1:18" ht="64.5" customHeight="1" x14ac:dyDescent="0.25">
      <c r="A10"/>
      <c r="B10" s="8"/>
      <c r="C10" s="8"/>
      <c r="D10" s="8"/>
      <c r="E10" s="8"/>
      <c r="F10" s="8"/>
      <c r="G10" s="9"/>
      <c r="H10" s="9"/>
      <c r="I10" s="3"/>
    </row>
    <row r="11" spans="1:18" ht="15" customHeight="1" x14ac:dyDescent="0.25">
      <c r="A11"/>
      <c r="B11" s="18">
        <f ca="1">IF(DAY(SepDom1)=1,IF(AND(YEAR(SepDom1+15)=AñoCalendario,MONTH(SepDom1+15)=9),SepDom1+15,""),IF(AND(YEAR(SepDom1+22)=AñoCalendario,MONTH(SepDom1+22)=9),SepDom1+22,""))</f>
        <v>44095</v>
      </c>
      <c r="C11" s="18">
        <f ca="1">IF(DAY(SepDom1)=1,IF(AND(YEAR(SepDom1+16)=AñoCalendario,MONTH(SepDom1+16)=9),SepDom1+16,""),IF(AND(YEAR(SepDom1+23)=AñoCalendario,MONTH(SepDom1+23)=9),SepDom1+23,""))</f>
        <v>44096</v>
      </c>
      <c r="D11" s="18">
        <f ca="1">IF(DAY(SepDom1)=1,IF(AND(YEAR(SepDom1+17)=AñoCalendario,MONTH(SepDom1+17)=9),SepDom1+17,""),IF(AND(YEAR(SepDom1+24)=AñoCalendario,MONTH(SepDom1+24)=9),SepDom1+24,""))</f>
        <v>44097</v>
      </c>
      <c r="E11" s="18">
        <f ca="1">IF(DAY(SepDom1)=1,IF(AND(YEAR(SepDom1+18)=AñoCalendario,MONTH(SepDom1+18)=9),SepDom1+18,""),IF(AND(YEAR(SepDom1+25)=AñoCalendario,MONTH(SepDom1+25)=9),SepDom1+25,""))</f>
        <v>44098</v>
      </c>
      <c r="F11" s="18">
        <f ca="1">IF(DAY(SepDom1)=1,IF(AND(YEAR(SepDom1+19)=AñoCalendario,MONTH(SepDom1+19)=9),SepDom1+19,""),IF(AND(YEAR(SepDom1+26)=AñoCalendario,MONTH(SepDom1+26)=9),SepDom1+26,""))</f>
        <v>44099</v>
      </c>
      <c r="G11" s="18">
        <f ca="1">IF(DAY(SepDom1)=1,IF(AND(YEAR(SepDom1+20)=AñoCalendario,MONTH(SepDom1+20)=9),SepDom1+20,""),IF(AND(YEAR(SepDom1+27)=AñoCalendario,MONTH(SepDom1+27)=9),SepDom1+27,""))</f>
        <v>44100</v>
      </c>
      <c r="H11" s="18">
        <f ca="1">IF(DAY(SepDom1)=1,IF(AND(YEAR(SepDom1+21)=AñoCalendario,MONTH(SepDom1+21)=9),SepDom1+21,""),IF(AND(YEAR(SepDom1+28)=AñoCalendario,MONTH(SepDom1+28)=9),SepDom1+28,""))</f>
        <v>44101</v>
      </c>
      <c r="I11" s="3"/>
    </row>
    <row r="12" spans="1:18" ht="64.5" customHeight="1" x14ac:dyDescent="0.25">
      <c r="A12"/>
      <c r="B12" s="10"/>
      <c r="C12" s="10"/>
      <c r="D12" s="10"/>
      <c r="E12" s="10"/>
      <c r="F12" s="10"/>
      <c r="G12" s="11"/>
      <c r="H12" s="11"/>
      <c r="I12" s="3"/>
    </row>
    <row r="13" spans="1:18" ht="15" customHeight="1" x14ac:dyDescent="0.25">
      <c r="A13"/>
      <c r="B13" s="17">
        <f ca="1">IF(DAY(SepDom1)=1,IF(AND(YEAR(SepDom1+22)=AñoCalendario,MONTH(SepDom1+22)=9),SepDom1+22,""),IF(AND(YEAR(SepDom1+29)=AñoCalendario,MONTH(SepDom1+29)=9),SepDom1+29,""))</f>
        <v>44102</v>
      </c>
      <c r="C13" s="17">
        <f ca="1">IF(DAY(SepDom1)=1,IF(AND(YEAR(SepDom1+23)=AñoCalendario,MONTH(SepDom1+23)=9),SepDom1+23,""),IF(AND(YEAR(SepDom1+30)=AñoCalendario,MONTH(SepDom1+30)=9),SepDom1+30,""))</f>
        <v>44103</v>
      </c>
      <c r="D13" s="17">
        <f ca="1">IF(DAY(SepDom1)=1,IF(AND(YEAR(SepDom1+24)=AñoCalendario,MONTH(SepDom1+24)=9),SepDom1+24,""),IF(AND(YEAR(SepDom1+31)=AñoCalendario,MONTH(SepDom1+31)=9),SepDom1+31,""))</f>
        <v>44104</v>
      </c>
      <c r="E13" s="17" t="str">
        <f ca="1">IF(DAY(SepDom1)=1,IF(AND(YEAR(SepDom1+25)=AñoCalendario,MONTH(SepDom1+25)=9),SepDom1+25,""),IF(AND(YEAR(SepDom1+32)=AñoCalendario,MONTH(SepDom1+32)=9),SepDom1+32,""))</f>
        <v/>
      </c>
      <c r="F13" s="17" t="str">
        <f ca="1">IF(DAY(SepDom1)=1,IF(AND(YEAR(SepDom1+26)=AñoCalendario,MONTH(SepDom1+26)=9),SepDom1+26,""),IF(AND(YEAR(SepDom1+33)=AñoCalendario,MONTH(SepDom1+33)=9),SepDom1+33,""))</f>
        <v/>
      </c>
      <c r="G13" s="17" t="str">
        <f ca="1">IF(DAY(SepDom1)=1,IF(AND(YEAR(SepDom1+27)=AñoCalendario,MONTH(SepDom1+27)=9),SepDom1+27,""),IF(AND(YEAR(SepDom1+34)=AñoCalendario,MONTH(SepDom1+34)=9),SepDom1+34,""))</f>
        <v/>
      </c>
      <c r="H13" s="17" t="str">
        <f ca="1">IF(DAY(SepDom1)=1,IF(AND(YEAR(SepDom1+28)=AñoCalendario,MONTH(SepDom1+28)=9),SepDom1+28,""),IF(AND(YEAR(SepDom1+35)=AñoCalendario,MONTH(SepDom1+35)=9),SepDom1+35,""))</f>
        <v/>
      </c>
      <c r="I13" s="3"/>
    </row>
    <row r="14" spans="1:18" ht="64.5" customHeight="1" x14ac:dyDescent="0.25">
      <c r="A14"/>
      <c r="B14" s="8"/>
      <c r="C14" s="8"/>
      <c r="D14" s="8"/>
      <c r="E14" s="8"/>
      <c r="F14" s="8"/>
      <c r="G14" s="9"/>
      <c r="H14" s="9"/>
      <c r="I14" s="3"/>
    </row>
    <row r="15" spans="1:18" ht="15" customHeight="1" x14ac:dyDescent="0.25">
      <c r="A15"/>
      <c r="B15" s="18" t="str">
        <f ca="1">IF(DAY(SepDom1)=1,IF(AND(YEAR(SepDom1+29)=AñoCalendario,MONTH(SepDom1+29)=9),SepDom1+29,""),IF(AND(YEAR(SepDom1+36)=AñoCalendario,MONTH(SepDom1+36)=9),SepDom1+36,""))</f>
        <v/>
      </c>
      <c r="C15" s="19" t="str">
        <f ca="1">IF(DAY(SepDom1)=1,IF(AND(YEAR(SepDom1+30)=AñoCalendario,MONTH(SepDom1+30)=9),SepDom1+30,""),IF(AND(YEAR(SepDom1+37)=AñoCalendario,MONTH(SepDom1+37)=9),SepDom1+37,""))</f>
        <v/>
      </c>
      <c r="D15" s="27" t="s">
        <v>3</v>
      </c>
      <c r="E15" s="28"/>
      <c r="F15" s="28"/>
      <c r="G15" s="28"/>
      <c r="H15" s="29"/>
      <c r="I15" s="3"/>
    </row>
    <row r="16" spans="1:18" ht="64.5" customHeight="1" x14ac:dyDescent="0.25">
      <c r="A16"/>
      <c r="B16" s="10"/>
      <c r="C16" s="10"/>
      <c r="D16" s="24"/>
      <c r="E16" s="25"/>
      <c r="F16" s="25"/>
      <c r="G16" s="25"/>
      <c r="H16" s="26"/>
      <c r="I16" s="3"/>
    </row>
    <row r="17" spans="3:5" ht="17.25" customHeight="1" x14ac:dyDescent="0.2"/>
    <row r="19" spans="3:5" ht="21" customHeight="1" x14ac:dyDescent="0.25">
      <c r="C19" s="6"/>
      <c r="D19" s="5"/>
      <c r="E19" s="4"/>
    </row>
    <row r="20" spans="3:5" ht="19.5" customHeight="1" x14ac:dyDescent="0.2"/>
  </sheetData>
  <mergeCells count="3">
    <mergeCell ref="B3:F3"/>
    <mergeCell ref="D15:H15"/>
    <mergeCell ref="D16:H16"/>
  </mergeCells>
  <printOptions horizontalCentered="1" verticalCentered="1"/>
  <pageMargins left="0.2" right="0.2" top="0.25" bottom="0.25" header="0" footer="0"/>
  <pageSetup paperSize="9" scale="98" orientation="landscape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R20"/>
  <sheetViews>
    <sheetView showGridLines="0" zoomScaleNormal="100" workbookViewId="0"/>
  </sheetViews>
  <sheetFormatPr baseColWidth="10" defaultColWidth="6.6640625" defaultRowHeight="14.25" x14ac:dyDescent="0.2"/>
  <cols>
    <col min="1" max="1" width="3.109375" style="1" customWidth="1"/>
    <col min="2" max="9" width="13.77734375" style="1" customWidth="1"/>
    <col min="10" max="10" width="12.6640625" style="1" customWidth="1"/>
    <col min="11" max="11" width="2.109375" style="1" customWidth="1"/>
    <col min="12" max="12" width="11.77734375" style="1" customWidth="1"/>
    <col min="13" max="13" width="11.33203125" style="1" customWidth="1"/>
    <col min="14" max="16384" width="6.6640625" style="1"/>
  </cols>
  <sheetData>
    <row r="1" spans="1:18" ht="14.25" customHeight="1" x14ac:dyDescent="0.25">
      <c r="A1"/>
    </row>
    <row r="2" spans="1:18" ht="30" customHeight="1" x14ac:dyDescent="0.25">
      <c r="A2"/>
      <c r="B2" s="20"/>
      <c r="C2" s="20"/>
      <c r="D2" s="20"/>
      <c r="E2" s="20"/>
      <c r="F2" s="20"/>
      <c r="G2" s="20"/>
      <c r="H2" s="20"/>
      <c r="I2" s="20"/>
      <c r="J2" s="20"/>
    </row>
    <row r="3" spans="1:18" ht="62.25" customHeight="1" x14ac:dyDescent="0.25">
      <c r="A3"/>
      <c r="B3" s="30" t="str">
        <f ca="1">UPPER(TEXT(DATE(AñoCalendario,10,1),"mmmm"" de ""aaaa"))</f>
        <v>OCTUBRE DE JUEVES</v>
      </c>
      <c r="C3" s="30"/>
      <c r="D3" s="30"/>
      <c r="E3" s="30"/>
      <c r="F3" s="30"/>
    </row>
    <row r="4" spans="1:18" customFormat="1" ht="26.25" customHeight="1" x14ac:dyDescent="0.25">
      <c r="B4" s="12" t="s">
        <v>0</v>
      </c>
      <c r="C4" s="13" t="s">
        <v>1</v>
      </c>
      <c r="D4" s="13" t="s">
        <v>2</v>
      </c>
      <c r="E4" s="13" t="s">
        <v>4</v>
      </c>
      <c r="F4" s="13" t="s">
        <v>5</v>
      </c>
      <c r="G4" s="13" t="s">
        <v>6</v>
      </c>
      <c r="H4" s="14" t="s">
        <v>7</v>
      </c>
      <c r="I4" s="1"/>
      <c r="J4" s="1"/>
      <c r="L4" s="1"/>
      <c r="M4" s="7"/>
      <c r="Q4" s="1"/>
      <c r="R4" s="1"/>
    </row>
    <row r="5" spans="1:18" customFormat="1" ht="15" customHeight="1" x14ac:dyDescent="0.25">
      <c r="B5" s="15" t="str">
        <f ca="1">IF(DAY(OctSun1)=1,"",IF(AND(YEAR(OctSun1+1)=AñoCalendario,MONTH(OctSun1+1)=10),OctSun1+1,""))</f>
        <v/>
      </c>
      <c r="C5" s="15" t="str">
        <f ca="1">IF(DAY(OctSun1)=1,"",IF(AND(YEAR(OctSun1+2)=AñoCalendario,MONTH(OctSun1+2)=10),OctSun1+2,""))</f>
        <v/>
      </c>
      <c r="D5" s="15" t="str">
        <f ca="1">IF(DAY(OctSun1)=1,"",IF(AND(YEAR(OctSun1+3)=AñoCalendario,MONTH(OctSun1+3)=10),OctSun1+3,""))</f>
        <v/>
      </c>
      <c r="E5" s="15">
        <f ca="1">IF(DAY(OctSun1)=1,"",IF(AND(YEAR(OctSun1+4)=AñoCalendario,MONTH(OctSun1+4)=10),OctSun1+4,""))</f>
        <v>44105</v>
      </c>
      <c r="F5" s="15">
        <f ca="1">IF(DAY(OctSun1)=1,"",IF(AND(YEAR(OctSun1+5)=AñoCalendario,MONTH(OctSun1+5)=10),OctSun1+5,""))</f>
        <v>44106</v>
      </c>
      <c r="G5" s="15">
        <f ca="1">IF(DAY(OctSun1)=1,"",IF(AND(YEAR(OctSun1+6)=AñoCalendario,MONTH(OctSun1+6)=10),OctSun1+6,""))</f>
        <v>44107</v>
      </c>
      <c r="H5" s="15">
        <f ca="1">IF(DAY(OctSun1)=1,IF(AND(YEAR(OctSun1)=AñoCalendario,MONTH(OctSun1)=10),OctSun1,""),IF(AND(YEAR(OctSun1+7)=AñoCalendario,MONTH(OctSun1+7)=10),OctSun1+7,""))</f>
        <v>44108</v>
      </c>
      <c r="I5" s="3"/>
      <c r="K5" s="1"/>
      <c r="L5" s="1"/>
      <c r="M5" s="1"/>
      <c r="Q5" s="2"/>
      <c r="R5" s="1"/>
    </row>
    <row r="6" spans="1:18" s="2" customFormat="1" ht="64.5" customHeight="1" x14ac:dyDescent="0.25">
      <c r="A6"/>
      <c r="B6" s="8"/>
      <c r="C6" s="8"/>
      <c r="D6" s="8"/>
      <c r="E6" s="8"/>
      <c r="F6" s="8"/>
      <c r="G6" s="9"/>
      <c r="H6" s="9"/>
      <c r="I6" s="3"/>
    </row>
    <row r="7" spans="1:18" ht="15" customHeight="1" x14ac:dyDescent="0.25">
      <c r="A7"/>
      <c r="B7" s="16">
        <f ca="1">IF(DAY(OctSun1)=1,IF(AND(YEAR(OctSun1+1)=AñoCalendario,MONTH(OctSun1+1)=10),OctSun1+1,""),IF(AND(YEAR(OctSun1+8)=AñoCalendario,MONTH(OctSun1+8)=10),OctSun1+8,""))</f>
        <v>44109</v>
      </c>
      <c r="C7" s="16">
        <f ca="1">IF(DAY(OctSun1)=1,IF(AND(YEAR(OctSun1+2)=AñoCalendario,MONTH(OctSun1+2)=10),OctSun1+2,""),IF(AND(YEAR(OctSun1+9)=AñoCalendario,MONTH(OctSun1+9)=10),OctSun1+9,""))</f>
        <v>44110</v>
      </c>
      <c r="D7" s="16">
        <f ca="1">IF(DAY(OctSun1)=1,IF(AND(YEAR(OctSun1+3)=AñoCalendario,MONTH(OctSun1+3)=10),OctSun1+3,""),IF(AND(YEAR(OctSun1+10)=AñoCalendario,MONTH(OctSun1+10)=10),OctSun1+10,""))</f>
        <v>44111</v>
      </c>
      <c r="E7" s="16">
        <f ca="1">IF(DAY(OctSun1)=1,IF(AND(YEAR(OctSun1+4)=AñoCalendario,MONTH(OctSun1+4)=10),OctSun1+4,""),IF(AND(YEAR(OctSun1+11)=AñoCalendario,MONTH(OctSun1+11)=10),OctSun1+11,""))</f>
        <v>44112</v>
      </c>
      <c r="F7" s="16">
        <f ca="1">IF(DAY(OctSun1)=1,IF(AND(YEAR(OctSun1+5)=AñoCalendario,MONTH(OctSun1+5)=10),OctSun1+5,""),IF(AND(YEAR(OctSun1+12)=AñoCalendario,MONTH(OctSun1+12)=10),OctSun1+12,""))</f>
        <v>44113</v>
      </c>
      <c r="G7" s="16">
        <f ca="1">IF(DAY(OctSun1)=1,IF(AND(YEAR(OctSun1+6)=AñoCalendario,MONTH(OctSun1+6)=10),OctSun1+6,""),IF(AND(YEAR(OctSun1+13)=AñoCalendario,MONTH(OctSun1+13)=10),OctSun1+13,""))</f>
        <v>44114</v>
      </c>
      <c r="H7" s="16">
        <f ca="1">IF(DAY(OctSun1)=1,IF(AND(YEAR(OctSun1+7)=AñoCalendario,MONTH(OctSun1+7)=10),OctSun1+7,""),IF(AND(YEAR(OctSun1+14)=AñoCalendario,MONTH(OctSun1+14)=10),OctSun1+14,""))</f>
        <v>44115</v>
      </c>
      <c r="I7" s="3"/>
    </row>
    <row r="8" spans="1:18" ht="64.5" customHeight="1" x14ac:dyDescent="0.25">
      <c r="A8"/>
      <c r="B8" s="10"/>
      <c r="C8" s="10"/>
      <c r="D8" s="10"/>
      <c r="E8" s="10"/>
      <c r="F8" s="10"/>
      <c r="G8" s="11"/>
      <c r="H8" s="11"/>
      <c r="I8" s="3"/>
    </row>
    <row r="9" spans="1:18" ht="15" customHeight="1" x14ac:dyDescent="0.25">
      <c r="A9"/>
      <c r="B9" s="17">
        <f ca="1">IF(DAY(OctSun1)=1,IF(AND(YEAR(OctSun1+8)=AñoCalendario,MONTH(OctSun1+8)=10),OctSun1+8,""),IF(AND(YEAR(OctSun1+15)=AñoCalendario,MONTH(OctSun1+15)=10),OctSun1+15,""))</f>
        <v>44116</v>
      </c>
      <c r="C9" s="17">
        <f ca="1">IF(DAY(OctSun1)=1,IF(AND(YEAR(OctSun1+9)=AñoCalendario,MONTH(OctSun1+9)=10),OctSun1+9,""),IF(AND(YEAR(OctSun1+16)=AñoCalendario,MONTH(OctSun1+16)=10),OctSun1+16,""))</f>
        <v>44117</v>
      </c>
      <c r="D9" s="17">
        <f ca="1">IF(DAY(OctSun1)=1,IF(AND(YEAR(OctSun1+10)=AñoCalendario,MONTH(OctSun1+10)=10),OctSun1+10,""),IF(AND(YEAR(OctSun1+17)=AñoCalendario,MONTH(OctSun1+17)=10),OctSun1+17,""))</f>
        <v>44118</v>
      </c>
      <c r="E9" s="17">
        <f ca="1">IF(DAY(OctSun1)=1,IF(AND(YEAR(OctSun1+11)=AñoCalendario,MONTH(OctSun1+11)=10),OctSun1+11,""),IF(AND(YEAR(OctSun1+18)=AñoCalendario,MONTH(OctSun1+18)=10),OctSun1+18,""))</f>
        <v>44119</v>
      </c>
      <c r="F9" s="17">
        <f ca="1">IF(DAY(OctSun1)=1,IF(AND(YEAR(OctSun1+12)=AñoCalendario,MONTH(OctSun1+12)=10),OctSun1+12,""),IF(AND(YEAR(OctSun1+19)=AñoCalendario,MONTH(OctSun1+19)=10),OctSun1+19,""))</f>
        <v>44120</v>
      </c>
      <c r="G9" s="17">
        <f ca="1">IF(DAY(OctSun1)=1,IF(AND(YEAR(OctSun1+13)=AñoCalendario,MONTH(OctSun1+13)=10),OctSun1+13,""),IF(AND(YEAR(OctSun1+20)=AñoCalendario,MONTH(OctSun1+20)=10),OctSun1+20,""))</f>
        <v>44121</v>
      </c>
      <c r="H9" s="17">
        <f ca="1">IF(DAY(OctSun1)=1,IF(AND(YEAR(OctSun1+14)=AñoCalendario,MONTH(OctSun1+14)=10),OctSun1+14,""),IF(AND(YEAR(OctSun1+21)=AñoCalendario,MONTH(OctSun1+21)=10),OctSun1+21,""))</f>
        <v>44122</v>
      </c>
      <c r="I9" s="3"/>
    </row>
    <row r="10" spans="1:18" ht="64.5" customHeight="1" x14ac:dyDescent="0.25">
      <c r="A10"/>
      <c r="B10" s="8"/>
      <c r="C10" s="8"/>
      <c r="D10" s="8"/>
      <c r="E10" s="8"/>
      <c r="F10" s="8"/>
      <c r="G10" s="9"/>
      <c r="H10" s="9"/>
      <c r="I10" s="3"/>
    </row>
    <row r="11" spans="1:18" ht="15" customHeight="1" x14ac:dyDescent="0.25">
      <c r="A11"/>
      <c r="B11" s="18">
        <f ca="1">IF(DAY(OctSun1)=1,IF(AND(YEAR(OctSun1+15)=AñoCalendario,MONTH(OctSun1+15)=10),OctSun1+15,""),IF(AND(YEAR(OctSun1+22)=AñoCalendario,MONTH(OctSun1+22)=10),OctSun1+22,""))</f>
        <v>44123</v>
      </c>
      <c r="C11" s="18">
        <f ca="1">IF(DAY(OctSun1)=1,IF(AND(YEAR(OctSun1+16)=AñoCalendario,MONTH(OctSun1+16)=10),OctSun1+16,""),IF(AND(YEAR(OctSun1+23)=AñoCalendario,MONTH(OctSun1+23)=10),OctSun1+23,""))</f>
        <v>44124</v>
      </c>
      <c r="D11" s="18">
        <f ca="1">IF(DAY(OctSun1)=1,IF(AND(YEAR(OctSun1+17)=AñoCalendario,MONTH(OctSun1+17)=10),OctSun1+17,""),IF(AND(YEAR(OctSun1+24)=AñoCalendario,MONTH(OctSun1+24)=10),OctSun1+24,""))</f>
        <v>44125</v>
      </c>
      <c r="E11" s="18">
        <f ca="1">IF(DAY(OctSun1)=1,IF(AND(YEAR(OctSun1+18)=AñoCalendario,MONTH(OctSun1+18)=10),OctSun1+18,""),IF(AND(YEAR(OctSun1+25)=AñoCalendario,MONTH(OctSun1+25)=10),OctSun1+25,""))</f>
        <v>44126</v>
      </c>
      <c r="F11" s="18">
        <f ca="1">IF(DAY(OctSun1)=1,IF(AND(YEAR(OctSun1+19)=AñoCalendario,MONTH(OctSun1+19)=10),OctSun1+19,""),IF(AND(YEAR(OctSun1+26)=AñoCalendario,MONTH(OctSun1+26)=10),OctSun1+26,""))</f>
        <v>44127</v>
      </c>
      <c r="G11" s="18">
        <f ca="1">IF(DAY(OctSun1)=1,IF(AND(YEAR(OctSun1+20)=AñoCalendario,MONTH(OctSun1+20)=10),OctSun1+20,""),IF(AND(YEAR(OctSun1+27)=AñoCalendario,MONTH(OctSun1+27)=10),OctSun1+27,""))</f>
        <v>44128</v>
      </c>
      <c r="H11" s="18">
        <f ca="1">IF(DAY(OctSun1)=1,IF(AND(YEAR(OctSun1+21)=AñoCalendario,MONTH(OctSun1+21)=10),OctSun1+21,""),IF(AND(YEAR(OctSun1+28)=AñoCalendario,MONTH(OctSun1+28)=10),OctSun1+28,""))</f>
        <v>44129</v>
      </c>
      <c r="I11" s="3"/>
    </row>
    <row r="12" spans="1:18" ht="64.5" customHeight="1" x14ac:dyDescent="0.25">
      <c r="A12"/>
      <c r="B12" s="10"/>
      <c r="C12" s="10"/>
      <c r="D12" s="10"/>
      <c r="E12" s="10"/>
      <c r="F12" s="10"/>
      <c r="G12" s="11"/>
      <c r="H12" s="11"/>
      <c r="I12" s="3"/>
    </row>
    <row r="13" spans="1:18" ht="15" customHeight="1" x14ac:dyDescent="0.25">
      <c r="A13"/>
      <c r="B13" s="17">
        <f ca="1">IF(DAY(OctSun1)=1,IF(AND(YEAR(OctSun1+22)=AñoCalendario,MONTH(OctSun1+22)=10),OctSun1+22,""),IF(AND(YEAR(OctSun1+29)=AñoCalendario,MONTH(OctSun1+29)=10),OctSun1+29,""))</f>
        <v>44130</v>
      </c>
      <c r="C13" s="17">
        <f ca="1">IF(DAY(OctSun1)=1,IF(AND(YEAR(OctSun1+23)=AñoCalendario,MONTH(OctSun1+23)=10),OctSun1+23,""),IF(AND(YEAR(OctSun1+30)=AñoCalendario,MONTH(OctSun1+30)=10),OctSun1+30,""))</f>
        <v>44131</v>
      </c>
      <c r="D13" s="17">
        <f ca="1">IF(DAY(OctSun1)=1,IF(AND(YEAR(OctSun1+24)=AñoCalendario,MONTH(OctSun1+24)=10),OctSun1+24,""),IF(AND(YEAR(OctSun1+31)=AñoCalendario,MONTH(OctSun1+31)=10),OctSun1+31,""))</f>
        <v>44132</v>
      </c>
      <c r="E13" s="17">
        <f ca="1">IF(DAY(OctSun1)=1,IF(AND(YEAR(OctSun1+25)=AñoCalendario,MONTH(OctSun1+25)=10),OctSun1+25,""),IF(AND(YEAR(OctSun1+32)=AñoCalendario,MONTH(OctSun1+32)=10),OctSun1+32,""))</f>
        <v>44133</v>
      </c>
      <c r="F13" s="17">
        <f ca="1">IF(DAY(OctSun1)=1,IF(AND(YEAR(OctSun1+26)=AñoCalendario,MONTH(OctSun1+26)=10),OctSun1+26,""),IF(AND(YEAR(OctSun1+33)=AñoCalendario,MONTH(OctSun1+33)=10),OctSun1+33,""))</f>
        <v>44134</v>
      </c>
      <c r="G13" s="17">
        <f ca="1">IF(DAY(OctSun1)=1,IF(AND(YEAR(OctSun1+27)=AñoCalendario,MONTH(OctSun1+27)=10),OctSun1+27,""),IF(AND(YEAR(OctSun1+34)=AñoCalendario,MONTH(OctSun1+34)=10),OctSun1+34,""))</f>
        <v>44135</v>
      </c>
      <c r="H13" s="17" t="str">
        <f ca="1">IF(DAY(OctSun1)=1,IF(AND(YEAR(OctSun1+28)=AñoCalendario,MONTH(OctSun1+28)=10),OctSun1+28,""),IF(AND(YEAR(OctSun1+35)=AñoCalendario,MONTH(OctSun1+35)=10),OctSun1+35,""))</f>
        <v/>
      </c>
      <c r="I13" s="3"/>
    </row>
    <row r="14" spans="1:18" ht="64.5" customHeight="1" x14ac:dyDescent="0.25">
      <c r="A14"/>
      <c r="B14" s="8"/>
      <c r="C14" s="8"/>
      <c r="D14" s="8"/>
      <c r="E14" s="8"/>
      <c r="F14" s="8"/>
      <c r="G14" s="9"/>
      <c r="H14" s="9"/>
      <c r="I14" s="3"/>
    </row>
    <row r="15" spans="1:18" ht="15" customHeight="1" x14ac:dyDescent="0.25">
      <c r="A15"/>
      <c r="B15" s="18" t="str">
        <f ca="1">IF(DAY(OctSun1)=1,IF(AND(YEAR(OctSun1+29)=AñoCalendario,MONTH(OctSun1+29)=10),OctSun1+29,""),IF(AND(YEAR(OctSun1+36)=AñoCalendario,MONTH(OctSun1+36)=10),OctSun1+36,""))</f>
        <v/>
      </c>
      <c r="C15" s="19" t="str">
        <f ca="1">IF(DAY(OctSun1)=1,IF(AND(YEAR(OctSun1+30)=AñoCalendario,MONTH(OctSun1+30)=10),OctSun1+30,""),IF(AND(YEAR(OctSun1+37)=AñoCalendario,MONTH(OctSun1+37)=10),OctSun1+37,""))</f>
        <v/>
      </c>
      <c r="D15" s="27" t="s">
        <v>3</v>
      </c>
      <c r="E15" s="28"/>
      <c r="F15" s="28"/>
      <c r="G15" s="28"/>
      <c r="H15" s="29"/>
      <c r="I15" s="3"/>
    </row>
    <row r="16" spans="1:18" ht="64.5" customHeight="1" x14ac:dyDescent="0.25">
      <c r="A16"/>
      <c r="B16" s="10"/>
      <c r="C16" s="10"/>
      <c r="D16" s="24"/>
      <c r="E16" s="25"/>
      <c r="F16" s="25"/>
      <c r="G16" s="25"/>
      <c r="H16" s="26"/>
      <c r="I16" s="3"/>
    </row>
    <row r="17" spans="3:5" ht="17.25" customHeight="1" x14ac:dyDescent="0.2"/>
    <row r="19" spans="3:5" ht="21" customHeight="1" x14ac:dyDescent="0.25">
      <c r="C19" s="6"/>
      <c r="D19" s="5"/>
      <c r="E19" s="4"/>
    </row>
    <row r="20" spans="3:5" ht="19.5" customHeight="1" x14ac:dyDescent="0.2"/>
  </sheetData>
  <mergeCells count="3">
    <mergeCell ref="B3:F3"/>
    <mergeCell ref="D15:H15"/>
    <mergeCell ref="D16:H16"/>
  </mergeCells>
  <printOptions horizontalCentered="1" verticalCentered="1"/>
  <pageMargins left="0.2" right="0.2" top="0.25" bottom="0.25" header="0" footer="0"/>
  <pageSetup paperSize="9" scale="98" orientation="landscape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0" tint="-0.499984740745262"/>
    <pageSetUpPr fitToPage="1"/>
  </sheetPr>
  <dimension ref="A1:R20"/>
  <sheetViews>
    <sheetView showGridLines="0" zoomScaleNormal="100" workbookViewId="0"/>
  </sheetViews>
  <sheetFormatPr baseColWidth="10" defaultColWidth="6.6640625" defaultRowHeight="14.25" x14ac:dyDescent="0.2"/>
  <cols>
    <col min="1" max="1" width="3.109375" style="1" customWidth="1"/>
    <col min="2" max="9" width="13.77734375" style="1" customWidth="1"/>
    <col min="10" max="10" width="12.6640625" style="1" customWidth="1"/>
    <col min="11" max="11" width="2.109375" style="1" customWidth="1"/>
    <col min="12" max="12" width="11.77734375" style="1" customWidth="1"/>
    <col min="13" max="13" width="11.33203125" style="1" customWidth="1"/>
    <col min="14" max="16384" width="6.6640625" style="1"/>
  </cols>
  <sheetData>
    <row r="1" spans="1:18" ht="14.25" customHeight="1" x14ac:dyDescent="0.25">
      <c r="A1"/>
    </row>
    <row r="2" spans="1:18" ht="30" customHeight="1" x14ac:dyDescent="0.25">
      <c r="A2"/>
      <c r="B2" s="20"/>
      <c r="C2" s="20"/>
      <c r="D2" s="20"/>
      <c r="E2" s="20"/>
      <c r="F2" s="20"/>
      <c r="G2" s="20"/>
      <c r="H2" s="20"/>
      <c r="I2" s="20"/>
      <c r="J2" s="20"/>
    </row>
    <row r="3" spans="1:18" ht="62.25" customHeight="1" x14ac:dyDescent="0.25">
      <c r="A3"/>
      <c r="B3" s="30" t="str">
        <f ca="1">UPPER(TEXT(DATE(AñoCalendario,11,1),"mmmm"" de ""aaaa"))</f>
        <v>NOVIEMBRE DE DOMINGO</v>
      </c>
      <c r="C3" s="30"/>
      <c r="D3" s="30"/>
      <c r="E3" s="30"/>
      <c r="F3" s="30"/>
    </row>
    <row r="4" spans="1:18" customFormat="1" ht="26.25" customHeight="1" x14ac:dyDescent="0.25">
      <c r="B4" s="12" t="s">
        <v>0</v>
      </c>
      <c r="C4" s="13" t="s">
        <v>1</v>
      </c>
      <c r="D4" s="13" t="s">
        <v>2</v>
      </c>
      <c r="E4" s="13" t="s">
        <v>4</v>
      </c>
      <c r="F4" s="13" t="s">
        <v>5</v>
      </c>
      <c r="G4" s="13" t="s">
        <v>6</v>
      </c>
      <c r="H4" s="14" t="s">
        <v>7</v>
      </c>
      <c r="I4" s="1"/>
      <c r="J4" s="1"/>
      <c r="L4" s="1"/>
      <c r="M4" s="7"/>
      <c r="Q4" s="1"/>
      <c r="R4" s="1"/>
    </row>
    <row r="5" spans="1:18" customFormat="1" ht="15" customHeight="1" x14ac:dyDescent="0.25">
      <c r="B5" s="15" t="str">
        <f ca="1">IF(DAY(NovSun1)=1,"",IF(AND(YEAR(NovSun1+1)=AñoCalendario,MONTH(NovSun1+1)=11),NovSun1+1,""))</f>
        <v/>
      </c>
      <c r="C5" s="15" t="str">
        <f ca="1">IF(DAY(NovSun1)=1,"",IF(AND(YEAR(NovSun1+2)=AñoCalendario,MONTH(NovSun1+2)=11),NovSun1+2,""))</f>
        <v/>
      </c>
      <c r="D5" s="15" t="str">
        <f ca="1">IF(DAY(NovSun1)=1,"",IF(AND(YEAR(NovSun1+3)=AñoCalendario,MONTH(NovSun1+3)=11),NovSun1+3,""))</f>
        <v/>
      </c>
      <c r="E5" s="15" t="str">
        <f ca="1">IF(DAY(NovSun1)=1,"",IF(AND(YEAR(NovSun1+4)=AñoCalendario,MONTH(NovSun1+4)=11),NovSun1+4,""))</f>
        <v/>
      </c>
      <c r="F5" s="15" t="str">
        <f ca="1">IF(DAY(NovSun1)=1,"",IF(AND(YEAR(NovSun1+5)=AñoCalendario,MONTH(NovSun1+5)=11),NovSun1+5,""))</f>
        <v/>
      </c>
      <c r="G5" s="15" t="str">
        <f ca="1">IF(DAY(NovSun1)=1,"",IF(AND(YEAR(NovSun1+6)=AñoCalendario,MONTH(NovSun1+6)=11),NovSun1+6,""))</f>
        <v/>
      </c>
      <c r="H5" s="15">
        <f ca="1">IF(DAY(NovSun1)=1,IF(AND(YEAR(NovSun1)=AñoCalendario,MONTH(NovSun1)=11),NovSun1,""),IF(AND(YEAR(NovSun1+7)=AñoCalendario,MONTH(NovSun1+7)=11),NovSun1+7,""))</f>
        <v>44136</v>
      </c>
      <c r="I5" s="3"/>
      <c r="K5" s="1"/>
      <c r="L5" s="1"/>
      <c r="M5" s="1"/>
      <c r="Q5" s="2"/>
      <c r="R5" s="1"/>
    </row>
    <row r="6" spans="1:18" s="2" customFormat="1" ht="64.5" customHeight="1" x14ac:dyDescent="0.25">
      <c r="A6"/>
      <c r="B6" s="8"/>
      <c r="C6" s="8"/>
      <c r="D6" s="8"/>
      <c r="E6" s="8"/>
      <c r="F6" s="8"/>
      <c r="G6" s="9"/>
      <c r="H6" s="9"/>
      <c r="I6" s="3"/>
    </row>
    <row r="7" spans="1:18" ht="15" customHeight="1" x14ac:dyDescent="0.25">
      <c r="A7"/>
      <c r="B7" s="16">
        <f ca="1">IF(DAY(NovSun1)=1,IF(AND(YEAR(NovSun1+1)=AñoCalendario,MONTH(NovSun1+1)=11),NovSun1+1,""),IF(AND(YEAR(NovSun1+8)=AñoCalendario,MONTH(NovSun1+8)=11),NovSun1+8,""))</f>
        <v>44137</v>
      </c>
      <c r="C7" s="16">
        <f ca="1">IF(DAY(NovSun1)=1,IF(AND(YEAR(NovSun1+2)=AñoCalendario,MONTH(NovSun1+2)=11),NovSun1+2,""),IF(AND(YEAR(NovSun1+9)=AñoCalendario,MONTH(NovSun1+9)=11),NovSun1+9,""))</f>
        <v>44138</v>
      </c>
      <c r="D7" s="16">
        <f ca="1">IF(DAY(NovSun1)=1,IF(AND(YEAR(NovSun1+3)=AñoCalendario,MONTH(NovSun1+3)=11),NovSun1+3,""),IF(AND(YEAR(NovSun1+10)=AñoCalendario,MONTH(NovSun1+10)=11),NovSun1+10,""))</f>
        <v>44139</v>
      </c>
      <c r="E7" s="16">
        <f ca="1">IF(DAY(NovSun1)=1,IF(AND(YEAR(NovSun1+4)=AñoCalendario,MONTH(NovSun1+4)=11),NovSun1+4,""),IF(AND(YEAR(NovSun1+11)=AñoCalendario,MONTH(NovSun1+11)=11),NovSun1+11,""))</f>
        <v>44140</v>
      </c>
      <c r="F7" s="16">
        <f ca="1">IF(DAY(NovSun1)=1,IF(AND(YEAR(NovSun1+5)=AñoCalendario,MONTH(NovSun1+5)=11),NovSun1+5,""),IF(AND(YEAR(NovSun1+12)=AñoCalendario,MONTH(NovSun1+12)=11),NovSun1+12,""))</f>
        <v>44141</v>
      </c>
      <c r="G7" s="16">
        <f ca="1">IF(DAY(NovSun1)=1,IF(AND(YEAR(NovSun1+6)=AñoCalendario,MONTH(NovSun1+6)=11),NovSun1+6,""),IF(AND(YEAR(NovSun1+13)=AñoCalendario,MONTH(NovSun1+13)=11),NovSun1+13,""))</f>
        <v>44142</v>
      </c>
      <c r="H7" s="16">
        <f ca="1">IF(DAY(NovSun1)=1,IF(AND(YEAR(NovSun1+7)=AñoCalendario,MONTH(NovSun1+7)=11),NovSun1+7,""),IF(AND(YEAR(NovSun1+14)=AñoCalendario,MONTH(NovSun1+14)=11),NovSun1+14,""))</f>
        <v>44143</v>
      </c>
      <c r="I7" s="3"/>
    </row>
    <row r="8" spans="1:18" ht="64.5" customHeight="1" x14ac:dyDescent="0.25">
      <c r="A8"/>
      <c r="B8" s="10"/>
      <c r="C8" s="10"/>
      <c r="D8" s="10"/>
      <c r="E8" s="10"/>
      <c r="F8" s="10"/>
      <c r="G8" s="11"/>
      <c r="H8" s="11"/>
      <c r="I8" s="3"/>
    </row>
    <row r="9" spans="1:18" ht="15" customHeight="1" x14ac:dyDescent="0.25">
      <c r="A9"/>
      <c r="B9" s="17">
        <f ca="1">IF(DAY(NovSun1)=1,IF(AND(YEAR(NovSun1+8)=AñoCalendario,MONTH(NovSun1+8)=11),NovSun1+8,""),IF(AND(YEAR(NovSun1+15)=AñoCalendario,MONTH(NovSun1+15)=11),NovSun1+15,""))</f>
        <v>44144</v>
      </c>
      <c r="C9" s="17">
        <f ca="1">IF(DAY(NovSun1)=1,IF(AND(YEAR(NovSun1+9)=AñoCalendario,MONTH(NovSun1+9)=11),NovSun1+9,""),IF(AND(YEAR(NovSun1+16)=AñoCalendario,MONTH(NovSun1+16)=11),NovSun1+16,""))</f>
        <v>44145</v>
      </c>
      <c r="D9" s="17">
        <f ca="1">IF(DAY(NovSun1)=1,IF(AND(YEAR(NovSun1+10)=AñoCalendario,MONTH(NovSun1+10)=11),NovSun1+10,""),IF(AND(YEAR(NovSun1+17)=AñoCalendario,MONTH(NovSun1+17)=11),NovSun1+17,""))</f>
        <v>44146</v>
      </c>
      <c r="E9" s="17">
        <f ca="1">IF(DAY(NovSun1)=1,IF(AND(YEAR(NovSun1+11)=AñoCalendario,MONTH(NovSun1+11)=11),NovSun1+11,""),IF(AND(YEAR(NovSun1+18)=AñoCalendario,MONTH(NovSun1+18)=11),NovSun1+18,""))</f>
        <v>44147</v>
      </c>
      <c r="F9" s="17">
        <f ca="1">IF(DAY(NovSun1)=1,IF(AND(YEAR(NovSun1+12)=AñoCalendario,MONTH(NovSun1+12)=11),NovSun1+12,""),IF(AND(YEAR(NovSun1+19)=AñoCalendario,MONTH(NovSun1+19)=11),NovSun1+19,""))</f>
        <v>44148</v>
      </c>
      <c r="G9" s="17">
        <f ca="1">IF(DAY(NovSun1)=1,IF(AND(YEAR(NovSun1+13)=AñoCalendario,MONTH(NovSun1+13)=11),NovSun1+13,""),IF(AND(YEAR(NovSun1+20)=AñoCalendario,MONTH(NovSun1+20)=11),NovSun1+20,""))</f>
        <v>44149</v>
      </c>
      <c r="H9" s="17">
        <f ca="1">IF(DAY(NovSun1)=1,IF(AND(YEAR(NovSun1+14)=AñoCalendario,MONTH(NovSun1+14)=11),NovSun1+14,""),IF(AND(YEAR(NovSun1+21)=AñoCalendario,MONTH(NovSun1+21)=11),NovSun1+21,""))</f>
        <v>44150</v>
      </c>
      <c r="I9" s="3"/>
    </row>
    <row r="10" spans="1:18" ht="64.5" customHeight="1" x14ac:dyDescent="0.25">
      <c r="A10"/>
      <c r="B10" s="8"/>
      <c r="C10" s="8"/>
      <c r="D10" s="8"/>
      <c r="E10" s="8"/>
      <c r="F10" s="8"/>
      <c r="G10" s="9"/>
      <c r="H10" s="9"/>
      <c r="I10" s="3"/>
    </row>
    <row r="11" spans="1:18" ht="15" customHeight="1" x14ac:dyDescent="0.25">
      <c r="A11"/>
      <c r="B11" s="18">
        <f ca="1">IF(DAY(NovSun1)=1,IF(AND(YEAR(NovSun1+15)=AñoCalendario,MONTH(NovSun1+15)=11),NovSun1+15,""),IF(AND(YEAR(NovSun1+22)=AñoCalendario,MONTH(NovSun1+22)=11),NovSun1+22,""))</f>
        <v>44151</v>
      </c>
      <c r="C11" s="18">
        <f ca="1">IF(DAY(NovSun1)=1,IF(AND(YEAR(NovSun1+16)=AñoCalendario,MONTH(NovSun1+16)=11),NovSun1+16,""),IF(AND(YEAR(NovSun1+23)=AñoCalendario,MONTH(NovSun1+23)=11),NovSun1+23,""))</f>
        <v>44152</v>
      </c>
      <c r="D11" s="18">
        <f ca="1">IF(DAY(NovSun1)=1,IF(AND(YEAR(NovSun1+17)=AñoCalendario,MONTH(NovSun1+17)=11),NovSun1+17,""),IF(AND(YEAR(NovSun1+24)=AñoCalendario,MONTH(NovSun1+24)=11),NovSun1+24,""))</f>
        <v>44153</v>
      </c>
      <c r="E11" s="18">
        <f ca="1">IF(DAY(NovSun1)=1,IF(AND(YEAR(NovSun1+18)=AñoCalendario,MONTH(NovSun1+18)=11),NovSun1+18,""),IF(AND(YEAR(NovSun1+25)=AñoCalendario,MONTH(NovSun1+25)=11),NovSun1+25,""))</f>
        <v>44154</v>
      </c>
      <c r="F11" s="18">
        <f ca="1">IF(DAY(NovSun1)=1,IF(AND(YEAR(NovSun1+19)=AñoCalendario,MONTH(NovSun1+19)=11),NovSun1+19,""),IF(AND(YEAR(NovSun1+26)=AñoCalendario,MONTH(NovSun1+26)=11),NovSun1+26,""))</f>
        <v>44155</v>
      </c>
      <c r="G11" s="18">
        <f ca="1">IF(DAY(NovSun1)=1,IF(AND(YEAR(NovSun1+20)=AñoCalendario,MONTH(NovSun1+20)=11),NovSun1+20,""),IF(AND(YEAR(NovSun1+27)=AñoCalendario,MONTH(NovSun1+27)=11),NovSun1+27,""))</f>
        <v>44156</v>
      </c>
      <c r="H11" s="18">
        <f ca="1">IF(DAY(NovSun1)=1,IF(AND(YEAR(NovSun1+21)=AñoCalendario,MONTH(NovSun1+21)=11),NovSun1+21,""),IF(AND(YEAR(NovSun1+28)=AñoCalendario,MONTH(NovSun1+28)=11),NovSun1+28,""))</f>
        <v>44157</v>
      </c>
      <c r="I11" s="3"/>
    </row>
    <row r="12" spans="1:18" ht="64.5" customHeight="1" x14ac:dyDescent="0.25">
      <c r="A12"/>
      <c r="B12" s="10"/>
      <c r="C12" s="10"/>
      <c r="D12" s="10"/>
      <c r="E12" s="10"/>
      <c r="F12" s="10"/>
      <c r="G12" s="11"/>
      <c r="H12" s="11"/>
      <c r="I12" s="3"/>
    </row>
    <row r="13" spans="1:18" ht="15" customHeight="1" x14ac:dyDescent="0.25">
      <c r="A13"/>
      <c r="B13" s="17">
        <f ca="1">IF(DAY(NovSun1)=1,IF(AND(YEAR(NovSun1+22)=AñoCalendario,MONTH(NovSun1+22)=11),NovSun1+22,""),IF(AND(YEAR(NovSun1+29)=AñoCalendario,MONTH(NovSun1+29)=11),NovSun1+29,""))</f>
        <v>44158</v>
      </c>
      <c r="C13" s="17">
        <f ca="1">IF(DAY(NovSun1)=1,IF(AND(YEAR(NovSun1+23)=AñoCalendario,MONTH(NovSun1+23)=11),NovSun1+23,""),IF(AND(YEAR(NovSun1+30)=AñoCalendario,MONTH(NovSun1+30)=11),NovSun1+30,""))</f>
        <v>44159</v>
      </c>
      <c r="D13" s="17">
        <f ca="1">IF(DAY(NovSun1)=1,IF(AND(YEAR(NovSun1+24)=AñoCalendario,MONTH(NovSun1+24)=11),NovSun1+24,""),IF(AND(YEAR(NovSun1+31)=AñoCalendario,MONTH(NovSun1+31)=11),NovSun1+31,""))</f>
        <v>44160</v>
      </c>
      <c r="E13" s="17">
        <f ca="1">IF(DAY(NovSun1)=1,IF(AND(YEAR(NovSun1+25)=AñoCalendario,MONTH(NovSun1+25)=11),NovSun1+25,""),IF(AND(YEAR(NovSun1+32)=AñoCalendario,MONTH(NovSun1+32)=11),NovSun1+32,""))</f>
        <v>44161</v>
      </c>
      <c r="F13" s="17">
        <f ca="1">IF(DAY(NovSun1)=1,IF(AND(YEAR(NovSun1+26)=AñoCalendario,MONTH(NovSun1+26)=11),NovSun1+26,""),IF(AND(YEAR(NovSun1+33)=AñoCalendario,MONTH(NovSun1+33)=11),NovSun1+33,""))</f>
        <v>44162</v>
      </c>
      <c r="G13" s="17">
        <f ca="1">IF(DAY(NovSun1)=1,IF(AND(YEAR(NovSun1+27)=AñoCalendario,MONTH(NovSun1+27)=11),NovSun1+27,""),IF(AND(YEAR(NovSun1+34)=AñoCalendario,MONTH(NovSun1+34)=11),NovSun1+34,""))</f>
        <v>44163</v>
      </c>
      <c r="H13" s="17">
        <f ca="1">IF(DAY(NovSun1)=1,IF(AND(YEAR(NovSun1+28)=AñoCalendario,MONTH(NovSun1+28)=11),NovSun1+28,""),IF(AND(YEAR(NovSun1+35)=AñoCalendario,MONTH(NovSun1+35)=11),NovSun1+35,""))</f>
        <v>44164</v>
      </c>
      <c r="I13" s="3"/>
    </row>
    <row r="14" spans="1:18" ht="64.5" customHeight="1" x14ac:dyDescent="0.25">
      <c r="A14"/>
      <c r="B14" s="8"/>
      <c r="C14" s="8"/>
      <c r="D14" s="8"/>
      <c r="E14" s="8"/>
      <c r="F14" s="8"/>
      <c r="G14" s="9"/>
      <c r="H14" s="9"/>
      <c r="I14" s="3"/>
    </row>
    <row r="15" spans="1:18" ht="15" customHeight="1" x14ac:dyDescent="0.25">
      <c r="A15"/>
      <c r="B15" s="18">
        <f ca="1">IF(DAY(NovSun1)=1,IF(AND(YEAR(NovSun1+29)=AñoCalendario,MONTH(NovSun1+29)=11),NovSun1+29,""),IF(AND(YEAR(NovSun1+36)=AñoCalendario,MONTH(NovSun1+36)=11),NovSun1+36,""))</f>
        <v>44165</v>
      </c>
      <c r="C15" s="19" t="str">
        <f ca="1">IF(DAY(NovSun1)=1,IF(AND(YEAR(NovSun1+30)=AñoCalendario,MONTH(NovSun1+30)=11),NovSun1+30,""),IF(AND(YEAR(NovSun1+37)=AñoCalendario,MONTH(NovSun1+37)=11),NovSun1+37,""))</f>
        <v/>
      </c>
      <c r="D15" s="27" t="s">
        <v>3</v>
      </c>
      <c r="E15" s="28"/>
      <c r="F15" s="28"/>
      <c r="G15" s="28"/>
      <c r="H15" s="29"/>
      <c r="I15" s="3"/>
    </row>
    <row r="16" spans="1:18" ht="64.5" customHeight="1" x14ac:dyDescent="0.25">
      <c r="A16"/>
      <c r="B16" s="10"/>
      <c r="C16" s="10"/>
      <c r="D16" s="24"/>
      <c r="E16" s="25"/>
      <c r="F16" s="25"/>
      <c r="G16" s="25"/>
      <c r="H16" s="26"/>
      <c r="I16" s="3"/>
    </row>
    <row r="17" spans="3:5" ht="17.25" customHeight="1" x14ac:dyDescent="0.2"/>
    <row r="19" spans="3:5" ht="21" customHeight="1" x14ac:dyDescent="0.25">
      <c r="C19" s="6"/>
      <c r="D19" s="5"/>
      <c r="E19" s="4"/>
    </row>
    <row r="20" spans="3:5" ht="19.5" customHeight="1" x14ac:dyDescent="0.2"/>
  </sheetData>
  <mergeCells count="3">
    <mergeCell ref="B3:F3"/>
    <mergeCell ref="D15:H15"/>
    <mergeCell ref="D16:H16"/>
  </mergeCells>
  <printOptions horizontalCentered="1" verticalCentered="1"/>
  <pageMargins left="0.2" right="0.2" top="0.25" bottom="0.25" header="0" footer="0"/>
  <pageSetup paperSize="9" scale="98" orientation="landscape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34998626667073579"/>
    <pageSetUpPr fitToPage="1"/>
  </sheetPr>
  <dimension ref="A1:R20"/>
  <sheetViews>
    <sheetView showGridLines="0" zoomScaleNormal="100" workbookViewId="0"/>
  </sheetViews>
  <sheetFormatPr baseColWidth="10" defaultColWidth="6.6640625" defaultRowHeight="14.25" x14ac:dyDescent="0.2"/>
  <cols>
    <col min="1" max="1" width="3.109375" style="1" customWidth="1"/>
    <col min="2" max="9" width="13.77734375" style="1" customWidth="1"/>
    <col min="10" max="10" width="12.6640625" style="1" customWidth="1"/>
    <col min="11" max="11" width="2.109375" style="1" customWidth="1"/>
    <col min="12" max="12" width="11.77734375" style="1" customWidth="1"/>
    <col min="13" max="13" width="11.33203125" style="1" customWidth="1"/>
    <col min="14" max="16384" width="6.6640625" style="1"/>
  </cols>
  <sheetData>
    <row r="1" spans="1:18" ht="14.25" customHeight="1" x14ac:dyDescent="0.25">
      <c r="A1"/>
    </row>
    <row r="2" spans="1:18" ht="30" customHeight="1" x14ac:dyDescent="0.25">
      <c r="A2"/>
      <c r="B2" s="20"/>
      <c r="C2" s="20"/>
      <c r="D2" s="20"/>
      <c r="E2" s="20"/>
      <c r="F2" s="20"/>
      <c r="G2" s="20"/>
      <c r="H2" s="20"/>
      <c r="I2" s="20"/>
      <c r="J2" s="20"/>
    </row>
    <row r="3" spans="1:18" ht="62.25" customHeight="1" x14ac:dyDescent="0.25">
      <c r="A3"/>
      <c r="B3" s="30" t="str">
        <f ca="1">UPPER(TEXT(DATE(AñoCalendario,12,1),"mmmm"" de ""aaaa"))</f>
        <v>DICIEMBRE DE MARTES</v>
      </c>
      <c r="C3" s="30"/>
      <c r="D3" s="30"/>
      <c r="E3" s="30"/>
      <c r="F3" s="30"/>
    </row>
    <row r="4" spans="1:18" customFormat="1" ht="26.25" customHeight="1" x14ac:dyDescent="0.25">
      <c r="B4" s="12" t="s">
        <v>0</v>
      </c>
      <c r="C4" s="13" t="s">
        <v>1</v>
      </c>
      <c r="D4" s="13" t="s">
        <v>2</v>
      </c>
      <c r="E4" s="13" t="s">
        <v>4</v>
      </c>
      <c r="F4" s="13" t="s">
        <v>5</v>
      </c>
      <c r="G4" s="13" t="s">
        <v>6</v>
      </c>
      <c r="H4" s="14" t="s">
        <v>7</v>
      </c>
      <c r="I4" s="1"/>
      <c r="J4" s="1"/>
      <c r="L4" s="1"/>
      <c r="M4" s="7"/>
      <c r="Q4" s="1"/>
      <c r="R4" s="1"/>
    </row>
    <row r="5" spans="1:18" customFormat="1" ht="15" customHeight="1" x14ac:dyDescent="0.25">
      <c r="B5" s="15" t="str">
        <f ca="1">IF(DAY(DecSun1)=1,"",IF(AND(YEAR(DecSun1+1)=AñoCalendario,MONTH(DecSun1+1)=12),DecSun1+1,""))</f>
        <v/>
      </c>
      <c r="C5" s="15">
        <f ca="1">IF(DAY(DecSun1)=1,"",IF(AND(YEAR(DecSun1+2)=AñoCalendario,MONTH(DecSun1+2)=12),DecSun1+2,""))</f>
        <v>44166</v>
      </c>
      <c r="D5" s="15">
        <f ca="1">IF(DAY(DecSun1)=1,"",IF(AND(YEAR(DecSun1+3)=AñoCalendario,MONTH(DecSun1+3)=12),DecSun1+3,""))</f>
        <v>44167</v>
      </c>
      <c r="E5" s="15">
        <f ca="1">IF(DAY(DecSun1)=1,"",IF(AND(YEAR(DecSun1+4)=AñoCalendario,MONTH(DecSun1+4)=12),DecSun1+4,""))</f>
        <v>44168</v>
      </c>
      <c r="F5" s="15">
        <f ca="1">IF(DAY(DecSun1)=1,"",IF(AND(YEAR(DecSun1+5)=AñoCalendario,MONTH(DecSun1+5)=12),DecSun1+5,""))</f>
        <v>44169</v>
      </c>
      <c r="G5" s="15">
        <f ca="1">IF(DAY(DecSun1)=1,"",IF(AND(YEAR(DecSun1+6)=AñoCalendario,MONTH(DecSun1+6)=12),DecSun1+6,""))</f>
        <v>44170</v>
      </c>
      <c r="H5" s="15">
        <f ca="1">IF(DAY(DecSun1)=1,IF(AND(YEAR(DecSun1)=AñoCalendario,MONTH(DecSun1)=12),DecSun1,""),IF(AND(YEAR(DecSun1+7)=AñoCalendario,MONTH(DecSun1+7)=12),DecSun1+7,""))</f>
        <v>44171</v>
      </c>
      <c r="I5" s="3"/>
      <c r="K5" s="1"/>
      <c r="L5" s="1"/>
      <c r="M5" s="1"/>
      <c r="Q5" s="2"/>
      <c r="R5" s="1"/>
    </row>
    <row r="6" spans="1:18" s="2" customFormat="1" ht="64.5" customHeight="1" x14ac:dyDescent="0.25">
      <c r="A6"/>
      <c r="B6" s="8"/>
      <c r="C6" s="8"/>
      <c r="D6" s="8"/>
      <c r="E6" s="8"/>
      <c r="F6" s="8"/>
      <c r="G6" s="9"/>
      <c r="H6" s="9"/>
      <c r="I6" s="3"/>
    </row>
    <row r="7" spans="1:18" ht="15" customHeight="1" x14ac:dyDescent="0.25">
      <c r="A7"/>
      <c r="B7" s="16">
        <f ca="1">IF(DAY(DecSun1)=1,IF(AND(YEAR(DecSun1+1)=AñoCalendario,MONTH(DecSun1+1)=12),DecSun1+1,""),IF(AND(YEAR(DecSun1+8)=AñoCalendario,MONTH(DecSun1+8)=12),DecSun1+8,""))</f>
        <v>44172</v>
      </c>
      <c r="C7" s="16">
        <f ca="1">IF(DAY(DecSun1)=1,IF(AND(YEAR(DecSun1+2)=AñoCalendario,MONTH(DecSun1+2)=12),DecSun1+2,""),IF(AND(YEAR(DecSun1+9)=AñoCalendario,MONTH(DecSun1+9)=12),DecSun1+9,""))</f>
        <v>44173</v>
      </c>
      <c r="D7" s="16">
        <f ca="1">IF(DAY(DecSun1)=1,IF(AND(YEAR(DecSun1+3)=AñoCalendario,MONTH(DecSun1+3)=12),DecSun1+3,""),IF(AND(YEAR(DecSun1+10)=AñoCalendario,MONTH(DecSun1+10)=12),DecSun1+10,""))</f>
        <v>44174</v>
      </c>
      <c r="E7" s="16">
        <f ca="1">IF(DAY(DecSun1)=1,IF(AND(YEAR(DecSun1+4)=AñoCalendario,MONTH(DecSun1+4)=12),DecSun1+4,""),IF(AND(YEAR(DecSun1+11)=AñoCalendario,MONTH(DecSun1+11)=12),DecSun1+11,""))</f>
        <v>44175</v>
      </c>
      <c r="F7" s="16">
        <f ca="1">IF(DAY(DecSun1)=1,IF(AND(YEAR(DecSun1+5)=AñoCalendario,MONTH(DecSun1+5)=12),DecSun1+5,""),IF(AND(YEAR(DecSun1+12)=AñoCalendario,MONTH(DecSun1+12)=12),DecSun1+12,""))</f>
        <v>44176</v>
      </c>
      <c r="G7" s="16">
        <f ca="1">IF(DAY(DecSun1)=1,IF(AND(YEAR(DecSun1+6)=AñoCalendario,MONTH(DecSun1+6)=12),DecSun1+6,""),IF(AND(YEAR(DecSun1+13)=AñoCalendario,MONTH(DecSun1+13)=12),DecSun1+13,""))</f>
        <v>44177</v>
      </c>
      <c r="H7" s="16">
        <f ca="1">IF(DAY(DecSun1)=1,IF(AND(YEAR(DecSun1+7)=AñoCalendario,MONTH(DecSun1+7)=12),DecSun1+7,""),IF(AND(YEAR(DecSun1+14)=AñoCalendario,MONTH(DecSun1+14)=12),DecSun1+14,""))</f>
        <v>44178</v>
      </c>
      <c r="I7" s="3"/>
    </row>
    <row r="8" spans="1:18" ht="64.5" customHeight="1" x14ac:dyDescent="0.25">
      <c r="A8"/>
      <c r="B8" s="10"/>
      <c r="C8" s="10"/>
      <c r="D8" s="10"/>
      <c r="E8" s="10"/>
      <c r="F8" s="10"/>
      <c r="G8" s="11"/>
      <c r="H8" s="11"/>
      <c r="I8" s="3"/>
    </row>
    <row r="9" spans="1:18" ht="15" customHeight="1" x14ac:dyDescent="0.25">
      <c r="A9"/>
      <c r="B9" s="17">
        <f ca="1">IF(DAY(DecSun1)=1,IF(AND(YEAR(DecSun1+8)=AñoCalendario,MONTH(DecSun1+8)=12),DecSun1+8,""),IF(AND(YEAR(DecSun1+15)=AñoCalendario,MONTH(DecSun1+15)=12),DecSun1+15,""))</f>
        <v>44179</v>
      </c>
      <c r="C9" s="17">
        <f ca="1">IF(DAY(DecSun1)=1,IF(AND(YEAR(DecSun1+9)=AñoCalendario,MONTH(DecSun1+9)=12),DecSun1+9,""),IF(AND(YEAR(DecSun1+16)=AñoCalendario,MONTH(DecSun1+16)=12),DecSun1+16,""))</f>
        <v>44180</v>
      </c>
      <c r="D9" s="17">
        <f ca="1">IF(DAY(DecSun1)=1,IF(AND(YEAR(DecSun1+10)=AñoCalendario,MONTH(DecSun1+10)=12),DecSun1+10,""),IF(AND(YEAR(DecSun1+17)=AñoCalendario,MONTH(DecSun1+17)=12),DecSun1+17,""))</f>
        <v>44181</v>
      </c>
      <c r="E9" s="17">
        <f ca="1">IF(DAY(DecSun1)=1,IF(AND(YEAR(DecSun1+11)=AñoCalendario,MONTH(DecSun1+11)=12),DecSun1+11,""),IF(AND(YEAR(DecSun1+18)=AñoCalendario,MONTH(DecSun1+18)=12),DecSun1+18,""))</f>
        <v>44182</v>
      </c>
      <c r="F9" s="17">
        <f ca="1">IF(DAY(DecSun1)=1,IF(AND(YEAR(DecSun1+12)=AñoCalendario,MONTH(DecSun1+12)=12),DecSun1+12,""),IF(AND(YEAR(DecSun1+19)=AñoCalendario,MONTH(DecSun1+19)=12),DecSun1+19,""))</f>
        <v>44183</v>
      </c>
      <c r="G9" s="17">
        <f ca="1">IF(DAY(DecSun1)=1,IF(AND(YEAR(DecSun1+13)=AñoCalendario,MONTH(DecSun1+13)=12),DecSun1+13,""),IF(AND(YEAR(DecSun1+20)=AñoCalendario,MONTH(DecSun1+20)=12),DecSun1+20,""))</f>
        <v>44184</v>
      </c>
      <c r="H9" s="17">
        <f ca="1">IF(DAY(DecSun1)=1,IF(AND(YEAR(DecSun1+14)=AñoCalendario,MONTH(DecSun1+14)=12),DecSun1+14,""),IF(AND(YEAR(DecSun1+21)=AñoCalendario,MONTH(DecSun1+21)=12),DecSun1+21,""))</f>
        <v>44185</v>
      </c>
      <c r="I9" s="3"/>
    </row>
    <row r="10" spans="1:18" ht="64.5" customHeight="1" x14ac:dyDescent="0.25">
      <c r="A10"/>
      <c r="B10" s="8"/>
      <c r="C10" s="8"/>
      <c r="D10" s="8"/>
      <c r="E10" s="8"/>
      <c r="F10" s="8"/>
      <c r="G10" s="9"/>
      <c r="H10" s="9"/>
      <c r="I10" s="3"/>
    </row>
    <row r="11" spans="1:18" ht="15" customHeight="1" x14ac:dyDescent="0.25">
      <c r="A11"/>
      <c r="B11" s="18">
        <f ca="1">IF(DAY(DecSun1)=1,IF(AND(YEAR(DecSun1+15)=AñoCalendario,MONTH(DecSun1+15)=12),DecSun1+15,""),IF(AND(YEAR(DecSun1+22)=AñoCalendario,MONTH(DecSun1+22)=12),DecSun1+22,""))</f>
        <v>44186</v>
      </c>
      <c r="C11" s="18">
        <f ca="1">IF(DAY(DecSun1)=1,IF(AND(YEAR(DecSun1+16)=AñoCalendario,MONTH(DecSun1+16)=12),DecSun1+16,""),IF(AND(YEAR(DecSun1+23)=AñoCalendario,MONTH(DecSun1+23)=12),DecSun1+23,""))</f>
        <v>44187</v>
      </c>
      <c r="D11" s="18">
        <f ca="1">IF(DAY(DecSun1)=1,IF(AND(YEAR(DecSun1+17)=AñoCalendario,MONTH(DecSun1+17)=12),DecSun1+17,""),IF(AND(YEAR(DecSun1+24)=AñoCalendario,MONTH(DecSun1+24)=12),DecSun1+24,""))</f>
        <v>44188</v>
      </c>
      <c r="E11" s="18">
        <f ca="1">IF(DAY(DecSun1)=1,IF(AND(YEAR(DecSun1+18)=AñoCalendario,MONTH(DecSun1+18)=12),DecSun1+18,""),IF(AND(YEAR(DecSun1+25)=AñoCalendario,MONTH(DecSun1+25)=12),DecSun1+25,""))</f>
        <v>44189</v>
      </c>
      <c r="F11" s="18">
        <f ca="1">IF(DAY(DecSun1)=1,IF(AND(YEAR(DecSun1+19)=AñoCalendario,MONTH(DecSun1+19)=12),DecSun1+19,""),IF(AND(YEAR(DecSun1+26)=AñoCalendario,MONTH(DecSun1+26)=12),DecSun1+26,""))</f>
        <v>44190</v>
      </c>
      <c r="G11" s="18">
        <f ca="1">IF(DAY(DecSun1)=1,IF(AND(YEAR(DecSun1+20)=AñoCalendario,MONTH(DecSun1+20)=12),DecSun1+20,""),IF(AND(YEAR(DecSun1+27)=AñoCalendario,MONTH(DecSun1+27)=12),DecSun1+27,""))</f>
        <v>44191</v>
      </c>
      <c r="H11" s="18">
        <f ca="1">IF(DAY(DecSun1)=1,IF(AND(YEAR(DecSun1+21)=AñoCalendario,MONTH(DecSun1+21)=12),DecSun1+21,""),IF(AND(YEAR(DecSun1+28)=AñoCalendario,MONTH(DecSun1+28)=12),DecSun1+28,""))</f>
        <v>44192</v>
      </c>
      <c r="I11" s="3"/>
    </row>
    <row r="12" spans="1:18" ht="64.5" customHeight="1" x14ac:dyDescent="0.25">
      <c r="A12"/>
      <c r="B12" s="10"/>
      <c r="C12" s="10"/>
      <c r="D12" s="10"/>
      <c r="E12" s="10"/>
      <c r="F12" s="10"/>
      <c r="G12" s="11"/>
      <c r="H12" s="11"/>
      <c r="I12" s="3"/>
    </row>
    <row r="13" spans="1:18" ht="15" customHeight="1" x14ac:dyDescent="0.25">
      <c r="A13"/>
      <c r="B13" s="17">
        <f ca="1">IF(DAY(DecSun1)=1,IF(AND(YEAR(DecSun1+22)=AñoCalendario,MONTH(DecSun1+22)=12),DecSun1+22,""),IF(AND(YEAR(DecSun1+29)=AñoCalendario,MONTH(DecSun1+29)=12),DecSun1+29,""))</f>
        <v>44193</v>
      </c>
      <c r="C13" s="17">
        <f ca="1">IF(DAY(DecSun1)=1,IF(AND(YEAR(DecSun1+23)=AñoCalendario,MONTH(DecSun1+23)=12),DecSun1+23,""),IF(AND(YEAR(DecSun1+30)=AñoCalendario,MONTH(DecSun1+30)=12),DecSun1+30,""))</f>
        <v>44194</v>
      </c>
      <c r="D13" s="17">
        <f ca="1">IF(DAY(DecSun1)=1,IF(AND(YEAR(DecSun1+24)=AñoCalendario,MONTH(DecSun1+24)=12),DecSun1+24,""),IF(AND(YEAR(DecSun1+31)=AñoCalendario,MONTH(DecSun1+31)=12),DecSun1+31,""))</f>
        <v>44195</v>
      </c>
      <c r="E13" s="17">
        <f ca="1">IF(DAY(DecSun1)=1,IF(AND(YEAR(DecSun1+25)=AñoCalendario,MONTH(DecSun1+25)=12),DecSun1+25,""),IF(AND(YEAR(DecSun1+32)=AñoCalendario,MONTH(DecSun1+32)=12),DecSun1+32,""))</f>
        <v>44196</v>
      </c>
      <c r="F13" s="17" t="str">
        <f ca="1">IF(DAY(DecSun1)=1,IF(AND(YEAR(DecSun1+26)=AñoCalendario,MONTH(DecSun1+26)=12),DecSun1+26,""),IF(AND(YEAR(DecSun1+33)=AñoCalendario,MONTH(DecSun1+33)=12),DecSun1+33,""))</f>
        <v/>
      </c>
      <c r="G13" s="17" t="str">
        <f ca="1">IF(DAY(DecSun1)=1,IF(AND(YEAR(DecSun1+27)=AñoCalendario,MONTH(DecSun1+27)=12),DecSun1+27,""),IF(AND(YEAR(DecSun1+34)=AñoCalendario,MONTH(DecSun1+34)=12),DecSun1+34,""))</f>
        <v/>
      </c>
      <c r="H13" s="17" t="str">
        <f ca="1">IF(DAY(DecSun1)=1,IF(AND(YEAR(DecSun1+28)=AñoCalendario,MONTH(DecSun1+28)=12),DecSun1+28,""),IF(AND(YEAR(DecSun1+35)=AñoCalendario,MONTH(DecSun1+35)=12),DecSun1+35,""))</f>
        <v/>
      </c>
      <c r="I13" s="3"/>
    </row>
    <row r="14" spans="1:18" ht="64.5" customHeight="1" x14ac:dyDescent="0.25">
      <c r="A14"/>
      <c r="B14" s="8"/>
      <c r="C14" s="8"/>
      <c r="D14" s="8"/>
      <c r="E14" s="8"/>
      <c r="F14" s="8"/>
      <c r="G14" s="9"/>
      <c r="H14" s="9"/>
      <c r="I14" s="3"/>
    </row>
    <row r="15" spans="1:18" ht="15" customHeight="1" x14ac:dyDescent="0.25">
      <c r="A15"/>
      <c r="B15" s="18" t="str">
        <f ca="1">IF(DAY(DecSun1)=1,IF(AND(YEAR(DecSun1+29)=AñoCalendario,MONTH(DecSun1+29)=12),DecSun1+29,""),IF(AND(YEAR(DecSun1+36)=AñoCalendario,MONTH(DecSun1+36)=12),DecSun1+36,""))</f>
        <v/>
      </c>
      <c r="C15" s="19" t="str">
        <f ca="1">IF(DAY(DecSun1)=1,IF(AND(YEAR(DecSun1+30)=AñoCalendario,MONTH(DecSun1+30)=12),DecSun1+30,""),IF(AND(YEAR(DecSun1+37)=AñoCalendario,MONTH(DecSun1+37)=12),DecSun1+37,""))</f>
        <v/>
      </c>
      <c r="D15" s="27" t="s">
        <v>3</v>
      </c>
      <c r="E15" s="28"/>
      <c r="F15" s="28"/>
      <c r="G15" s="28"/>
      <c r="H15" s="29"/>
      <c r="I15" s="3"/>
    </row>
    <row r="16" spans="1:18" ht="64.5" customHeight="1" x14ac:dyDescent="0.25">
      <c r="A16"/>
      <c r="B16" s="10"/>
      <c r="C16" s="10"/>
      <c r="D16" s="24"/>
      <c r="E16" s="25"/>
      <c r="F16" s="25"/>
      <c r="G16" s="25"/>
      <c r="H16" s="26"/>
      <c r="I16" s="3"/>
    </row>
    <row r="17" spans="3:5" ht="22.5" customHeight="1" x14ac:dyDescent="0.2"/>
    <row r="19" spans="3:5" ht="21" customHeight="1" x14ac:dyDescent="0.25">
      <c r="C19" s="6"/>
      <c r="D19" s="5"/>
      <c r="E19" s="4"/>
    </row>
    <row r="20" spans="3:5" ht="19.5" customHeight="1" x14ac:dyDescent="0.2"/>
  </sheetData>
  <mergeCells count="3">
    <mergeCell ref="B3:F3"/>
    <mergeCell ref="D15:H15"/>
    <mergeCell ref="D16:H16"/>
  </mergeCells>
  <printOptions horizontalCentered="1" verticalCentered="1"/>
  <pageMargins left="0.2" right="0.2" top="0.25" bottom="0.25" header="0" footer="0"/>
  <pageSetup paperSize="9" scale="98" orientation="landscape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4873beb7-5857-4685-be1f-d57550cc96cc" xsi:nil="true"/>
    <AssetExpire xmlns="4873beb7-5857-4685-be1f-d57550cc96cc">2029-01-01T08:00:00+00:00</AssetExpire>
    <CampaignTagsTaxHTField0 xmlns="4873beb7-5857-4685-be1f-d57550cc96cc">
      <Terms xmlns="http://schemas.microsoft.com/office/infopath/2007/PartnerControls"/>
    </CampaignTagsTaxHTField0>
    <IntlLangReviewDate xmlns="4873beb7-5857-4685-be1f-d57550cc96cc" xsi:nil="true"/>
    <TPFriendlyName xmlns="4873beb7-5857-4685-be1f-d57550cc96cc" xsi:nil="true"/>
    <IntlLangReview xmlns="4873beb7-5857-4685-be1f-d57550cc96cc">false</IntlLangReview>
    <LocLastLocAttemptVersionLookup xmlns="4873beb7-5857-4685-be1f-d57550cc96cc">856622</LocLastLocAttemptVersionLookup>
    <PolicheckWords xmlns="4873beb7-5857-4685-be1f-d57550cc96cc" xsi:nil="true"/>
    <SubmitterId xmlns="4873beb7-5857-4685-be1f-d57550cc96cc" xsi:nil="true"/>
    <AcquiredFrom xmlns="4873beb7-5857-4685-be1f-d57550cc96cc">Internal MS</AcquiredFrom>
    <EditorialStatus xmlns="4873beb7-5857-4685-be1f-d57550cc96cc">Complete</EditorialStatus>
    <Markets xmlns="4873beb7-5857-4685-be1f-d57550cc96cc"/>
    <OriginAsset xmlns="4873beb7-5857-4685-be1f-d57550cc96cc" xsi:nil="true"/>
    <AssetStart xmlns="4873beb7-5857-4685-be1f-d57550cc96cc">2012-09-19T11:18:00+00:00</AssetStart>
    <FriendlyTitle xmlns="4873beb7-5857-4685-be1f-d57550cc96cc" xsi:nil="true"/>
    <MarketSpecific xmlns="4873beb7-5857-4685-be1f-d57550cc96cc">false</MarketSpecific>
    <TPNamespace xmlns="4873beb7-5857-4685-be1f-d57550cc96cc" xsi:nil="true"/>
    <PublishStatusLookup xmlns="4873beb7-5857-4685-be1f-d57550cc96cc">
      <Value>1622659</Value>
    </PublishStatusLookup>
    <APAuthor xmlns="4873beb7-5857-4685-be1f-d57550cc96cc">
      <UserInfo>
        <DisplayName>REDMOND\v-anij</DisplayName>
        <AccountId>2469</AccountId>
        <AccountType/>
      </UserInfo>
    </APAuthor>
    <TPCommandLine xmlns="4873beb7-5857-4685-be1f-d57550cc96cc" xsi:nil="true"/>
    <IntlLangReviewer xmlns="4873beb7-5857-4685-be1f-d57550cc96cc" xsi:nil="true"/>
    <OpenTemplate xmlns="4873beb7-5857-4685-be1f-d57550cc96cc">true</OpenTemplate>
    <CSXSubmissionDate xmlns="4873beb7-5857-4685-be1f-d57550cc96cc" xsi:nil="true"/>
    <TaxCatchAll xmlns="4873beb7-5857-4685-be1f-d57550cc96cc"/>
    <Manager xmlns="4873beb7-5857-4685-be1f-d57550cc96cc" xsi:nil="true"/>
    <NumericId xmlns="4873beb7-5857-4685-be1f-d57550cc96cc" xsi:nil="true"/>
    <ParentAssetId xmlns="4873beb7-5857-4685-be1f-d57550cc96cc" xsi:nil="true"/>
    <OriginalSourceMarket xmlns="4873beb7-5857-4685-be1f-d57550cc96cc" xsi:nil="true"/>
    <ApprovalStatus xmlns="4873beb7-5857-4685-be1f-d57550cc96cc">InProgress</ApprovalStatus>
    <TPComponent xmlns="4873beb7-5857-4685-be1f-d57550cc96cc" xsi:nil="true"/>
    <EditorialTags xmlns="4873beb7-5857-4685-be1f-d57550cc96cc" xsi:nil="true"/>
    <TPExecutable xmlns="4873beb7-5857-4685-be1f-d57550cc96cc" xsi:nil="true"/>
    <TPLaunchHelpLink xmlns="4873beb7-5857-4685-be1f-d57550cc96cc" xsi:nil="true"/>
    <LocComments xmlns="4873beb7-5857-4685-be1f-d57550cc96cc" xsi:nil="true"/>
    <LocRecommendedHandoff xmlns="4873beb7-5857-4685-be1f-d57550cc96cc" xsi:nil="true"/>
    <SourceTitle xmlns="4873beb7-5857-4685-be1f-d57550cc96cc" xsi:nil="true"/>
    <CSXUpdate xmlns="4873beb7-5857-4685-be1f-d57550cc96cc">false</CSXUpdate>
    <IntlLocPriority xmlns="4873beb7-5857-4685-be1f-d57550cc96cc" xsi:nil="true"/>
    <UAProjectedTotalWords xmlns="4873beb7-5857-4685-be1f-d57550cc96cc" xsi:nil="true"/>
    <AssetType xmlns="4873beb7-5857-4685-be1f-d57550cc96cc">TP</AssetType>
    <MachineTranslated xmlns="4873beb7-5857-4685-be1f-d57550cc96cc">false</MachineTranslated>
    <OutputCachingOn xmlns="4873beb7-5857-4685-be1f-d57550cc96cc">false</OutputCachingOn>
    <TemplateStatus xmlns="4873beb7-5857-4685-be1f-d57550cc96cc">Complete</TemplateStatus>
    <IsSearchable xmlns="4873beb7-5857-4685-be1f-d57550cc96cc">true</IsSearchable>
    <ContentItem xmlns="4873beb7-5857-4685-be1f-d57550cc96cc" xsi:nil="true"/>
    <HandoffToMSDN xmlns="4873beb7-5857-4685-be1f-d57550cc96cc" xsi:nil="true"/>
    <ShowIn xmlns="4873beb7-5857-4685-be1f-d57550cc96cc">Show everywhere</ShowIn>
    <ThumbnailAssetId xmlns="4873beb7-5857-4685-be1f-d57550cc96cc" xsi:nil="true"/>
    <UALocComments xmlns="4873beb7-5857-4685-be1f-d57550cc96cc" xsi:nil="true"/>
    <UALocRecommendation xmlns="4873beb7-5857-4685-be1f-d57550cc96cc">Localize</UALocRecommendation>
    <LastModifiedDateTime xmlns="4873beb7-5857-4685-be1f-d57550cc96cc" xsi:nil="true"/>
    <LegacyData xmlns="4873beb7-5857-4685-be1f-d57550cc96cc" xsi:nil="true"/>
    <LocManualTestRequired xmlns="4873beb7-5857-4685-be1f-d57550cc96cc">false</LocManualTestRequired>
    <LocMarketGroupTiers2 xmlns="4873beb7-5857-4685-be1f-d57550cc96cc" xsi:nil="true"/>
    <ClipArtFilename xmlns="4873beb7-5857-4685-be1f-d57550cc96cc" xsi:nil="true"/>
    <TPApplication xmlns="4873beb7-5857-4685-be1f-d57550cc96cc" xsi:nil="true"/>
    <CSXHash xmlns="4873beb7-5857-4685-be1f-d57550cc96cc" xsi:nil="true"/>
    <DirectSourceMarket xmlns="4873beb7-5857-4685-be1f-d57550cc96cc" xsi:nil="true"/>
    <PrimaryImageGen xmlns="4873beb7-5857-4685-be1f-d57550cc96cc">false</PrimaryImageGen>
    <PlannedPubDate xmlns="4873beb7-5857-4685-be1f-d57550cc96cc" xsi:nil="true"/>
    <CSXSubmissionMarket xmlns="4873beb7-5857-4685-be1f-d57550cc96cc" xsi:nil="true"/>
    <Downloads xmlns="4873beb7-5857-4685-be1f-d57550cc96cc">0</Downloads>
    <ArtSampleDocs xmlns="4873beb7-5857-4685-be1f-d57550cc96cc" xsi:nil="true"/>
    <TrustLevel xmlns="4873beb7-5857-4685-be1f-d57550cc96cc">1 Microsoft Managed Content</TrustLevel>
    <BlockPublish xmlns="4873beb7-5857-4685-be1f-d57550cc96cc">false</BlockPublish>
    <TPLaunchHelpLinkType xmlns="4873beb7-5857-4685-be1f-d57550cc96cc">Template</TPLaunchHelpLinkType>
    <LocalizationTagsTaxHTField0 xmlns="4873beb7-5857-4685-be1f-d57550cc96cc">
      <Terms xmlns="http://schemas.microsoft.com/office/infopath/2007/PartnerControls"/>
    </LocalizationTagsTaxHTField0>
    <BusinessGroup xmlns="4873beb7-5857-4685-be1f-d57550cc96cc" xsi:nil="true"/>
    <Providers xmlns="4873beb7-5857-4685-be1f-d57550cc96cc" xsi:nil="true"/>
    <TemplateTemplateType xmlns="4873beb7-5857-4685-be1f-d57550cc96cc">Excel Spreadsheet Template</TemplateTemplateType>
    <TimesCloned xmlns="4873beb7-5857-4685-be1f-d57550cc96cc" xsi:nil="true"/>
    <TPAppVersion xmlns="4873beb7-5857-4685-be1f-d57550cc96cc" xsi:nil="true"/>
    <VoteCount xmlns="4873beb7-5857-4685-be1f-d57550cc96cc" xsi:nil="true"/>
    <AverageRating xmlns="4873beb7-5857-4685-be1f-d57550cc96cc" xsi:nil="true"/>
    <FeatureTagsTaxHTField0 xmlns="4873beb7-5857-4685-be1f-d57550cc96cc">
      <Terms xmlns="http://schemas.microsoft.com/office/infopath/2007/PartnerControls"/>
    </FeatureTagsTaxHTField0>
    <Provider xmlns="4873beb7-5857-4685-be1f-d57550cc96cc" xsi:nil="true"/>
    <UACurrentWords xmlns="4873beb7-5857-4685-be1f-d57550cc96cc" xsi:nil="true"/>
    <AssetId xmlns="4873beb7-5857-4685-be1f-d57550cc96cc">TP103458065</AssetId>
    <TPClientViewer xmlns="4873beb7-5857-4685-be1f-d57550cc96cc" xsi:nil="true"/>
    <DSATActionTaken xmlns="4873beb7-5857-4685-be1f-d57550cc96cc" xsi:nil="true"/>
    <APEditor xmlns="4873beb7-5857-4685-be1f-d57550cc96cc">
      <UserInfo>
        <DisplayName/>
        <AccountId xsi:nil="true"/>
        <AccountType/>
      </UserInfo>
    </APEditor>
    <TPInstallLocation xmlns="4873beb7-5857-4685-be1f-d57550cc96cc" xsi:nil="true"/>
    <OOCacheId xmlns="4873beb7-5857-4685-be1f-d57550cc96cc" xsi:nil="true"/>
    <IsDeleted xmlns="4873beb7-5857-4685-be1f-d57550cc96cc">false</IsDeleted>
    <PublishTargets xmlns="4873beb7-5857-4685-be1f-d57550cc96cc">OfficeOnlineVNext</PublishTargets>
    <ApprovalLog xmlns="4873beb7-5857-4685-be1f-d57550cc96cc" xsi:nil="true"/>
    <BugNumber xmlns="4873beb7-5857-4685-be1f-d57550cc96cc" xsi:nil="true"/>
    <CrawlForDependencies xmlns="4873beb7-5857-4685-be1f-d57550cc96cc">false</CrawlForDependencies>
    <InternalTagsTaxHTField0 xmlns="4873beb7-5857-4685-be1f-d57550cc96cc">
      <Terms xmlns="http://schemas.microsoft.com/office/infopath/2007/PartnerControls"/>
    </InternalTagsTaxHTField0>
    <LastHandOff xmlns="4873beb7-5857-4685-be1f-d57550cc96cc" xsi:nil="true"/>
    <Milestone xmlns="4873beb7-5857-4685-be1f-d57550cc96cc" xsi:nil="true"/>
    <OriginalRelease xmlns="4873beb7-5857-4685-be1f-d57550cc96cc">15</OriginalRelease>
    <RecommendationsModifier xmlns="4873beb7-5857-4685-be1f-d57550cc96cc" xsi:nil="true"/>
    <ScenarioTagsTaxHTField0 xmlns="4873beb7-5857-4685-be1f-d57550cc96cc">
      <Terms xmlns="http://schemas.microsoft.com/office/infopath/2007/PartnerControls"/>
    </ScenarioTagsTaxHTField0>
    <UANotes xmlns="4873beb7-5857-4685-be1f-d57550cc96c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6EDDDB5EE6D98C44930B742096920B300400F5B6D36B3EF94B4E9A635CDF2A18F5B8" ma:contentTypeVersion="72" ma:contentTypeDescription="Create a new document." ma:contentTypeScope="" ma:versionID="a23e56308344d904b51738559c3d67c9">
  <xsd:schema xmlns:xsd="http://www.w3.org/2001/XMLSchema" xmlns:xs="http://www.w3.org/2001/XMLSchema" xmlns:p="http://schemas.microsoft.com/office/2006/metadata/properties" xmlns:ns2="4873beb7-5857-4685-be1f-d57550cc96cc" targetNamespace="http://schemas.microsoft.com/office/2006/metadata/properties" ma:root="true" ma:fieldsID="cd0908cc4600e77bf5da051303e00c8d" ns2:_="">
    <xsd:import namespace="4873beb7-5857-4685-be1f-d57550cc96cc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eb7-5857-4685-be1f-d57550cc96cc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8:00:00Z" ma:format="DateTime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1df42cc3-2301-4f11-a52a-6ead923c29ed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2FBD1B11-2ACE-4FDC-B5A3-635D4ADF6F1B}" ma:internalName="CSXSubmissionMarket" ma:readOnly="false" ma:showField="MarketName" ma:web="4873beb7-5857-4685-be1f-d57550cc96cc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7fc0d542-15c6-4882-a8e3-13bca44403f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9E343742-310B-4684-A24C-1D137CB4B230}" ma:internalName="InProjectListLookup" ma:readOnly="true" ma:showField="InProjectLis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1490b8a4-2706-41ec-b5e3-73176dccf34e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9E343742-310B-4684-A24C-1D137CB4B230}" ma:internalName="LastCompleteVersionLookup" ma:readOnly="true" ma:showField="LastComplete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9E343742-310B-4684-A24C-1D137CB4B230}" ma:internalName="LastPreviewErrorLookup" ma:readOnly="true" ma:showField="LastPreview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9E343742-310B-4684-A24C-1D137CB4B230}" ma:internalName="LastPreviewResultLookup" ma:readOnly="true" ma:showField="LastPreview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9E343742-310B-4684-A24C-1D137CB4B230}" ma:internalName="LastPreviewAttemptDateLookup" ma:readOnly="true" ma:showField="LastPreview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9E343742-310B-4684-A24C-1D137CB4B230}" ma:internalName="LastPreviewedByLookup" ma:readOnly="true" ma:showField="LastPreview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9E343742-310B-4684-A24C-1D137CB4B230}" ma:internalName="LastPreviewTimeLookup" ma:readOnly="true" ma:showField="LastPreview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9E343742-310B-4684-A24C-1D137CB4B230}" ma:internalName="LastPreviewVersionLookup" ma:readOnly="true" ma:showField="LastPreview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9E343742-310B-4684-A24C-1D137CB4B230}" ma:internalName="LastPublishErrorLookup" ma:readOnly="true" ma:showField="LastPublish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9E343742-310B-4684-A24C-1D137CB4B230}" ma:internalName="LastPublishResultLookup" ma:readOnly="true" ma:showField="LastPublish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9E343742-310B-4684-A24C-1D137CB4B230}" ma:internalName="LastPublishAttemptDateLookup" ma:readOnly="true" ma:showField="LastPublish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9E343742-310B-4684-A24C-1D137CB4B230}" ma:internalName="LastPublishedByLookup" ma:readOnly="true" ma:showField="LastPublish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9E343742-310B-4684-A24C-1D137CB4B230}" ma:internalName="LastPublishTimeLookup" ma:readOnly="true" ma:showField="LastPublish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9E343742-310B-4684-A24C-1D137CB4B230}" ma:internalName="LastPublishVersionLookup" ma:readOnly="true" ma:showField="LastPublish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7DD1DCEC-E449-43D3-891F-7DC62F62AD21}" ma:internalName="LocLastLocAttemptVersionLookup" ma:readOnly="false" ma:showField="LastLocAttemptVersion" ma:web="4873beb7-5857-4685-be1f-d57550cc96cc">
      <xsd:simpleType>
        <xsd:restriction base="dms:Lookup"/>
      </xsd:simpleType>
    </xsd:element>
    <xsd:element name="LocLastLocAttemptVersionTypeLookup" ma:index="72" nillable="true" ma:displayName="Loc Last Loc Attempt Version Type" ma:default="" ma:list="{7DD1DCEC-E449-43D3-891F-7DC62F62AD21}" ma:internalName="LocLastLocAttemptVersionTypeLookup" ma:readOnly="true" ma:showField="LastLocAttemptVersionType" ma:web="4873beb7-5857-4685-be1f-d57550cc96cc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7DD1DCEC-E449-43D3-891F-7DC62F62AD21}" ma:internalName="LocNewPublishedVersionLookup" ma:readOnly="true" ma:showField="NewPublishedVersion" ma:web="4873beb7-5857-4685-be1f-d57550cc96cc">
      <xsd:simpleType>
        <xsd:restriction base="dms:Lookup"/>
      </xsd:simpleType>
    </xsd:element>
    <xsd:element name="LocOverallHandbackStatusLookup" ma:index="76" nillable="true" ma:displayName="Loc Overall Handback Status" ma:default="" ma:list="{7DD1DCEC-E449-43D3-891F-7DC62F62AD21}" ma:internalName="LocOverallHandbackStatusLookup" ma:readOnly="true" ma:showField="OverallHandbackStatus" ma:web="4873beb7-5857-4685-be1f-d57550cc96cc">
      <xsd:simpleType>
        <xsd:restriction base="dms:Lookup"/>
      </xsd:simpleType>
    </xsd:element>
    <xsd:element name="LocOverallLocStatusLookup" ma:index="77" nillable="true" ma:displayName="Loc Overall Localize Status" ma:default="" ma:list="{7DD1DCEC-E449-43D3-891F-7DC62F62AD21}" ma:internalName="LocOverallLocStatusLookup" ma:readOnly="true" ma:showField="OverallLocStatus" ma:web="4873beb7-5857-4685-be1f-d57550cc96cc">
      <xsd:simpleType>
        <xsd:restriction base="dms:Lookup"/>
      </xsd:simpleType>
    </xsd:element>
    <xsd:element name="LocOverallPreviewStatusLookup" ma:index="78" nillable="true" ma:displayName="Loc Overall Preview Status" ma:default="" ma:list="{7DD1DCEC-E449-43D3-891F-7DC62F62AD21}" ma:internalName="LocOverallPreviewStatusLookup" ma:readOnly="true" ma:showField="OverallPreviewStatus" ma:web="4873beb7-5857-4685-be1f-d57550cc96cc">
      <xsd:simpleType>
        <xsd:restriction base="dms:Lookup"/>
      </xsd:simpleType>
    </xsd:element>
    <xsd:element name="LocOverallPublishStatusLookup" ma:index="79" nillable="true" ma:displayName="Loc Overall Publish Status" ma:default="" ma:list="{7DD1DCEC-E449-43D3-891F-7DC62F62AD21}" ma:internalName="LocOverallPublishStatusLookup" ma:readOnly="true" ma:showField="OverallPublishStatus" ma:web="4873beb7-5857-4685-be1f-d57550cc96cc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7DD1DCEC-E449-43D3-891F-7DC62F62AD21}" ma:internalName="LocProcessedForHandoffsLookup" ma:readOnly="true" ma:showField="ProcessedForHandoffs" ma:web="4873beb7-5857-4685-be1f-d57550cc96cc">
      <xsd:simpleType>
        <xsd:restriction base="dms:Lookup"/>
      </xsd:simpleType>
    </xsd:element>
    <xsd:element name="LocProcessedForMarketsLookup" ma:index="82" nillable="true" ma:displayName="Loc Processed For Markets" ma:default="" ma:list="{7DD1DCEC-E449-43D3-891F-7DC62F62AD21}" ma:internalName="LocProcessedForMarketsLookup" ma:readOnly="true" ma:showField="ProcessedForMarkets" ma:web="4873beb7-5857-4685-be1f-d57550cc96cc">
      <xsd:simpleType>
        <xsd:restriction base="dms:Lookup"/>
      </xsd:simpleType>
    </xsd:element>
    <xsd:element name="LocPublishedDependentAssetsLookup" ma:index="83" nillable="true" ma:displayName="Loc Published Dependent Assets" ma:default="" ma:list="{7DD1DCEC-E449-43D3-891F-7DC62F62AD21}" ma:internalName="LocPublishedDependentAssetsLookup" ma:readOnly="true" ma:showField="PublishedDependentAssets" ma:web="4873beb7-5857-4685-be1f-d57550cc96cc">
      <xsd:simpleType>
        <xsd:restriction base="dms:Lookup"/>
      </xsd:simpleType>
    </xsd:element>
    <xsd:element name="LocPublishedLinkedAssetsLookup" ma:index="84" nillable="true" ma:displayName="Loc Published Linked Assets" ma:default="" ma:list="{7DD1DCEC-E449-43D3-891F-7DC62F62AD21}" ma:internalName="LocPublishedLinkedAssetsLookup" ma:readOnly="true" ma:showField="PublishedLinkedAssets" ma:web="4873beb7-5857-4685-be1f-d57550cc96cc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00f02cb3-2c7c-424a-9c61-10e9b6878429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2FBD1B11-2ACE-4FDC-B5A3-635D4ADF6F1B}" ma:internalName="Markets" ma:readOnly="false" ma:showField="MarketNa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9E343742-310B-4684-A24C-1D137CB4B230}" ma:internalName="NumOfRatingsLookup" ma:readOnly="true" ma:showField="NumOfRating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9E343742-310B-4684-A24C-1D137CB4B230}" ma:internalName="PublishStatusLookup" ma:readOnly="false" ma:showField="PublishStatu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93aef74d-6c78-4815-8310-51477dceeccc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530f955b-6704-4601-bd83-f81d87f1e440}" ma:internalName="TaxCatchAll" ma:showField="CatchAllData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530f955b-6704-4601-bd83-f81d87f1e440}" ma:internalName="TaxCatchAllLabel" ma:readOnly="true" ma:showField="CatchAllDataLabel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3A85211-E3EF-4462-8EF7-B98D9AD79D9F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4873beb7-5857-4685-be1f-d57550cc96c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4D866BB-53A8-4AA2-8213-3C5DD1E767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3beb7-5857-4685-be1f-d57550cc9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BE4E2F-F9E2-47EA-9749-00C2632BC6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13</vt:i4>
      </vt:variant>
    </vt:vector>
  </HeadingPairs>
  <TitlesOfParts>
    <vt:vector size="25" baseType="lpstr">
      <vt:lpstr>Ene</vt:lpstr>
      <vt:lpstr>Feb</vt:lpstr>
      <vt:lpstr>Mar</vt:lpstr>
      <vt:lpstr>Abr</vt:lpstr>
      <vt:lpstr>May</vt:lpstr>
      <vt:lpstr>Jun</vt:lpstr>
      <vt:lpstr>Jul</vt:lpstr>
      <vt:lpstr>Ago</vt:lpstr>
      <vt:lpstr>Sep</vt:lpstr>
      <vt:lpstr>Oct</vt:lpstr>
      <vt:lpstr>Nov</vt:lpstr>
      <vt:lpstr>Dic</vt:lpstr>
      <vt:lpstr>AñoCalendario</vt:lpstr>
      <vt:lpstr>Abr!Área_de_impresión</vt:lpstr>
      <vt:lpstr>Ago!Área_de_impresión</vt:lpstr>
      <vt:lpstr>Dic!Área_de_impresión</vt:lpstr>
      <vt:lpstr>Ene!Área_de_impresión</vt:lpstr>
      <vt:lpstr>Feb!Área_de_impresión</vt:lpstr>
      <vt:lpstr>Jul!Área_de_impresión</vt:lpstr>
      <vt:lpstr>Jun!Área_de_impresión</vt:lpstr>
      <vt:lpstr>Mar!Área_de_impresión</vt:lpstr>
      <vt:lpstr>May!Área_de_impresión</vt:lpstr>
      <vt:lpstr>Nov!Área_de_impresión</vt:lpstr>
      <vt:lpstr>Oct!Área_de_impresión</vt:lpstr>
      <vt:lpstr>Sep!Área_de_impresión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lastModifiedBy>01</cp:lastModifiedBy>
  <dcterms:created xsi:type="dcterms:W3CDTF">2012-09-17T22:36:33Z</dcterms:created>
  <dcterms:modified xsi:type="dcterms:W3CDTF">2020-04-23T20:20:35Z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0x0101006EDDDB5EE6D98C44930B742096920B300400F5B6D36B3EF94B4E9A635CDF2A18F5B8</vt:lpwstr>
  </property>
  <property fmtid="{D5CDD505-2E9C-101B-9397-08002B2CF9AE}" pid="3" name="InternalTags">
    <vt:lpwstr/>
  </property>
  <property fmtid="{D5CDD505-2E9C-101B-9397-08002B2CF9AE}" pid="4" name="FeatureTags">
    <vt:lpwstr/>
  </property>
  <property fmtid="{D5CDD505-2E9C-101B-9397-08002B2CF9AE}" pid="5" name="LocalizationTags">
    <vt:lpwstr/>
  </property>
  <property fmtid="{D5CDD505-2E9C-101B-9397-08002B2CF9AE}" pid="6" name="ScenarioTags">
    <vt:lpwstr/>
  </property>
  <property fmtid="{D5CDD505-2E9C-101B-9397-08002B2CF9AE}" pid="7" name="CampaignTags">
    <vt:lpwstr/>
  </property>
</Properties>
</file>