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lysa\Downloads\Work\ТД по доработкам\"/>
    </mc:Choice>
  </mc:AlternateContent>
  <xr:revisionPtr revIDLastSave="0" documentId="13_ncr:1_{2B22DFC6-D927-456B-97F8-D33D6872A1C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Описание" sheetId="1" r:id="rId1"/>
    <sheet name="ЭФ закупки" sheetId="2" r:id="rId2"/>
    <sheet name="АК" sheetId="3" r:id="rId3"/>
    <sheet name="Вспомогательная информация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3" l="1"/>
  <c r="I22" i="3"/>
  <c r="H22" i="3"/>
  <c r="B22" i="3"/>
  <c r="J21" i="3"/>
  <c r="I21" i="3"/>
  <c r="H21" i="3"/>
  <c r="B21" i="3"/>
  <c r="J20" i="3"/>
  <c r="I20" i="3"/>
  <c r="H20" i="3"/>
  <c r="J19" i="3"/>
  <c r="I19" i="3"/>
  <c r="H19" i="3"/>
  <c r="J17" i="3"/>
  <c r="I17" i="3"/>
  <c r="H17" i="3"/>
  <c r="B17" i="3"/>
  <c r="J16" i="3"/>
  <c r="I16" i="3"/>
  <c r="H16" i="3"/>
  <c r="B16" i="3"/>
  <c r="J15" i="3"/>
  <c r="I15" i="3"/>
  <c r="H15" i="3"/>
  <c r="J14" i="3"/>
  <c r="I14" i="3"/>
  <c r="H14" i="3"/>
  <c r="B14" i="3"/>
  <c r="B15" i="3" s="1"/>
  <c r="B13" i="3"/>
  <c r="B12" i="3" s="1"/>
  <c r="X6" i="3"/>
  <c r="X5" i="3"/>
  <c r="V5" i="3"/>
  <c r="X4" i="3"/>
  <c r="V4" i="3"/>
  <c r="X3" i="3"/>
  <c r="V3" i="3"/>
  <c r="F3" i="3"/>
  <c r="X2" i="3"/>
  <c r="V2" i="3"/>
  <c r="V6" i="3" s="1"/>
  <c r="E3" i="3" s="1"/>
  <c r="F2" i="3"/>
  <c r="F4" i="3" s="1"/>
  <c r="E2" i="3"/>
  <c r="E5" i="3" s="1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2" i="2"/>
  <c r="I22" i="2"/>
  <c r="H22" i="2"/>
  <c r="J21" i="2"/>
  <c r="I21" i="2"/>
  <c r="H21" i="2"/>
  <c r="J19" i="2"/>
  <c r="I19" i="2"/>
  <c r="H19" i="2"/>
  <c r="J18" i="2"/>
  <c r="I18" i="2"/>
  <c r="H18" i="2"/>
  <c r="J17" i="2"/>
  <c r="I17" i="2"/>
  <c r="H17" i="2"/>
  <c r="J16" i="2"/>
  <c r="I16" i="2"/>
  <c r="H16" i="2"/>
  <c r="J14" i="2"/>
  <c r="F2" i="2" s="1"/>
  <c r="I14" i="2"/>
  <c r="E2" i="2" s="1"/>
  <c r="H14" i="2"/>
  <c r="B14" i="2"/>
  <c r="B13" i="2"/>
  <c r="B15" i="2" s="1"/>
  <c r="B12" i="2" s="1"/>
  <c r="P6" i="2"/>
  <c r="F8" i="1" s="1"/>
  <c r="P5" i="2"/>
  <c r="N5" i="2"/>
  <c r="P4" i="2"/>
  <c r="N4" i="2"/>
  <c r="F14" i="1" s="1"/>
  <c r="P3" i="2"/>
  <c r="N3" i="2"/>
  <c r="P2" i="2"/>
  <c r="F4" i="1" s="1"/>
  <c r="N2" i="2"/>
  <c r="F12" i="1" s="1"/>
  <c r="F15" i="1"/>
  <c r="F13" i="1"/>
  <c r="F7" i="1"/>
  <c r="F6" i="1"/>
  <c r="F5" i="1"/>
  <c r="F3" i="2" l="1"/>
  <c r="V7" i="3"/>
  <c r="E5" i="2"/>
  <c r="F32" i="1" s="1"/>
  <c r="F4" i="2"/>
  <c r="F21" i="1" s="1"/>
  <c r="N6" i="2"/>
  <c r="E4" i="3"/>
  <c r="E3" i="2" l="1"/>
  <c r="E4" i="2" s="1"/>
  <c r="F20" i="1" s="1"/>
  <c r="F16" i="1"/>
  <c r="F26" i="1" s="1"/>
  <c r="F23" i="1"/>
  <c r="F25" i="1" s="1"/>
  <c r="N7" i="2"/>
  <c r="F22" i="1" l="1"/>
  <c r="F24" i="1" s="1"/>
  <c r="F29" i="1" l="1"/>
  <c r="F30" i="1" s="1"/>
  <c r="F33" i="1"/>
</calcChain>
</file>

<file path=xl/sharedStrings.xml><?xml version="1.0" encoding="utf-8"?>
<sst xmlns="http://schemas.openxmlformats.org/spreadsheetml/2006/main" count="316" uniqueCount="175">
  <si>
    <t>Краткое описание</t>
  </si>
  <si>
    <t>Кейсов с резолюцией "баг" по ТД</t>
  </si>
  <si>
    <t>Тип документа</t>
  </si>
  <si>
    <t>Чек-лист</t>
  </si>
  <si>
    <t>Blocker</t>
  </si>
  <si>
    <t>Проект</t>
  </si>
  <si>
    <t>Critical</t>
  </si>
  <si>
    <t>Ссылки на спецификации</t>
  </si>
  <si>
    <t>Major</t>
  </si>
  <si>
    <t>Minor</t>
  </si>
  <si>
    <t>Trivial</t>
  </si>
  <si>
    <t>Сводная статистика по тестированию</t>
  </si>
  <si>
    <t>Автор спецификаций</t>
  </si>
  <si>
    <t>Версия чек-листа</t>
  </si>
  <si>
    <t>1 (базовый)</t>
  </si>
  <si>
    <t>Пройдено успешно</t>
  </si>
  <si>
    <t>Автор чек-листа</t>
  </si>
  <si>
    <t>Слюсарев Никита</t>
  </si>
  <si>
    <t>Не тестировалось</t>
  </si>
  <si>
    <t>Дата</t>
  </si>
  <si>
    <t>Не реализовано</t>
  </si>
  <si>
    <t>Область применения</t>
  </si>
  <si>
    <t>Блокировано</t>
  </si>
  <si>
    <t>Σ проверок</t>
  </si>
  <si>
    <t>Используемые обозначения</t>
  </si>
  <si>
    <t>Расчёт оценки на тестирование ВСЕЙ доработки</t>
  </si>
  <si>
    <t xml:space="preserve">Приоритет 
(заполняется автором чек-листа)        </t>
  </si>
  <si>
    <t>1 - самый высокий, тесты этой группы обязательны к выполнению, относятся к основной части функционала</t>
  </si>
  <si>
    <r>
      <rPr>
        <sz val="10"/>
        <color theme="1"/>
        <rFont val="Arial"/>
      </rPr>
      <t xml:space="preserve">Расчётное время на тест, чч 
</t>
    </r>
    <r>
      <rPr>
        <sz val="10"/>
        <color rgb="FF999999"/>
        <rFont val="Arial"/>
      </rPr>
      <t>(проверки +дефекты + риски)</t>
    </r>
  </si>
  <si>
    <t>2 - средний, тестирование этой группы может быть выполнено после группы первого приоритета</t>
  </si>
  <si>
    <r>
      <rPr>
        <sz val="10"/>
        <color theme="1"/>
        <rFont val="Arial"/>
      </rPr>
      <t xml:space="preserve">Время на завершение теста, чч 
</t>
    </r>
    <r>
      <rPr>
        <sz val="10"/>
        <color rgb="FF999999"/>
        <rFont val="Arial"/>
      </rPr>
      <t>(проверки +дефекты + риски)</t>
    </r>
  </si>
  <si>
    <t>3 - низкий, неприоритетные проверки, тестирование данной группы выполняется в последнюю очередь</t>
  </si>
  <si>
    <t>Расчётное время на отчёты, чч</t>
  </si>
  <si>
    <t>Время на отчёты по остатку проверок, чч</t>
  </si>
  <si>
    <t>Результат 
(заполняется тестировщиком при проведении теста)</t>
  </si>
  <si>
    <t>Не тестировался</t>
  </si>
  <si>
    <t>Итого на тест доработки, чч</t>
  </si>
  <si>
    <t>Не реализован</t>
  </si>
  <si>
    <t>Итого осталось, чч</t>
  </si>
  <si>
    <t>Блокирован</t>
  </si>
  <si>
    <t>Пройдено проверок, %</t>
  </si>
  <si>
    <t>Потрачено времени на подготовку, чч</t>
  </si>
  <si>
    <t>Итого на работы тестирования</t>
  </si>
  <si>
    <t>Выполнено работ тестирования с учётом подготовки, %</t>
  </si>
  <si>
    <t>OK</t>
  </si>
  <si>
    <t>Оптимизировано, чч</t>
  </si>
  <si>
    <t>Оптимизация - при указании этого результата кейс не учитывается при оценке</t>
  </si>
  <si>
    <t>Общая оценка на тест с оптимизацией</t>
  </si>
  <si>
    <t>Оценка на тест</t>
  </si>
  <si>
    <t>Всего (изначальная оценка)</t>
  </si>
  <si>
    <t>Осталось (с учётом прохождения)</t>
  </si>
  <si>
    <t>Сводная статистика</t>
  </si>
  <si>
    <t>Провалено кейсов (баг):</t>
  </si>
  <si>
    <t>Время на тест, минут:</t>
  </si>
  <si>
    <t>Время на дефекты, мин:</t>
  </si>
  <si>
    <t>Итого, часов (с рисками):</t>
  </si>
  <si>
    <t>Оптимизировано</t>
  </si>
  <si>
    <t>Пройдено, %</t>
  </si>
  <si>
    <t>№</t>
  </si>
  <si>
    <t>Выполняемые проверки</t>
  </si>
  <si>
    <t>Время 
выполн., мин</t>
  </si>
  <si>
    <t>Приоритет</t>
  </si>
  <si>
    <t>ЭЗК20</t>
  </si>
  <si>
    <t>ЭЗТ20</t>
  </si>
  <si>
    <t>ЭОК20</t>
  </si>
  <si>
    <t>ЭА20</t>
  </si>
  <si>
    <t>ID бага / Комментарии QA</t>
  </si>
  <si>
    <t>Версия спеки</t>
  </si>
  <si>
    <r>
      <rPr>
        <b/>
        <sz val="9"/>
        <color rgb="FF000000"/>
        <rFont val="Arial"/>
      </rPr>
      <t xml:space="preserve">Реализовано
</t>
    </r>
    <r>
      <rPr>
        <sz val="9"/>
        <color rgb="FF000000"/>
        <rFont val="Arial"/>
      </rPr>
      <t>(заполняет разработка)</t>
    </r>
  </si>
  <si>
    <r>
      <rPr>
        <b/>
        <sz val="9"/>
        <color rgb="FF000000"/>
        <rFont val="Arial"/>
      </rPr>
      <t xml:space="preserve">Комментарий
</t>
    </r>
    <r>
      <rPr>
        <sz val="9"/>
        <color rgb="FF000000"/>
        <rFont val="Arial"/>
      </rPr>
      <t>(заполняет разработка)</t>
    </r>
  </si>
  <si>
    <t>Действия</t>
  </si>
  <si>
    <t>Результат</t>
  </si>
  <si>
    <t>На одну проверку</t>
  </si>
  <si>
    <t>общее</t>
  </si>
  <si>
    <t>Оптимизированное</t>
  </si>
  <si>
    <t>осталось</t>
  </si>
  <si>
    <t>CU</t>
  </si>
  <si>
    <t>RA / AI</t>
  </si>
  <si>
    <t>OA</t>
  </si>
  <si>
    <t>2	Требования к системе</t>
  </si>
  <si>
    <t>3.	ЭКРАННЫЕ ФОРМЫ ТИПОВЫХ КОМПОНЕНТОВ</t>
  </si>
  <si>
    <t>Авторизоваться на стенде, инициировать фоормирование проекта извещения</t>
  </si>
  <si>
    <t>smoke</t>
  </si>
  <si>
    <t>Оптимизация</t>
  </si>
  <si>
    <t>Создание, редактирование, ИИ</t>
  </si>
  <si>
    <r>
      <rPr>
        <sz val="10"/>
        <color rgb="FF000000"/>
        <rFont val="Arial"/>
      </rPr>
      <t xml:space="preserve">Присутствует чек-бокс признак </t>
    </r>
    <r>
      <rPr>
        <b/>
        <sz val="10"/>
        <color rgb="FF000000"/>
        <rFont val="Arial"/>
      </rPr>
      <t>«Предусмотрена возможность одностороннего отказа от исполнения контракта в соответствии со ст. 95 Закона № 44-ФЗ»</t>
    </r>
    <r>
      <rPr>
        <sz val="10"/>
        <color rgb="FF000000"/>
        <rFont val="Arial"/>
      </rPr>
      <t xml:space="preserve"> </t>
    </r>
  </si>
  <si>
    <t>ЭФ Сведения закупки:</t>
  </si>
  <si>
    <r>
      <rPr>
        <sz val="10"/>
        <color rgb="FF000000"/>
        <rFont val="Arial"/>
      </rPr>
      <t xml:space="preserve">«Предусмотрена возможность одностороннего отказа от исполнения контракта в соответствии со ст. 95 Закона № 44-ФЗ» Строка должна всегда отображаться на форме.
(раздел «Условия контракта») 
Если при формировании извещения значение признака «Предусмотрена возможность одностороннего отказа от исполнения контракта в соответствии со ст. 95 Закона № 44-ФЗ».= TRUE то значение «Да»
Если при формировании извещения значение признака «Предусмотрена возможность одностороннего отказа от исполнения контракта в соответствии со ст. 95 Закона № 44-ФЗ».= FALSE то значение «НЕТ»
Обязательтельность поля на ЭФ Сведения закупки: </t>
    </r>
    <r>
      <rPr>
        <b/>
        <sz val="10"/>
        <color rgb="FF000000"/>
        <rFont val="Arial"/>
      </rPr>
      <t>ДА</t>
    </r>
  </si>
  <si>
    <t>Общие функциональные элементы</t>
  </si>
  <si>
    <t>Проверка на возможность редактиования:</t>
  </si>
  <si>
    <t>Да</t>
  </si>
  <si>
    <t>Проверка обязательности поля:</t>
  </si>
  <si>
    <t>Нет</t>
  </si>
  <si>
    <t xml:space="preserve">Извещения, размещенные ДО даты в настройке ПРИЗ_Н_0099 </t>
  </si>
  <si>
    <r>
      <rPr>
        <sz val="10"/>
        <color rgb="FF000000"/>
        <rFont val="Arial"/>
      </rPr>
      <t xml:space="preserve">Присутствует чек-бокс признак </t>
    </r>
    <r>
      <rPr>
        <b/>
        <sz val="10"/>
        <color rgb="FF000000"/>
        <rFont val="Arial"/>
      </rPr>
      <t>Информация о возможности одностороннего отказа от исполнения контракта в соответствии со ст. 95 Закона № 44-ФЗ</t>
    </r>
    <r>
      <rPr>
        <sz val="10"/>
        <color rgb="FF000000"/>
        <rFont val="Arial"/>
      </rPr>
      <t xml:space="preserve"> </t>
    </r>
  </si>
  <si>
    <t xml:space="preserve">Информация о возможности одностороннего отказа от исполнения контракта в соответствии со ст. 95 Закона № 44-ФЗ»  Строка должна всегда отображаться на форме.
(раздел «Условия контракта») 
Если при формировании извещения значение признака Информация о возможности одностороннего отказа от исполнения контракта в соответствии со ст. 95 Закона № 44-ФЗ» = TRUE то значение «Да»
Если при формировании извещения значение признакаИнформация о возможности одностороннего отказа от исполнения контракта в соответствии со ст. 95 Закона № 44-ФЗ» .= FALSE то значение «НЕТ»
</t>
  </si>
  <si>
    <t>6.	ТРЕБОВАНИЯ К ПЕЧАТНЫМ ФОРМАМ</t>
  </si>
  <si>
    <t>Информация о возможности одностороннего отказа от исполнения контракта в соответствии со ст. 95 Закона № 44-ФЗ</t>
  </si>
  <si>
    <r>
      <rPr>
        <sz val="10"/>
        <color rgb="FF000000"/>
        <rFont val="Arial"/>
      </rPr>
      <t>Наименование строки =</t>
    </r>
    <r>
      <rPr>
        <b/>
        <sz val="10"/>
        <color rgb="FF000000"/>
        <rFont val="Arial"/>
      </rPr>
      <t xml:space="preserve"> «Информация о возможности одностороннего отказа от исполнения контракта в соответствии со ст. 95 Закона № 44-ФЗ»</t>
    </r>
    <r>
      <rPr>
        <sz val="10"/>
        <color rgb="FF000000"/>
        <rFont val="Arial"/>
      </rPr>
      <t xml:space="preserve"> для извещений, размещенных </t>
    </r>
    <r>
      <rPr>
        <b/>
        <sz val="10"/>
        <color rgb="FF000000"/>
        <rFont val="Arial"/>
      </rPr>
      <t>ДО ДАТЫ</t>
    </r>
    <r>
      <rPr>
        <sz val="10"/>
        <color rgb="FF000000"/>
        <rFont val="Arial"/>
      </rPr>
      <t>, указанной в настройке ПРИЗ_Н_0099</t>
    </r>
  </si>
  <si>
    <r>
      <rPr>
        <sz val="10"/>
        <color rgb="FF000000"/>
        <rFont val="Arial"/>
      </rPr>
      <t xml:space="preserve">Строка должна </t>
    </r>
    <r>
      <rPr>
        <b/>
        <sz val="10"/>
        <color rgb="FF000000"/>
        <rFont val="Arial"/>
      </rPr>
      <t>всегда</t>
    </r>
    <r>
      <rPr>
        <sz val="10"/>
        <color rgb="FF000000"/>
        <rFont val="Arial"/>
      </rPr>
      <t xml:space="preserve"> отображаться в печатной форме.</t>
    </r>
  </si>
  <si>
    <t>Предусмотрена возможность одностороннего отказа от исполнения контракта в соответствии со ст. 95 Закона № 44-ФЗ</t>
  </si>
  <si>
    <r>
      <rPr>
        <b/>
        <sz val="10"/>
        <color rgb="FF000000"/>
        <rFont val="Arial"/>
      </rPr>
      <t>«Предусмотрена возможность одностороннего отказа от исполнения контракта в соответствии со ст. 95 Закона № 44-ФЗ»</t>
    </r>
    <r>
      <rPr>
        <sz val="10"/>
        <color rgb="FF000000"/>
        <rFont val="Arial"/>
      </rPr>
      <t xml:space="preserve"> для извещений, размещенных </t>
    </r>
    <r>
      <rPr>
        <b/>
        <sz val="10"/>
        <color rgb="FF000000"/>
        <rFont val="Arial"/>
      </rPr>
      <t>НАЧИНАЯ С ДАТЫ</t>
    </r>
    <r>
      <rPr>
        <sz val="10"/>
        <color rgb="FF000000"/>
        <rFont val="Arial"/>
      </rPr>
      <t>, указанной в настройке ПРИЗ_Н_0099</t>
    </r>
  </si>
  <si>
    <r>
      <rPr>
        <sz val="10"/>
        <color rgb="FF000000"/>
        <rFont val="Arial"/>
      </rPr>
      <t xml:space="preserve">Строка должна </t>
    </r>
    <r>
      <rPr>
        <b/>
        <sz val="10"/>
        <color rgb="FF000000"/>
        <rFont val="Arial"/>
      </rPr>
      <t>всегда</t>
    </r>
    <r>
      <rPr>
        <sz val="10"/>
        <color rgb="FF000000"/>
        <rFont val="Arial"/>
      </rPr>
      <t xml:space="preserve"> отображаться в печатной форме.</t>
    </r>
  </si>
  <si>
    <t>Если  при формировании извещения значение признака «Предусмотрена возможность одностороннего отказа от исполнения контракта в соответствии со ст. 95 Закона № 44-ФЗ».= TRUE то значение «Да»</t>
  </si>
  <si>
    <t>Значение = ДА</t>
  </si>
  <si>
    <t>Если при формировании извещения значение признака «Предусмотрена возможность одностороннего отказа от исполнения контракта в соответствии со ст. 95 Закона № 44-ФЗ».= FALSE то значение «НЕТ»</t>
  </si>
  <si>
    <t>Значение = НЕТ</t>
  </si>
  <si>
    <r>
      <rPr>
        <b/>
        <sz val="9"/>
        <color rgb="FF000000"/>
        <rFont val="Arial"/>
      </rPr>
      <t xml:space="preserve">Реализовано
</t>
    </r>
    <r>
      <rPr>
        <sz val="9"/>
        <color rgb="FF000000"/>
        <rFont val="Arial"/>
      </rPr>
      <t>(заполняет разработка)</t>
    </r>
  </si>
  <si>
    <r>
      <rPr>
        <b/>
        <sz val="9"/>
        <color rgb="FF000000"/>
        <rFont val="Arial"/>
      </rPr>
      <t xml:space="preserve">Комментарий
</t>
    </r>
    <r>
      <rPr>
        <sz val="9"/>
        <color rgb="FF000000"/>
        <rFont val="Arial"/>
      </rPr>
      <t>(заполняет разработка)</t>
    </r>
  </si>
  <si>
    <t xml:space="preserve">CU	921020
</t>
  </si>
  <si>
    <t xml:space="preserve">RA	364764
</t>
  </si>
  <si>
    <t>CU  18037</t>
  </si>
  <si>
    <t xml:space="preserve">RA	10231
</t>
  </si>
  <si>
    <t xml:space="preserve">CU	54976
</t>
  </si>
  <si>
    <t xml:space="preserve">RA	7923
</t>
  </si>
  <si>
    <t>АВТОКОНТРОЛИ ИЗВЕЩЕНИЯ</t>
  </si>
  <si>
    <t>4.	ПЕРЕЧЕНЬ АВТОМАТИЗИРОВАННЫХ КОНТРОЛЕЙ</t>
  </si>
  <si>
    <t xml:space="preserve">Для поля «Информация о возможности одностороннего отказа от исполнения контракта в соответствии с положениями чч. 8 –23,  25 ст. 95 Закона № 44-ФЗ» контроль НЕ вызывается для извещений, размещенных начиная с даты, указанной в настройке ПРИЗ_Н_0099 </t>
  </si>
  <si>
    <t>1.1</t>
  </si>
  <si>
    <r>
      <rPr>
        <sz val="10"/>
        <color rgb="FF000000"/>
        <rFont val="Arial"/>
      </rPr>
      <t xml:space="preserve">И Размещено </t>
    </r>
    <r>
      <rPr>
        <b/>
        <sz val="10"/>
        <color rgb="FF000000"/>
        <rFont val="Arial"/>
      </rPr>
      <t>ДО</t>
    </r>
    <r>
      <rPr>
        <sz val="10"/>
        <color rgb="FF000000"/>
        <rFont val="Arial"/>
      </rPr>
      <t xml:space="preserve"> даты, указанной в настройке ПРИЗ_Н_0099  - Контроль </t>
    </r>
    <r>
      <rPr>
        <b/>
        <sz val="10"/>
        <color rgb="FF000000"/>
        <rFont val="Arial"/>
      </rPr>
      <t>вызывается</t>
    </r>
  </si>
  <si>
    <t>Проверка сообщения о вызове АК:</t>
  </si>
  <si>
    <t xml:space="preserve"> Перед сообщением об ошибке выводится код «ПРИЗ_АК_0000_1120.»
        </t>
  </si>
  <si>
    <t>ПРИЗ_АК_0000_0228 Проверка обязательности полей</t>
  </si>
  <si>
    <t xml:space="preserve">Информация о возможности одностороннего отказа от исполнения контракта в соответствии с положениями Частей 8 – 25 Статьи 95 Федерального Закона №44-ФЗ 
контроль НЕ вызывается для извещений размещенных начиная с даты, указанной в настройке ПРИЗ_Н_0099 
</t>
  </si>
  <si>
    <r>
      <rPr>
        <sz val="10"/>
        <color theme="1"/>
        <rFont val="Arial"/>
      </rPr>
      <t xml:space="preserve">И Размещено </t>
    </r>
    <r>
      <rPr>
        <b/>
        <sz val="10"/>
        <color theme="1"/>
        <rFont val="Arial"/>
      </rPr>
      <t>начиная с даты</t>
    </r>
    <r>
      <rPr>
        <sz val="10"/>
        <color theme="1"/>
        <rFont val="Arial"/>
      </rPr>
      <t xml:space="preserve">, указанной в настройке ПРИЗ_Н_0099  - Контроль </t>
    </r>
    <r>
      <rPr>
        <b/>
        <sz val="10"/>
        <color theme="1"/>
        <rFont val="Arial"/>
      </rPr>
      <t>не вызывается</t>
    </r>
  </si>
  <si>
    <r>
      <rPr>
        <sz val="10"/>
        <color rgb="FF000000"/>
        <rFont val="Arial"/>
      </rPr>
      <t xml:space="preserve">И Размещено </t>
    </r>
    <r>
      <rPr>
        <b/>
        <sz val="10"/>
        <color rgb="FF000000"/>
        <rFont val="Arial"/>
      </rPr>
      <t>ДО</t>
    </r>
    <r>
      <rPr>
        <sz val="10"/>
        <color rgb="FF000000"/>
        <rFont val="Arial"/>
      </rPr>
      <t xml:space="preserve"> даты, указанной в настройке ПРИЗ_Н_0099  - Контроль </t>
    </r>
    <r>
      <rPr>
        <b/>
        <sz val="10"/>
        <color rgb="FF000000"/>
        <rFont val="Arial"/>
      </rPr>
      <t>вызывается</t>
    </r>
  </si>
  <si>
    <t xml:space="preserve">Проверка уровня вызванного ПРИЗ_АК_0000_0228         </t>
  </si>
  <si>
    <t>Уровень ПРИЗ_АК_0000_0228 = 1</t>
  </si>
  <si>
    <t xml:space="preserve"> Перед сообщением об ошибке выводится код «ПРИЗ_АК_0000_0228.»
        </t>
  </si>
  <si>
    <t>Полезные скрипты</t>
  </si>
  <si>
    <t>Справочник курсов валют (выполнять в ПГЗДБ)</t>
  </si>
  <si>
    <t>select nc.currency_id, nc.name, nc.code, nc.digital_code, ncr.currency_rate_id, t1.rate_date, ncr.nominal, ncr.rate
from (select currency_id, MAX (Rate_Date) as Rate_Date from zakupki_nsi.NSI_CURRENCY_RATE where is_actual = 1 group by currency_id) t1
left join zakupki_nsi.NSI_CURRENCY_RATE ncr on (t1.currency_id = ncr.currency_id AND t1.rate_date = ncr.rate_date AND ncr.is_actual = 1)
left join zakupki_nsi.NSI_CURRENCY nc on ncr.CURRENCY_ID = nc.CURRENCY_ID
where nc.is_actual = 1 order by nc.name asc</t>
  </si>
  <si>
    <t>Перечень актуальных преимуществ, требований и ограничений для определённого СОП</t>
  </si>
  <si>
    <t>select distinct npf.feature_id,(npf.type || '-' || decode(npf.type, 'P', 'Преимущество', 'F', 'Доп.требование', 'C', 'Ограничение' )) npf_type, npf.short_name, npf.name, npf.is_actual, npf.DEF_PREF_VALUE
from zakupki_nsi.nsi_placement_feature npf
left join zakupki_nsi.nsi_placing_way_feature pwf on npf.feature_id = pwf.feature_id
left join zakupki_nsi.nsi_placing_way pw on pwf.PLACING_WAY_ID = pw.PLACING_WAY_ID
where 1=1
AND npf.is_actual = 1 AND pw.type = 'ZK20'
order by npf_type desc;</t>
  </si>
  <si>
    <t>Признак RPP</t>
  </si>
  <si>
    <t>select HAS_FINAL_PROTOCOL from notif_z.orders where order_id = '';</t>
  </si>
  <si>
    <t>РОП</t>
  </si>
  <si>
    <t>select o.order_id,o.order_num, o.ORDER_NAME,sdr.SUPPLIER_DEF_RESULT_ID AS SDR_ID, sdr.PROCEDURE_INCOMPLETE PL_FL_FAILED,
(sdr.LOT_STATUS || ' - ' || decode(sdr.LOT_STATUS , 'A', 'Актуальный РОП', 'I', 'Недействующий РОП')) as СТАТУС_РОП, sdr.DEF_RESULT ROP_FL_CALC,
to_char(b.DELIVER_DATE, 'DD.MM.YYYY HH24:MI:SS') AS дата_заявки, de.SURNAME, de.NAME, de.FATHERNAME, de.FULL_NAME, de.INN, de.KPP, sdrb.DEF_RESULT ROP_R_RESULT,--инфо о заявке участника
sdrb.ORDER_NUM AS ROP_R_ORDER, sb.BID_ESTIMATION_RESULT, sdrb.OFFER_PRICE_TRU ROP_R_PRICE --РОП
from NOTIF_Z.ORDERS o
left join NOTIF_Z.SUPPLIER_DEF_RESULT sdr on sdr.order_id = o.order_id --результат опр-я поставщитка
left join NOTIF_Z.STPROTOCOL_LOTS sl on sl.STPROTOCOL_LOT_ID = sdr.STPROTOCOL_LOT_ID
left join NOTIF_Z.STPROTOCOL_BIDS sb on sl.STPROTOCOL_LOT_ID = sb.STPROTOCOL_LOT_ID --не трогать! Работает!
left join notif_z.bids b on sb.BID_ID = b.BID_ID --заявки участников
left join notif_z.DECLARANTS de on b.BID_ID = de.BID_ID --инфо об участнике
left join NOTIF_Z.SUPPLIER_DEF_RESULT_BID sdrb on sb.STPROTOCOL_BID_ID = sdrb.STPROTOCOL_BID_ID AND sdr.SUPPLIER_DEF_RESULT_ID = sdrb.SUPPLIER_DEF_RESULT_ID --участники, включённые в РОП
where 1=1
AND o.ORDER_NUM = '9911111111320000466'
ORDER BY o.order_id, SDR_ID asc;</t>
  </si>
  <si>
    <t>CUSTOMER_IS_READY_FOR_CONTRACT</t>
  </si>
  <si>
    <t>select o.order_id, n.notice_id, o.order_num, o.has_final_protocol, n.is_ready_for_contract, c.CUSTOMER_IS_READY_FOR_CONTRACT
from NOTIF_Z.ORDERS o
left join NOTIF_Z.NOTICE n on o.ORDER_ID = n.ORDER_ID
left join NOTIF_Z.LOT l on n.NOTICE_ID = l.NOTICE_ID
left join NOTIF_Z.CUSTOMER_REQST_NOTICE c on l.LOT_ID = c.LOT_ID
where 1=1
AND c.PURCHASE_IDENTIFY_CODE = '191745304196074530100100390012814244'; 
--AND o.ORDER_NUM = '9911111111320000466'</t>
  </si>
  <si>
    <t>Изменение даты окончания подачи заявок для перевода закупки на этап "Работа комиссии" этапа через КМ реестра</t>
  </si>
  <si>
    <r>
      <rPr>
        <sz val="10"/>
        <color theme="1"/>
        <rFont val="Arial"/>
      </rPr>
      <t xml:space="preserve">update NOTIF_Z.PROCEDURES set OFFER_END_DATE = to_date ('11.08.2020', 'dd.mm.yyyy'), ACTUAL_OFFER_504_END_DATE = to_date ('11.08.2020', 'dd.mm.yyyy')
where NOTICE_ID in (
select distinct n.NOTICE_ID from NOTIF_Z.NOTICE n
join NOTIF_Z.ORDERS o on n.order_id = o.order_id
where o.order_num = '0173100012020000098');
</t>
    </r>
    <r>
      <rPr>
        <sz val="10"/>
        <color rgb="FFB7B7B7"/>
        <rFont val="Arial"/>
      </rPr>
      <t>--Для ЭОК, ЭОК-ОУ, ЭЗП, ЭЗК, ЭЗК20 - меняем поля OFFER_END_DATE и ACTUAL_OFFER_504_END_DATE
--Для ЭОК-Д - меняем поля OFFER_END_DATE и ACTUAL_OFFER_504_END_DATE (1 этап), OFFER_END_DATE_ST2 и ACTUAL_OFFER_END_DATE_ST2 (2 этап)
--Для ЭА - OFFER_END_DATE и ACTUAL_OFFER_END_DATE</t>
    </r>
  </si>
  <si>
    <t>Изменение этапа закупки</t>
  </si>
  <si>
    <r>
      <rPr>
        <sz val="10"/>
        <color theme="1"/>
        <rFont val="Arial"/>
      </rPr>
      <t xml:space="preserve">update NOTIF_Z.PROCEDURES
set STAGE ='APPLICATION_SUBMISSION'
where NOTICE_ID in (
select distinct n.NOTICE_ID from NOTIF_Z.NOTICE n
join NOTIF_Z.ORDERS o on n.order_id = o.order_id
where o.order_num = '9911111111319000960');
</t>
    </r>
    <r>
      <rPr>
        <sz val="10"/>
        <color rgb="FFB7B7B7"/>
        <rFont val="Arial"/>
      </rPr>
      <t>--NOTICE_PREPARATION подготовка
--APPLICATION_SUBMISSION подача заявок
--APPLICATION_SUBMISSION_STAGE_2 подача заявок 2 этап
--COMMISSION_ACTIVITIES работа комиссии
--COMMISSION_ACTIVITIES_STAGE_1 работа комиссии 1 этап
--PLACEMENT_COMPLETE определение поставщика завершено
--NOTICE_CANCEL определение поставщика отменено
--PROCEDURE_CANCEL 
--PROCEDURE_COMPLETE</t>
    </r>
  </si>
  <si>
    <t>Изменение даты размещения ИО и ИОЛ для отсутствия АК в ОИО и ОИОЛ</t>
  </si>
  <si>
    <t>update NOTIF_Z.NOTICE_CANCEL set PUBLISH_DATE = TO_DATE('12.04.20','DD.MM.YY'), 
PUBLISH_DATE_LOCAL = TO_DATE('12.04.20','DD.MM.YY'),
CHANGE_DATE = TO_DATE('12.04.20','DD.MM.YY')
where order_id = '49176' AND ORDER_DOC_STATUS = 'P';</t>
  </si>
  <si>
    <t>Отклонение ЗАЯВКИ участника в протоколе</t>
  </si>
  <si>
    <t>select distinct rr.reason_code, rr.REASON 
from zakupki_nsi.nsi_reject_reason rr
inner join zakupki_nsi.NSI_PLACING_WAY_REJECT_REASON pwrr on pwrr.REASON_ID = rr.REASON_ID
inner join zakupki_nsi.NSI_PLACING_WAY pw on pw.PLACING_WAY_ID = pwrr.PLACING_WAY_ID
where rr.is_actual=1 and rr.SUBSYSTEM_TYPE = 'FZ44' and pw.type = 'ZK20';</t>
  </si>
  <si>
    <t>Отклонение заявки в ППУ</t>
  </si>
  <si>
    <t>select * from zakupki_nsi.nsi_evasion_reason where is_actual=1;</t>
  </si>
  <si>
    <t>Отклонение заявки в ПОК</t>
  </si>
  <si>
    <t>select * from zakupki_nsi.NSI_CONTRACT_REF_FOUNDATION where is_actual=1 and SUBSYSTEM_TYPE = 'FZ44';</t>
  </si>
  <si>
    <t>Отклонение заявки в ПОК20/ППУ20</t>
  </si>
  <si>
    <t>select distinct r.REASON_CODE, r.INTEGRATION_OBJECT_NAME, r.REASON_NAME
from ZAKUPKI_NSI.NSI_PLACING_WAY_POK_PPU_REASON r
join ZAKUPKI_NSI.NSI_PLACING_WAY pw on r.PLACING_WAY_ID = pw.PLACING_WAY_ID
where pw.type = 'ZK20' and r.is_actual=1;</t>
  </si>
  <si>
    <t>Код признания закупки несостоявшейся для протокола</t>
  </si>
  <si>
    <t xml:space="preserve">select distinct r.reason_code, rt.type_code, r.INTEGRATION_OBJ_NAME, r.reason_name from zakupki_nsi.nsi_accept_manque_reason r 
left join zakupki_nsi.NSI_ACCEPT_MANQUE_REASON_TYPE rt on r.ACCEPT_MANQUE_REASON_TYPE_ID = rt.TYPE_ID
left join zakupki_nsi.NSI_DOC_TYPE_PLACING_WAY dpw on  r.DOC_TYPE_PLACING_WAY_ID = dpw.DOC_TYPE_PLACING_WAY_ID
left join zakupki_nsi.NSI_PLACING_WAY pw on dpw.PLACING_WAY_ID = pw.PLACING_WAY_ID
where pw.SUBSYSTEM_TYPE = 'FZ44' AND pw.is_actual = 1 AND r.is_actual = 1 AND rt.is_actual = 1 AND pw.code = 'ZK20'
order by r.INTEGRATION_OBJ_NAME, rt.type_code; </t>
  </si>
  <si>
    <t>Информация об УОЗ</t>
  </si>
  <si>
    <t>select bc.* 
from notif_z.BID_CANCEL bc
join notif_z.orders o on o.order_id = bc.order_id
where o.order_num = '9117400000220000220';</t>
  </si>
  <si>
    <t>проверка статуса внутреннего согласования</t>
  </si>
  <si>
    <t>select * from notif_z.notice where INTERNAL_AGREEMENT not in ('AGR','INP')
and order_id = '';</t>
  </si>
  <si>
    <t>Сначала ищем код СОПа ЭЗакК20 в справочнике
Затем деактуализируем код СОПа ЭЗакК20 в справочнике</t>
  </si>
  <si>
    <t>select pw.placing_way_id, pw.code, pw.name
from ZAKUPKI_NSI.NSI_PLACING_WAY pw
where is_actual = 1
and pw.code like '%ZKK20%'
order by code;</t>
  </si>
  <si>
    <t>update zakupki_nsi.nsi_placing_way
set is_actual = '0' where placing_way_id = '';</t>
  </si>
  <si>
    <r>
      <rPr>
        <sz val="10"/>
        <color theme="1"/>
        <rFont val="Arial"/>
      </rPr>
      <t>Данные справочника «</t>
    </r>
    <r>
      <rPr>
        <b/>
        <sz val="10"/>
        <color theme="1"/>
        <rFont val="Arial"/>
      </rPr>
      <t>Случаи проведения закрытой электронной процедуры</t>
    </r>
    <r>
      <rPr>
        <sz val="10"/>
        <color theme="1"/>
        <rFont val="Arial"/>
      </rPr>
      <t>».</t>
    </r>
  </si>
  <si>
    <t>select * from ZAKUPKI_NSI.NSI_CLOSED_EP_CAUSES where is_actual = 1;</t>
  </si>
  <si>
    <t>Список доступных для указанного СОПа ЭЛЕКТРОННЫХ ТОРГОВЫХ ПЛОЩАДОК в соответствии со справочником НСИ</t>
  </si>
  <si>
    <t>select pw.type, pw.name, etp.etp_name, etp.etp_address from ZAKUPKI_NSI.ETP etp
    left join ZAKUPKI_NSI.NSI_PLAСING_WAY_ETP_LINK link on etp.etp_id = link.etp_id
    left join ZAKUPKI_NSI.NSI_PLACING_WAY pw on link.placing_way_id = pw.placing_way_id
where etp.IS_PUBLIC = 0 and etp.IS_actual = 1 and pw.is_actual = 1
    and pw.type in ('ZKK20', 'ZA20', 'ZKEF', 'ZEA');</t>
  </si>
  <si>
    <t>Спецификация(ссылка)</t>
  </si>
  <si>
    <t>Тестовый</t>
  </si>
  <si>
    <t>Иванов Иван</t>
  </si>
  <si>
    <t>Создание, редактирование, Измнение</t>
  </si>
  <si>
    <t>Проверка Обязательности полей</t>
  </si>
  <si>
    <r>
      <t xml:space="preserve">И Размещено </t>
    </r>
    <r>
      <rPr>
        <b/>
        <sz val="10"/>
        <color theme="1"/>
        <rFont val="Arial"/>
      </rPr>
      <t>начиная с даты</t>
    </r>
    <r>
      <rPr>
        <sz val="10"/>
        <color theme="1"/>
        <rFont val="Arial"/>
      </rPr>
      <t xml:space="preserve">, указанной в настройке ПРИЗ_Н_0099  - Контроль </t>
    </r>
    <r>
      <rPr>
        <b/>
        <sz val="10"/>
        <color theme="1"/>
        <rFont val="Arial"/>
      </rPr>
      <t>не вызывается</t>
    </r>
  </si>
  <si>
    <t xml:space="preserve">Проверка уровня вызванного контроля = 1	</t>
  </si>
  <si>
    <t>Уровень контроля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</si>
</sst>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m/d/yyyy\ h:mm:ss"/>
    <numFmt numFmtId="166" formatCode="d\.m"/>
  </numFmts>
  <fonts count="35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008000"/>
      <name val="Arial"/>
    </font>
    <font>
      <u/>
      <sz val="11"/>
      <color rgb="FF660000"/>
      <name val="-apple-system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sz val="9"/>
      <color rgb="FF000000"/>
      <name val="Arial"/>
    </font>
    <font>
      <b/>
      <sz val="9"/>
      <color theme="1"/>
      <name val="Arial"/>
    </font>
    <font>
      <b/>
      <sz val="11"/>
      <color rgb="FF000000"/>
      <name val="Calibri"/>
    </font>
    <font>
      <b/>
      <sz val="7"/>
      <color theme="1"/>
      <name val="Arial"/>
    </font>
    <font>
      <sz val="8"/>
      <color rgb="FF000000"/>
      <name val="Calibri"/>
    </font>
    <font>
      <b/>
      <u/>
      <sz val="10"/>
      <color theme="0"/>
      <name val="Arial"/>
    </font>
    <font>
      <sz val="10"/>
      <color theme="0"/>
      <name val="Arial"/>
    </font>
    <font>
      <b/>
      <sz val="10"/>
      <color rgb="FF6D9EEB"/>
      <name val="Arial"/>
    </font>
    <font>
      <sz val="10"/>
      <color rgb="FFD9D9D9"/>
      <name val="Arial"/>
    </font>
    <font>
      <sz val="10"/>
      <color rgb="FF000000"/>
      <name val="Arial"/>
    </font>
    <font>
      <b/>
      <sz val="10"/>
      <color rgb="FF0000FF"/>
      <name val="Arial"/>
    </font>
    <font>
      <b/>
      <sz val="10"/>
      <color rgb="FF666666"/>
      <name val="Arial"/>
    </font>
    <font>
      <b/>
      <sz val="10"/>
      <color rgb="FF434343"/>
      <name val="Arial"/>
    </font>
    <font>
      <sz val="10"/>
      <color rgb="FFFFFFFF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0"/>
      <color rgb="FFCCCCCC"/>
      <name val="Arial"/>
    </font>
    <font>
      <sz val="9"/>
      <color rgb="FFB7B7B7"/>
      <name val="Arial"/>
    </font>
    <font>
      <b/>
      <sz val="10"/>
      <color theme="0"/>
      <name val="Arial"/>
    </font>
    <font>
      <sz val="10"/>
      <color rgb="FF999999"/>
      <name val="Arial"/>
    </font>
    <font>
      <sz val="9"/>
      <color rgb="FF000000"/>
      <name val="Arial"/>
    </font>
    <font>
      <sz val="10"/>
      <color rgb="FFB7B7B7"/>
      <name val="Arial"/>
    </font>
  </fonts>
  <fills count="20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0C343D"/>
        <bgColor rgb="FF0C343D"/>
      </patternFill>
    </fill>
    <fill>
      <patternFill patternType="solid">
        <fgColor rgb="FFFFE599"/>
        <bgColor rgb="FFFFE599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351C75"/>
        <bgColor rgb="FF351C7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1" fillId="0" borderId="2" xfId="0" applyFont="1" applyBorder="1" applyAlignment="1"/>
    <xf numFmtId="0" fontId="1" fillId="0" borderId="5" xfId="0" applyFont="1" applyBorder="1" applyAlignme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7" fillId="0" borderId="8" xfId="0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8" fillId="3" borderId="8" xfId="0" applyFont="1" applyFill="1" applyBorder="1" applyAlignment="1">
      <alignment horizontal="left"/>
    </xf>
    <xf numFmtId="0" fontId="6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9" fillId="0" borderId="0" xfId="0" applyFont="1"/>
    <xf numFmtId="49" fontId="3" fillId="0" borderId="7" xfId="0" applyNumberFormat="1" applyFont="1" applyBorder="1" applyAlignment="1">
      <alignment vertical="top" wrapText="1"/>
    </xf>
    <xf numFmtId="0" fontId="3" fillId="0" borderId="8" xfId="0" applyFont="1" applyBorder="1" applyAlignment="1">
      <alignment horizontal="right" vertical="center"/>
    </xf>
    <xf numFmtId="0" fontId="0" fillId="0" borderId="7" xfId="0" applyFont="1" applyBorder="1" applyAlignment="1">
      <alignment vertical="top" wrapText="1"/>
    </xf>
    <xf numFmtId="164" fontId="0" fillId="0" borderId="7" xfId="0" applyNumberFormat="1" applyFont="1" applyBorder="1" applyAlignment="1">
      <alignment horizontal="left" vertical="top" wrapText="1"/>
    </xf>
    <xf numFmtId="0" fontId="6" fillId="0" borderId="8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11" xfId="0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right" vertical="center" wrapText="1"/>
    </xf>
    <xf numFmtId="2" fontId="3" fillId="0" borderId="8" xfId="0" applyNumberFormat="1" applyFont="1" applyBorder="1" applyAlignment="1">
      <alignment horizontal="left" vertical="center"/>
    </xf>
    <xf numFmtId="0" fontId="0" fillId="0" borderId="0" xfId="0" applyFont="1" applyAlignment="1">
      <alignment wrapText="1"/>
    </xf>
    <xf numFmtId="0" fontId="9" fillId="0" borderId="8" xfId="0" applyFont="1" applyBorder="1"/>
    <xf numFmtId="0" fontId="11" fillId="2" borderId="0" xfId="0" applyFont="1" applyFill="1" applyAlignment="1">
      <alignment horizontal="right"/>
    </xf>
    <xf numFmtId="0" fontId="11" fillId="2" borderId="8" xfId="0" applyFont="1" applyFill="1" applyBorder="1" applyAlignment="1">
      <alignment horizontal="right"/>
    </xf>
    <xf numFmtId="2" fontId="3" fillId="4" borderId="8" xfId="0" applyNumberFormat="1" applyFont="1" applyFill="1" applyBorder="1" applyAlignment="1">
      <alignment horizontal="left" vertical="center"/>
    </xf>
    <xf numFmtId="10" fontId="9" fillId="4" borderId="4" xfId="0" applyNumberFormat="1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9" fillId="0" borderId="8" xfId="0" applyFont="1" applyBorder="1" applyAlignment="1">
      <alignment horizontal="right"/>
    </xf>
    <xf numFmtId="0" fontId="9" fillId="0" borderId="8" xfId="0" applyFont="1" applyBorder="1" applyAlignment="1">
      <alignment horizontal="left"/>
    </xf>
    <xf numFmtId="2" fontId="9" fillId="0" borderId="8" xfId="0" applyNumberFormat="1" applyFont="1" applyBorder="1" applyAlignment="1">
      <alignment horizontal="left"/>
    </xf>
    <xf numFmtId="10" fontId="9" fillId="0" borderId="8" xfId="0" applyNumberFormat="1" applyFont="1" applyBorder="1" applyAlignment="1">
      <alignment horizontal="left"/>
    </xf>
    <xf numFmtId="2" fontId="9" fillId="0" borderId="8" xfId="0" applyNumberFormat="1" applyFont="1" applyBorder="1" applyAlignment="1">
      <alignment horizontal="left"/>
    </xf>
    <xf numFmtId="0" fontId="9" fillId="0" borderId="8" xfId="0" applyFont="1" applyBorder="1" applyAlignment="1"/>
    <xf numFmtId="0" fontId="9" fillId="0" borderId="0" xfId="0" applyFont="1"/>
    <xf numFmtId="0" fontId="0" fillId="0" borderId="0" xfId="0" applyFont="1" applyAlignment="1"/>
    <xf numFmtId="0" fontId="12" fillId="5" borderId="8" xfId="0" applyFont="1" applyFill="1" applyBorder="1" applyAlignment="1"/>
    <xf numFmtId="0" fontId="12" fillId="5" borderId="8" xfId="0" applyFont="1" applyFill="1" applyBorder="1" applyAlignment="1"/>
    <xf numFmtId="0" fontId="9" fillId="5" borderId="8" xfId="0" applyFont="1" applyFill="1" applyBorder="1"/>
    <xf numFmtId="0" fontId="9" fillId="5" borderId="8" xfId="0" applyFont="1" applyFill="1" applyBorder="1"/>
    <xf numFmtId="0" fontId="9" fillId="5" borderId="8" xfId="0" applyFont="1" applyFill="1" applyBorder="1" applyAlignment="1"/>
    <xf numFmtId="0" fontId="9" fillId="5" borderId="8" xfId="0" applyFont="1" applyFill="1" applyBorder="1" applyAlignment="1"/>
    <xf numFmtId="0" fontId="12" fillId="5" borderId="8" xfId="0" applyFont="1" applyFill="1" applyBorder="1" applyAlignment="1"/>
    <xf numFmtId="0" fontId="9" fillId="0" borderId="0" xfId="0" applyFont="1" applyAlignment="1"/>
    <xf numFmtId="4" fontId="12" fillId="5" borderId="8" xfId="0" applyNumberFormat="1" applyFont="1" applyFill="1" applyBorder="1" applyAlignment="1"/>
    <xf numFmtId="4" fontId="12" fillId="5" borderId="8" xfId="0" applyNumberFormat="1" applyFont="1" applyFill="1" applyBorder="1" applyAlignment="1"/>
    <xf numFmtId="0" fontId="12" fillId="5" borderId="8" xfId="0" applyFont="1" applyFill="1" applyBorder="1" applyAlignment="1">
      <alignment horizontal="right"/>
    </xf>
    <xf numFmtId="2" fontId="12" fillId="5" borderId="8" xfId="0" applyNumberFormat="1" applyFont="1" applyFill="1" applyBorder="1" applyAlignment="1"/>
    <xf numFmtId="10" fontId="9" fillId="5" borderId="8" xfId="0" applyNumberFormat="1" applyFont="1" applyFill="1" applyBorder="1" applyAlignment="1"/>
    <xf numFmtId="10" fontId="12" fillId="5" borderId="8" xfId="0" applyNumberFormat="1" applyFont="1" applyFill="1" applyBorder="1" applyAlignment="1"/>
    <xf numFmtId="10" fontId="9" fillId="5" borderId="8" xfId="0" applyNumberFormat="1" applyFont="1" applyFill="1" applyBorder="1"/>
    <xf numFmtId="0" fontId="15" fillId="0" borderId="3" xfId="0" applyFont="1" applyBorder="1" applyAlignment="1">
      <alignment horizontal="center"/>
    </xf>
    <xf numFmtId="0" fontId="9" fillId="3" borderId="8" xfId="0" applyFont="1" applyFill="1" applyBorder="1"/>
    <xf numFmtId="0" fontId="14" fillId="3" borderId="8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5" borderId="8" xfId="0" applyFont="1" applyFill="1" applyBorder="1" applyAlignment="1"/>
    <xf numFmtId="165" fontId="9" fillId="0" borderId="0" xfId="0" applyNumberFormat="1" applyFont="1" applyAlignment="1"/>
    <xf numFmtId="0" fontId="9" fillId="0" borderId="8" xfId="0" applyFont="1" applyBorder="1" applyAlignment="1"/>
    <xf numFmtId="0" fontId="9" fillId="0" borderId="0" xfId="0" applyFont="1" applyAlignment="1"/>
    <xf numFmtId="10" fontId="10" fillId="6" borderId="0" xfId="0" applyNumberFormat="1" applyFont="1" applyFill="1" applyAlignment="1">
      <alignment horizontal="right"/>
    </xf>
    <xf numFmtId="0" fontId="9" fillId="7" borderId="8" xfId="0" applyFont="1" applyFill="1" applyBorder="1" applyAlignment="1"/>
    <xf numFmtId="0" fontId="21" fillId="3" borderId="0" xfId="0" applyFont="1" applyFill="1" applyAlignment="1">
      <alignment horizontal="right"/>
    </xf>
    <xf numFmtId="0" fontId="11" fillId="8" borderId="8" xfId="0" applyFont="1" applyFill="1" applyBorder="1" applyAlignment="1"/>
    <xf numFmtId="0" fontId="9" fillId="8" borderId="8" xfId="0" applyFont="1" applyFill="1" applyBorder="1" applyAlignment="1"/>
    <xf numFmtId="0" fontId="21" fillId="0" borderId="0" xfId="0" applyFont="1" applyAlignment="1">
      <alignment horizontal="right"/>
    </xf>
    <xf numFmtId="0" fontId="9" fillId="0" borderId="0" xfId="0" applyFont="1" applyAlignment="1">
      <alignment vertical="top"/>
    </xf>
    <xf numFmtId="0" fontId="9" fillId="3" borderId="8" xfId="0" applyFont="1" applyFill="1" applyBorder="1" applyAlignment="1">
      <alignment horizontal="right"/>
    </xf>
    <xf numFmtId="0" fontId="9" fillId="3" borderId="8" xfId="0" applyFont="1" applyFill="1" applyBorder="1" applyAlignment="1">
      <alignment horizontal="right"/>
    </xf>
    <xf numFmtId="0" fontId="22" fillId="0" borderId="8" xfId="0" applyFont="1" applyBorder="1" applyAlignment="1">
      <alignment horizontal="right"/>
    </xf>
    <xf numFmtId="0" fontId="22" fillId="9" borderId="8" xfId="0" applyFont="1" applyFill="1" applyBorder="1" applyAlignment="1">
      <alignment horizontal="right"/>
    </xf>
    <xf numFmtId="0" fontId="23" fillId="3" borderId="8" xfId="0" applyFont="1" applyFill="1" applyBorder="1" applyAlignment="1"/>
    <xf numFmtId="0" fontId="9" fillId="0" borderId="8" xfId="0" applyFont="1" applyBorder="1" applyAlignment="1"/>
    <xf numFmtId="166" fontId="9" fillId="0" borderId="8" xfId="0" applyNumberFormat="1" applyFont="1" applyBorder="1" applyAlignment="1"/>
    <xf numFmtId="0" fontId="9" fillId="11" borderId="8" xfId="0" applyFont="1" applyFill="1" applyBorder="1"/>
    <xf numFmtId="0" fontId="9" fillId="0" borderId="0" xfId="0" applyFont="1" applyAlignment="1">
      <alignment vertical="top"/>
    </xf>
    <xf numFmtId="0" fontId="9" fillId="12" borderId="8" xfId="0" applyFont="1" applyFill="1" applyBorder="1" applyAlignment="1">
      <alignment horizontal="right"/>
    </xf>
    <xf numFmtId="0" fontId="9" fillId="0" borderId="0" xfId="0" applyFont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22" fillId="0" borderId="8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0" xfId="0" applyFont="1" applyAlignment="1">
      <alignment horizontal="center" vertical="center" textRotation="90" wrapText="1"/>
    </xf>
    <xf numFmtId="0" fontId="12" fillId="13" borderId="8" xfId="0" applyFont="1" applyFill="1" applyBorder="1" applyAlignment="1"/>
    <xf numFmtId="0" fontId="12" fillId="13" borderId="8" xfId="0" applyFont="1" applyFill="1" applyBorder="1" applyAlignment="1"/>
    <xf numFmtId="0" fontId="9" fillId="13" borderId="8" xfId="0" applyFont="1" applyFill="1" applyBorder="1"/>
    <xf numFmtId="0" fontId="9" fillId="13" borderId="8" xfId="0" applyFont="1" applyFill="1" applyBorder="1"/>
    <xf numFmtId="0" fontId="9" fillId="13" borderId="8" xfId="0" applyFont="1" applyFill="1" applyBorder="1" applyAlignment="1"/>
    <xf numFmtId="0" fontId="9" fillId="13" borderId="8" xfId="0" applyFont="1" applyFill="1" applyBorder="1" applyAlignment="1"/>
    <xf numFmtId="0" fontId="12" fillId="13" borderId="8" xfId="0" applyFont="1" applyFill="1" applyBorder="1" applyAlignment="1"/>
    <xf numFmtId="0" fontId="9" fillId="13" borderId="0" xfId="0" applyFont="1" applyFill="1"/>
    <xf numFmtId="4" fontId="12" fillId="13" borderId="0" xfId="0" applyNumberFormat="1" applyFont="1" applyFill="1" applyAlignment="1">
      <alignment horizontal="right"/>
    </xf>
    <xf numFmtId="4" fontId="12" fillId="13" borderId="8" xfId="0" applyNumberFormat="1" applyFont="1" applyFill="1" applyBorder="1" applyAlignment="1">
      <alignment horizontal="right"/>
    </xf>
    <xf numFmtId="0" fontId="12" fillId="13" borderId="8" xfId="0" applyFont="1" applyFill="1" applyBorder="1" applyAlignment="1">
      <alignment horizontal="right"/>
    </xf>
    <xf numFmtId="0" fontId="12" fillId="13" borderId="0" xfId="0" applyFont="1" applyFill="1" applyAlignment="1"/>
    <xf numFmtId="0" fontId="12" fillId="13" borderId="8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right"/>
    </xf>
    <xf numFmtId="2" fontId="12" fillId="13" borderId="8" xfId="0" applyNumberFormat="1" applyFont="1" applyFill="1" applyBorder="1" applyAlignment="1">
      <alignment horizontal="right"/>
    </xf>
    <xf numFmtId="4" fontId="12" fillId="13" borderId="8" xfId="0" applyNumberFormat="1" applyFont="1" applyFill="1" applyBorder="1" applyAlignment="1"/>
    <xf numFmtId="10" fontId="9" fillId="13" borderId="8" xfId="0" applyNumberFormat="1" applyFont="1" applyFill="1" applyBorder="1" applyAlignment="1"/>
    <xf numFmtId="10" fontId="12" fillId="13" borderId="8" xfId="0" applyNumberFormat="1" applyFont="1" applyFill="1" applyBorder="1" applyAlignment="1"/>
    <xf numFmtId="10" fontId="9" fillId="13" borderId="8" xfId="0" applyNumberFormat="1" applyFont="1" applyFill="1" applyBorder="1"/>
    <xf numFmtId="0" fontId="13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165" fontId="4" fillId="14" borderId="8" xfId="0" applyNumberFormat="1" applyFont="1" applyFill="1" applyBorder="1" applyAlignment="1">
      <alignment horizontal="left" wrapText="1"/>
    </xf>
    <xf numFmtId="0" fontId="9" fillId="14" borderId="8" xfId="0" applyFont="1" applyFill="1" applyBorder="1" applyAlignment="1"/>
    <xf numFmtId="0" fontId="9" fillId="14" borderId="4" xfId="0" applyFont="1" applyFill="1" applyBorder="1" applyAlignment="1"/>
    <xf numFmtId="0" fontId="9" fillId="14" borderId="8" xfId="0" applyFont="1" applyFill="1" applyBorder="1" applyAlignment="1"/>
    <xf numFmtId="165" fontId="4" fillId="14" borderId="3" xfId="0" applyNumberFormat="1" applyFont="1" applyFill="1" applyBorder="1" applyAlignment="1">
      <alignment horizontal="center" wrapText="1"/>
    </xf>
    <xf numFmtId="0" fontId="0" fillId="15" borderId="0" xfId="0" applyFont="1" applyFill="1" applyAlignment="1"/>
    <xf numFmtId="0" fontId="4" fillId="16" borderId="8" xfId="0" applyFont="1" applyFill="1" applyBorder="1" applyAlignment="1">
      <alignment horizontal="left"/>
    </xf>
    <xf numFmtId="0" fontId="11" fillId="16" borderId="8" xfId="0" applyFont="1" applyFill="1" applyBorder="1" applyAlignment="1">
      <alignment horizontal="right"/>
    </xf>
    <xf numFmtId="0" fontId="9" fillId="16" borderId="6" xfId="0" applyFont="1" applyFill="1" applyBorder="1" applyAlignment="1"/>
    <xf numFmtId="0" fontId="9" fillId="16" borderId="7" xfId="0" applyFont="1" applyFill="1" applyBorder="1" applyAlignment="1"/>
    <xf numFmtId="0" fontId="11" fillId="16" borderId="6" xfId="0" applyFont="1" applyFill="1" applyBorder="1" applyAlignment="1">
      <alignment horizontal="center"/>
    </xf>
    <xf numFmtId="0" fontId="11" fillId="16" borderId="8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left"/>
    </xf>
    <xf numFmtId="0" fontId="4" fillId="16" borderId="8" xfId="0" applyFont="1" applyFill="1" applyBorder="1" applyAlignment="1">
      <alignment horizontal="center" wrapText="1"/>
    </xf>
    <xf numFmtId="0" fontId="26" fillId="16" borderId="8" xfId="0" applyFont="1" applyFill="1" applyBorder="1" applyAlignment="1"/>
    <xf numFmtId="0" fontId="4" fillId="16" borderId="0" xfId="0" applyFont="1" applyFill="1" applyAlignment="1">
      <alignment horizontal="left"/>
    </xf>
    <xf numFmtId="0" fontId="27" fillId="3" borderId="16" xfId="0" applyFont="1" applyFill="1" applyBorder="1" applyAlignment="1"/>
    <xf numFmtId="10" fontId="10" fillId="6" borderId="17" xfId="0" applyNumberFormat="1" applyFont="1" applyFill="1" applyBorder="1" applyAlignment="1">
      <alignment horizontal="right" wrapText="1"/>
    </xf>
    <xf numFmtId="0" fontId="9" fillId="17" borderId="7" xfId="0" applyFont="1" applyFill="1" applyBorder="1" applyAlignment="1"/>
    <xf numFmtId="0" fontId="9" fillId="17" borderId="6" xfId="0" applyFont="1" applyFill="1" applyBorder="1" applyAlignment="1"/>
    <xf numFmtId="0" fontId="28" fillId="17" borderId="7" xfId="0" applyFont="1" applyFill="1" applyBorder="1" applyAlignment="1">
      <alignment horizontal="center"/>
    </xf>
    <xf numFmtId="0" fontId="9" fillId="17" borderId="7" xfId="0" applyFont="1" applyFill="1" applyBorder="1" applyAlignment="1"/>
    <xf numFmtId="0" fontId="29" fillId="0" borderId="0" xfId="0" applyFont="1" applyAlignment="1"/>
    <xf numFmtId="0" fontId="30" fillId="0" borderId="2" xfId="0" applyFont="1" applyBorder="1" applyAlignment="1">
      <alignment horizontal="right"/>
    </xf>
    <xf numFmtId="0" fontId="9" fillId="18" borderId="8" xfId="0" applyFont="1" applyFill="1" applyBorder="1" applyAlignment="1"/>
    <xf numFmtId="0" fontId="9" fillId="18" borderId="4" xfId="0" applyFont="1" applyFill="1" applyBorder="1" applyAlignment="1"/>
    <xf numFmtId="0" fontId="9" fillId="18" borderId="7" xfId="0" applyFont="1" applyFill="1" applyBorder="1" applyAlignment="1"/>
    <xf numFmtId="0" fontId="10" fillId="18" borderId="7" xfId="0" applyFont="1" applyFill="1" applyBorder="1" applyAlignment="1">
      <alignment horizontal="right"/>
    </xf>
    <xf numFmtId="0" fontId="9" fillId="18" borderId="6" xfId="0" applyFont="1" applyFill="1" applyBorder="1" applyAlignment="1"/>
    <xf numFmtId="0" fontId="28" fillId="18" borderId="7" xfId="0" applyFont="1" applyFill="1" applyBorder="1" applyAlignment="1">
      <alignment horizontal="center"/>
    </xf>
    <xf numFmtId="0" fontId="9" fillId="18" borderId="7" xfId="0" applyFont="1" applyFill="1" applyBorder="1" applyAlignment="1"/>
    <xf numFmtId="0" fontId="30" fillId="0" borderId="2" xfId="0" applyFont="1" applyBorder="1" applyAlignment="1">
      <alignment horizontal="right"/>
    </xf>
    <xf numFmtId="0" fontId="3" fillId="0" borderId="8" xfId="0" applyFont="1" applyBorder="1" applyAlignment="1">
      <alignment horizontal="left" vertical="top" wrapText="1"/>
    </xf>
    <xf numFmtId="0" fontId="22" fillId="6" borderId="8" xfId="0" applyFont="1" applyFill="1" applyBorder="1" applyAlignment="1">
      <alignment horizontal="right"/>
    </xf>
    <xf numFmtId="0" fontId="28" fillId="19" borderId="6" xfId="0" applyFont="1" applyFill="1" applyBorder="1" applyAlignment="1"/>
    <xf numFmtId="0" fontId="0" fillId="0" borderId="8" xfId="0" quotePrefix="1" applyFont="1" applyBorder="1" applyAlignment="1">
      <alignment horizontal="right"/>
    </xf>
    <xf numFmtId="0" fontId="9" fillId="11" borderId="8" xfId="0" applyFont="1" applyFill="1" applyBorder="1" applyAlignment="1">
      <alignment horizontal="center" vertical="center"/>
    </xf>
    <xf numFmtId="0" fontId="9" fillId="0" borderId="8" xfId="0" applyFont="1" applyBorder="1"/>
    <xf numFmtId="0" fontId="22" fillId="0" borderId="8" xfId="0" applyFont="1" applyBorder="1" applyAlignment="1">
      <alignment horizontal="left" vertical="top" wrapText="1"/>
    </xf>
    <xf numFmtId="0" fontId="9" fillId="0" borderId="2" xfId="0" applyFont="1" applyBorder="1" applyAlignment="1"/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9" fillId="3" borderId="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6" borderId="4" xfId="0" applyFont="1" applyFill="1" applyBorder="1" applyAlignment="1">
      <alignment horizontal="right"/>
    </xf>
    <xf numFmtId="0" fontId="23" fillId="3" borderId="4" xfId="0" applyFont="1" applyFill="1" applyBorder="1" applyAlignment="1"/>
    <xf numFmtId="0" fontId="24" fillId="10" borderId="4" xfId="0" applyFont="1" applyFill="1" applyBorder="1" applyAlignment="1"/>
    <xf numFmtId="0" fontId="24" fillId="10" borderId="4" xfId="0" applyFont="1" applyFill="1" applyBorder="1" applyAlignment="1"/>
    <xf numFmtId="0" fontId="9" fillId="0" borderId="4" xfId="0" applyFont="1" applyBorder="1" applyAlignment="1"/>
    <xf numFmtId="0" fontId="9" fillId="0" borderId="4" xfId="0" quotePrefix="1" applyFont="1" applyBorder="1" applyAlignment="1">
      <alignment horizontal="right"/>
    </xf>
    <xf numFmtId="0" fontId="9" fillId="11" borderId="4" xfId="0" applyFont="1" applyFill="1" applyBorder="1"/>
    <xf numFmtId="0" fontId="9" fillId="0" borderId="4" xfId="0" applyFont="1" applyBorder="1" applyAlignment="1"/>
    <xf numFmtId="0" fontId="29" fillId="0" borderId="0" xfId="0" applyFont="1" applyAlignment="1">
      <alignment horizontal="left"/>
    </xf>
    <xf numFmtId="0" fontId="3" fillId="0" borderId="8" xfId="0" applyFont="1" applyBorder="1" applyAlignment="1">
      <alignment vertical="top" wrapText="1"/>
    </xf>
    <xf numFmtId="166" fontId="0" fillId="0" borderId="8" xfId="0" applyNumberFormat="1" applyFont="1" applyBorder="1" applyAlignment="1">
      <alignment horizontal="right"/>
    </xf>
    <xf numFmtId="0" fontId="21" fillId="0" borderId="0" xfId="0" applyFont="1" applyAlignment="1">
      <alignment horizontal="right"/>
    </xf>
    <xf numFmtId="0" fontId="10" fillId="0" borderId="4" xfId="0" applyFont="1" applyBorder="1" applyAlignment="1">
      <alignment vertical="top"/>
    </xf>
    <xf numFmtId="0" fontId="23" fillId="3" borderId="4" xfId="0" applyFont="1" applyFill="1" applyBorder="1" applyAlignment="1"/>
    <xf numFmtId="166" fontId="9" fillId="0" borderId="4" xfId="0" quotePrefix="1" applyNumberFormat="1" applyFont="1" applyBorder="1" applyAlignment="1">
      <alignment horizontal="right"/>
    </xf>
    <xf numFmtId="0" fontId="9" fillId="0" borderId="4" xfId="0" applyFont="1" applyBorder="1" applyAlignment="1">
      <alignment vertical="top" wrapText="1"/>
    </xf>
    <xf numFmtId="0" fontId="9" fillId="11" borderId="4" xfId="0" applyFont="1" applyFill="1" applyBorder="1" applyAlignment="1"/>
    <xf numFmtId="0" fontId="9" fillId="0" borderId="1" xfId="0" applyFont="1" applyBorder="1" applyAlignment="1"/>
    <xf numFmtId="0" fontId="9" fillId="0" borderId="8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0" fillId="0" borderId="16" xfId="0" applyBorder="1"/>
    <xf numFmtId="0" fontId="6" fillId="0" borderId="9" xfId="0" applyFont="1" applyBorder="1" applyAlignment="1">
      <alignment vertical="top" wrapText="1"/>
    </xf>
    <xf numFmtId="0" fontId="5" fillId="0" borderId="10" xfId="0" applyFont="1" applyBorder="1"/>
    <xf numFmtId="0" fontId="5" fillId="0" borderId="6" xfId="0" applyFont="1" applyBorder="1"/>
    <xf numFmtId="0" fontId="10" fillId="0" borderId="9" xfId="0" applyFont="1" applyBorder="1" applyAlignment="1">
      <alignment vertical="top"/>
    </xf>
    <xf numFmtId="0" fontId="4" fillId="2" borderId="3" xfId="0" applyFont="1" applyFill="1" applyBorder="1" applyAlignment="1">
      <alignment horizontal="center" wrapText="1"/>
    </xf>
    <xf numFmtId="0" fontId="5" fillId="0" borderId="4" xfId="0" applyFont="1" applyBorder="1"/>
    <xf numFmtId="0" fontId="4" fillId="2" borderId="3" xfId="0" applyFont="1" applyFill="1" applyBorder="1" applyAlignment="1">
      <alignment horizontal="center"/>
    </xf>
    <xf numFmtId="0" fontId="25" fillId="12" borderId="12" xfId="0" applyFont="1" applyFill="1" applyBorder="1" applyAlignment="1"/>
    <xf numFmtId="0" fontId="5" fillId="0" borderId="15" xfId="0" applyFont="1" applyBorder="1"/>
    <xf numFmtId="0" fontId="25" fillId="12" borderId="12" xfId="0" applyFont="1" applyFill="1" applyBorder="1" applyAlignment="1">
      <alignment wrapText="1"/>
    </xf>
    <xf numFmtId="0" fontId="18" fillId="5" borderId="3" xfId="0" applyFont="1" applyFill="1" applyBorder="1" applyAlignment="1"/>
    <xf numFmtId="0" fontId="5" fillId="0" borderId="11" xfId="0" applyFont="1" applyBorder="1"/>
    <xf numFmtId="0" fontId="20" fillId="5" borderId="3" xfId="0" applyFont="1" applyFill="1" applyBorder="1" applyAlignment="1"/>
    <xf numFmtId="0" fontId="11" fillId="7" borderId="12" xfId="0" applyFont="1" applyFill="1" applyBorder="1" applyAlignment="1"/>
    <xf numFmtId="0" fontId="5" fillId="0" borderId="13" xfId="0" applyFont="1" applyBorder="1"/>
    <xf numFmtId="0" fontId="11" fillId="8" borderId="12" xfId="0" applyFont="1" applyFill="1" applyBorder="1" applyAlignment="1"/>
    <xf numFmtId="0" fontId="22" fillId="0" borderId="3" xfId="0" applyFont="1" applyBorder="1" applyAlignment="1">
      <alignment vertical="top"/>
    </xf>
    <xf numFmtId="0" fontId="9" fillId="0" borderId="0" xfId="0" applyFont="1" applyAlignment="1">
      <alignment horizontal="center" vertical="center" textRotation="90" wrapText="1"/>
    </xf>
    <xf numFmtId="0" fontId="0" fillId="0" borderId="0" xfId="0" applyFont="1" applyAlignment="1"/>
    <xf numFmtId="0" fontId="13" fillId="3" borderId="9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3" borderId="12" xfId="0" applyFont="1" applyFill="1" applyBorder="1" applyAlignment="1">
      <alignment horizontal="center" vertical="center" wrapText="1"/>
    </xf>
    <xf numFmtId="0" fontId="5" fillId="0" borderId="14" xfId="0" applyFont="1" applyBorder="1"/>
    <xf numFmtId="0" fontId="5" fillId="0" borderId="7" xfId="0" applyFont="1" applyBorder="1"/>
    <xf numFmtId="0" fontId="9" fillId="3" borderId="9" xfId="0" applyFont="1" applyFill="1" applyBorder="1"/>
    <xf numFmtId="0" fontId="9" fillId="3" borderId="3" xfId="0" applyFont="1" applyFill="1" applyBorder="1"/>
    <xf numFmtId="0" fontId="14" fillId="0" borderId="3" xfId="0" applyFont="1" applyBorder="1" applyAlignment="1">
      <alignment horizontal="center"/>
    </xf>
    <xf numFmtId="0" fontId="12" fillId="5" borderId="3" xfId="0" applyFont="1" applyFill="1" applyBorder="1" applyAlignment="1"/>
    <xf numFmtId="0" fontId="12" fillId="5" borderId="1" xfId="0" applyFont="1" applyFill="1" applyBorder="1"/>
    <xf numFmtId="0" fontId="5" fillId="0" borderId="1" xfId="0" applyFont="1" applyBorder="1"/>
    <xf numFmtId="0" fontId="12" fillId="5" borderId="0" xfId="0" applyFont="1" applyFill="1" applyAlignment="1"/>
    <xf numFmtId="0" fontId="29" fillId="0" borderId="0" xfId="0" applyFont="1" applyAlignment="1"/>
    <xf numFmtId="0" fontId="31" fillId="18" borderId="14" xfId="0" applyFont="1" applyFill="1" applyBorder="1" applyAlignment="1">
      <alignment vertical="top"/>
    </xf>
    <xf numFmtId="0" fontId="4" fillId="14" borderId="3" xfId="0" applyFont="1" applyFill="1" applyBorder="1" applyAlignment="1">
      <alignment horizontal="left" wrapText="1"/>
    </xf>
    <xf numFmtId="0" fontId="4" fillId="16" borderId="3" xfId="0" applyFont="1" applyFill="1" applyBorder="1" applyAlignment="1">
      <alignment horizontal="left"/>
    </xf>
    <xf numFmtId="0" fontId="11" fillId="17" borderId="3" xfId="0" applyFont="1" applyFill="1" applyBorder="1" applyAlignment="1"/>
    <xf numFmtId="0" fontId="11" fillId="18" borderId="14" xfId="0" applyFont="1" applyFill="1" applyBorder="1" applyAlignment="1">
      <alignment vertical="top"/>
    </xf>
    <xf numFmtId="0" fontId="22" fillId="0" borderId="9" xfId="0" applyFont="1" applyBorder="1" applyAlignment="1">
      <alignment vertical="top" wrapText="1"/>
    </xf>
    <xf numFmtId="0" fontId="15" fillId="0" borderId="3" xfId="0" applyFont="1" applyBorder="1" applyAlignment="1">
      <alignment horizontal="center"/>
    </xf>
    <xf numFmtId="0" fontId="12" fillId="13" borderId="3" xfId="0" applyFont="1" applyFill="1" applyBorder="1" applyAlignment="1"/>
    <xf numFmtId="0" fontId="12" fillId="13" borderId="1" xfId="0" applyFont="1" applyFill="1" applyBorder="1"/>
    <xf numFmtId="0" fontId="13" fillId="0" borderId="3" xfId="0" applyFont="1" applyBorder="1" applyAlignment="1">
      <alignment horizontal="center"/>
    </xf>
    <xf numFmtId="0" fontId="12" fillId="13" borderId="0" xfId="0" applyFont="1" applyFill="1" applyAlignment="1"/>
    <xf numFmtId="0" fontId="9" fillId="0" borderId="9" xfId="0" applyFont="1" applyBorder="1" applyAlignment="1">
      <alignment vertical="top"/>
    </xf>
    <xf numFmtId="0" fontId="4" fillId="18" borderId="14" xfId="0" applyFont="1" applyFill="1" applyBorder="1" applyAlignment="1">
      <alignment vertical="top"/>
    </xf>
    <xf numFmtId="0" fontId="10" fillId="0" borderId="8" xfId="0" applyFont="1" applyBorder="1" applyAlignment="1">
      <alignment horizontal="left" vertical="top" wrapText="1"/>
    </xf>
  </cellXfs>
  <cellStyles count="1">
    <cellStyle name="Обычный" xfId="0" builtinId="0"/>
  </cellStyles>
  <dxfs count="54">
    <dxf>
      <fill>
        <patternFill patternType="solid">
          <fgColor rgb="FFF1C232"/>
          <bgColor rgb="FFF1C232"/>
        </patternFill>
      </fill>
    </dxf>
    <dxf>
      <font>
        <color rgb="FF666666"/>
      </font>
      <fill>
        <patternFill patternType="solid">
          <fgColor rgb="FFCCCCCC"/>
          <bgColor rgb="FFCCCCCC"/>
        </patternFill>
      </fill>
    </dxf>
    <dxf>
      <font>
        <color rgb="FF666666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599"/>
          <bgColor rgb="FFFFE599"/>
        </patternFill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99"/>
          <bgColor rgb="FFFFFF99"/>
        </patternFill>
      </fill>
    </dxf>
    <dxf>
      <font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F6B26B"/>
          <bgColor rgb="FFF6B26B"/>
        </patternFill>
      </fill>
    </dxf>
    <dxf>
      <font>
        <b/>
        <color rgb="FF000000"/>
      </font>
      <fill>
        <patternFill patternType="solid">
          <fgColor rgb="FFFF6600"/>
          <bgColor rgb="FFFF6600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000000"/>
          <bgColor rgb="FF000000"/>
        </patternFill>
      </fill>
    </dxf>
    <dxf>
      <font>
        <b/>
        <color rgb="FF000000"/>
      </font>
      <fill>
        <patternFill patternType="solid">
          <fgColor rgb="FFFF00FF"/>
          <bgColor rgb="FFFF00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666666"/>
      </font>
      <fill>
        <patternFill patternType="solid">
          <fgColor rgb="FFCCCCCC"/>
          <bgColor rgb="FFCCCCCC"/>
        </patternFill>
      </fill>
    </dxf>
    <dxf>
      <font>
        <color rgb="FF666666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5AE15A"/>
          <bgColor rgb="FF5AE15A"/>
        </patternFill>
      </fill>
    </dxf>
    <dxf>
      <font>
        <color rgb="FF000000"/>
      </font>
      <fill>
        <patternFill patternType="solid">
          <fgColor rgb="FFFFFF99"/>
          <bgColor rgb="FFFFFF99"/>
        </patternFill>
      </fill>
    </dxf>
    <dxf>
      <font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F6B26B"/>
          <bgColor rgb="FFF6B26B"/>
        </patternFill>
      </fill>
    </dxf>
    <dxf>
      <font>
        <b/>
        <color rgb="FF000000"/>
      </font>
      <fill>
        <patternFill patternType="solid">
          <fgColor rgb="FFF88A41"/>
          <bgColor rgb="FFF88A41"/>
        </patternFill>
      </fill>
    </dxf>
    <dxf>
      <font>
        <b/>
        <color rgb="FF000000"/>
      </font>
      <fill>
        <patternFill patternType="solid">
          <fgColor rgb="FFFF3737"/>
          <bgColor rgb="FFFF3737"/>
        </patternFill>
      </fill>
    </dxf>
    <dxf>
      <font>
        <b/>
        <color rgb="FF00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E94DE9"/>
          <bgColor rgb="FFE94DE9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FF00"/>
      </font>
      <fill>
        <patternFill patternType="solid">
          <fgColor rgb="FF000000"/>
          <bgColor rgb="FF000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CCFFCC"/>
          <bgColor rgb="FFCCFFCC"/>
        </patternFill>
      </fill>
    </dxf>
    <dxf>
      <font>
        <color rgb="FF000000"/>
      </font>
      <fill>
        <patternFill patternType="solid">
          <fgColor rgb="FFFFFF99"/>
          <bgColor rgb="FFFFFF99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FF6600"/>
          <bgColor rgb="FFFF66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969696"/>
          <bgColor rgb="FF969696"/>
        </patternFill>
      </fill>
    </dxf>
    <dxf>
      <font>
        <color rgb="FF000000"/>
      </font>
      <fill>
        <patternFill patternType="solid">
          <fgColor rgb="FFFF00FF"/>
          <bgColor rgb="FFFF00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1C232"/>
          <bgColor rgb="FFF1C232"/>
        </patternFill>
      </fill>
    </dxf>
    <dxf>
      <font>
        <color rgb="FF000000"/>
      </font>
      <fill>
        <patternFill patternType="solid">
          <fgColor rgb="FFF6B26B"/>
          <bgColor rgb="FFF6B26B"/>
        </patternFill>
      </fill>
    </dxf>
    <dxf>
      <font>
        <color rgb="FF000000"/>
      </font>
      <fill>
        <patternFill patternType="solid">
          <fgColor rgb="FF969696"/>
          <bgColor rgb="FF969696"/>
        </patternFill>
      </fill>
    </dxf>
    <dxf>
      <font>
        <color rgb="FF666666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12</xdr:row>
      <xdr:rowOff>0</xdr:rowOff>
    </xdr:from>
    <xdr:ext cx="0" cy="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0" cy="0"/>
    <xdr:pic>
      <xdr:nvPicPr>
        <xdr:cNvPr id="3" name="image1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238125</xdr:colOff>
      <xdr:row>5</xdr:row>
      <xdr:rowOff>238125</xdr:rowOff>
    </xdr:from>
    <xdr:ext cx="0" cy="0"/>
    <xdr:pic>
      <xdr:nvPicPr>
        <xdr:cNvPr id="4" name="image1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5"/>
  <sheetViews>
    <sheetView workbookViewId="0">
      <selection activeCell="C16" sqref="C16"/>
    </sheetView>
  </sheetViews>
  <sheetFormatPr defaultColWidth="14.44140625" defaultRowHeight="15.75" customHeight="1"/>
  <cols>
    <col min="1" max="1" width="4.88671875" customWidth="1"/>
    <col min="2" max="2" width="29.88671875" customWidth="1"/>
    <col min="3" max="3" width="70" customWidth="1"/>
    <col min="4" max="4" width="8.88671875" customWidth="1"/>
    <col min="5" max="5" width="37.44140625" customWidth="1"/>
    <col min="6" max="6" width="19.88671875" customWidth="1"/>
    <col min="7" max="7" width="4.109375" customWidth="1"/>
  </cols>
  <sheetData>
    <row r="1" spans="1:6" ht="15.75" customHeight="1">
      <c r="A1" s="1"/>
      <c r="B1" s="2"/>
      <c r="C1" s="2"/>
      <c r="D1" s="1"/>
      <c r="E1" s="3"/>
      <c r="F1" s="3"/>
    </row>
    <row r="2" spans="1:6" ht="15.75" customHeight="1">
      <c r="A2" s="4"/>
      <c r="B2" s="184" t="s">
        <v>0</v>
      </c>
      <c r="C2" s="185"/>
      <c r="D2" s="5"/>
      <c r="E2" s="184" t="s">
        <v>1</v>
      </c>
      <c r="F2" s="185"/>
    </row>
    <row r="3" spans="1:6" ht="15.75" customHeight="1">
      <c r="A3" s="1"/>
      <c r="B3" s="6"/>
      <c r="C3" s="6"/>
      <c r="D3" s="1"/>
      <c r="E3" s="7"/>
      <c r="F3" s="8"/>
    </row>
    <row r="4" spans="1:6" ht="15.75" customHeight="1">
      <c r="A4" s="4"/>
      <c r="B4" s="9" t="s">
        <v>2</v>
      </c>
      <c r="C4" s="10" t="s">
        <v>3</v>
      </c>
      <c r="D4" s="5"/>
      <c r="E4" s="11" t="s">
        <v>4</v>
      </c>
      <c r="F4" s="12">
        <f>'ЭФ закупки'!P2+АК!X2</f>
        <v>0</v>
      </c>
    </row>
    <row r="5" spans="1:6" ht="15.75" customHeight="1">
      <c r="A5" s="4"/>
      <c r="B5" s="9" t="s">
        <v>5</v>
      </c>
      <c r="C5" s="10" t="s">
        <v>168</v>
      </c>
      <c r="D5" s="5"/>
      <c r="E5" s="11" t="s">
        <v>6</v>
      </c>
      <c r="F5" s="12">
        <f>'ЭФ закупки'!P3+АК!X3</f>
        <v>0</v>
      </c>
    </row>
    <row r="6" spans="1:6" ht="15.75" customHeight="1">
      <c r="A6" s="4"/>
      <c r="B6" s="180" t="s">
        <v>7</v>
      </c>
      <c r="C6" s="179" t="s">
        <v>167</v>
      </c>
      <c r="D6" s="1"/>
      <c r="E6" s="11" t="s">
        <v>8</v>
      </c>
      <c r="F6" s="12">
        <f>'ЭФ закупки'!P4+АК!X4</f>
        <v>0</v>
      </c>
    </row>
    <row r="7" spans="1:6" ht="15.75" customHeight="1">
      <c r="A7" s="4"/>
      <c r="B7" s="181"/>
      <c r="C7" s="13"/>
      <c r="D7" s="1"/>
      <c r="E7" s="11" t="s">
        <v>9</v>
      </c>
      <c r="F7" s="12">
        <f>'ЭФ закупки'!P5+АК!X5</f>
        <v>0</v>
      </c>
    </row>
    <row r="8" spans="1:6" ht="15.75" customHeight="1">
      <c r="A8" s="4"/>
      <c r="B8" s="181"/>
      <c r="C8" s="13"/>
      <c r="D8" s="1"/>
      <c r="E8" s="11" t="s">
        <v>10</v>
      </c>
      <c r="F8" s="12">
        <f>'ЭФ закупки'!P6+АК!X6</f>
        <v>0</v>
      </c>
    </row>
    <row r="9" spans="1:6" ht="15.75" customHeight="1">
      <c r="A9" s="4"/>
      <c r="B9" s="181"/>
      <c r="C9" s="13"/>
      <c r="D9" s="1"/>
    </row>
    <row r="10" spans="1:6" ht="15.75" customHeight="1">
      <c r="A10" s="4"/>
      <c r="B10" s="182"/>
      <c r="C10" s="13"/>
      <c r="D10" s="1"/>
      <c r="E10" s="184" t="s">
        <v>11</v>
      </c>
      <c r="F10" s="185"/>
    </row>
    <row r="11" spans="1:6" ht="15.75" customHeight="1">
      <c r="A11" s="4"/>
      <c r="B11" s="14" t="s">
        <v>12</v>
      </c>
      <c r="C11" s="15" t="s">
        <v>169</v>
      </c>
      <c r="D11" s="1"/>
      <c r="E11" s="16"/>
      <c r="F11" s="16"/>
    </row>
    <row r="12" spans="1:6" ht="15.75" customHeight="1">
      <c r="A12" s="4"/>
      <c r="B12" s="14" t="s">
        <v>13</v>
      </c>
      <c r="C12" s="17" t="s">
        <v>14</v>
      </c>
      <c r="D12" s="1"/>
      <c r="E12" s="18" t="s">
        <v>15</v>
      </c>
      <c r="F12" s="12">
        <f>'ЭФ закупки'!N2+АК!V2</f>
        <v>0</v>
      </c>
    </row>
    <row r="13" spans="1:6" ht="15.75" customHeight="1">
      <c r="A13" s="4"/>
      <c r="B13" s="14" t="s">
        <v>16</v>
      </c>
      <c r="C13" s="19" t="s">
        <v>17</v>
      </c>
      <c r="D13" s="5"/>
      <c r="E13" s="18" t="s">
        <v>18</v>
      </c>
      <c r="F13" s="12">
        <f>'ЭФ закупки'!N3+АК!V3</f>
        <v>31</v>
      </c>
    </row>
    <row r="14" spans="1:6" ht="15.75" customHeight="1">
      <c r="A14" s="4"/>
      <c r="B14" s="9" t="s">
        <v>19</v>
      </c>
      <c r="C14" s="20">
        <v>44769</v>
      </c>
      <c r="D14" s="5"/>
      <c r="E14" s="18" t="s">
        <v>20</v>
      </c>
      <c r="F14" s="12">
        <f>'ЭФ закупки'!N4+АК!V4</f>
        <v>0</v>
      </c>
    </row>
    <row r="15" spans="1:6" ht="15.75" customHeight="1">
      <c r="A15" s="4"/>
      <c r="B15" s="21" t="s">
        <v>21</v>
      </c>
      <c r="C15" s="22"/>
      <c r="D15" s="5"/>
      <c r="E15" s="18" t="s">
        <v>22</v>
      </c>
      <c r="F15" s="12">
        <f>'ЭФ закупки'!N5+АК!V5</f>
        <v>0</v>
      </c>
    </row>
    <row r="16" spans="1:6" ht="15.75" customHeight="1">
      <c r="A16" s="1"/>
      <c r="B16" s="7"/>
      <c r="C16" s="7"/>
      <c r="D16" s="1"/>
      <c r="E16" s="23" t="s">
        <v>23</v>
      </c>
      <c r="F16" s="12">
        <f>'ЭФ закупки'!N6+АК!V6</f>
        <v>31</v>
      </c>
    </row>
    <row r="17" spans="1:7" ht="15.75" customHeight="1">
      <c r="A17" s="1"/>
      <c r="B17" s="24"/>
      <c r="C17" s="24"/>
      <c r="D17" s="1"/>
      <c r="E17" s="24"/>
      <c r="F17" s="24"/>
      <c r="G17" s="16"/>
    </row>
    <row r="18" spans="1:7" ht="15.75" customHeight="1">
      <c r="A18" s="4"/>
      <c r="B18" s="186" t="s">
        <v>24</v>
      </c>
      <c r="C18" s="185"/>
      <c r="D18" s="5"/>
      <c r="E18" s="184" t="s">
        <v>25</v>
      </c>
      <c r="F18" s="185"/>
      <c r="G18" s="16"/>
    </row>
    <row r="19" spans="1:7" ht="15.75" customHeight="1">
      <c r="A19" s="1"/>
      <c r="B19" s="25"/>
      <c r="C19" s="25"/>
      <c r="D19" s="1"/>
      <c r="E19" s="7"/>
      <c r="F19" s="8"/>
    </row>
    <row r="20" spans="1:7" ht="15.75" customHeight="1">
      <c r="A20" s="4"/>
      <c r="B20" s="180" t="s">
        <v>26</v>
      </c>
      <c r="C20" s="26" t="s">
        <v>27</v>
      </c>
      <c r="D20" s="5"/>
      <c r="E20" s="27" t="s">
        <v>28</v>
      </c>
      <c r="F20" s="12">
        <f>'ЭФ закупки'!E4+АК!E4</f>
        <v>10.385833333333334</v>
      </c>
    </row>
    <row r="21" spans="1:7" ht="15.75" customHeight="1">
      <c r="A21" s="1"/>
      <c r="B21" s="181"/>
      <c r="C21" s="26" t="s">
        <v>29</v>
      </c>
      <c r="D21" s="1"/>
      <c r="E21" s="27" t="s">
        <v>30</v>
      </c>
      <c r="F21" s="12">
        <f>'ЭФ закупки'!F4+АК!F4</f>
        <v>10.385833333333334</v>
      </c>
    </row>
    <row r="22" spans="1:7" ht="15.75" customHeight="1">
      <c r="A22" s="4"/>
      <c r="B22" s="182"/>
      <c r="C22" s="26" t="s">
        <v>31</v>
      </c>
      <c r="D22" s="5"/>
      <c r="E22" s="23" t="s">
        <v>32</v>
      </c>
      <c r="F22" s="28">
        <f t="shared" ref="F22:F23" si="0">(F20/8)*0.5</f>
        <v>0.64911458333333338</v>
      </c>
    </row>
    <row r="23" spans="1:7" ht="15.75" customHeight="1">
      <c r="A23" s="1"/>
      <c r="B23" s="29"/>
      <c r="C23" s="29"/>
      <c r="D23" s="1"/>
      <c r="E23" s="23" t="s">
        <v>33</v>
      </c>
      <c r="F23" s="28">
        <f t="shared" si="0"/>
        <v>0.64911458333333338</v>
      </c>
    </row>
    <row r="24" spans="1:7" ht="15.75" customHeight="1">
      <c r="A24" s="4"/>
      <c r="B24" s="183" t="s">
        <v>34</v>
      </c>
      <c r="C24" s="30" t="s">
        <v>35</v>
      </c>
      <c r="D24" s="5"/>
      <c r="E24" s="31" t="s">
        <v>36</v>
      </c>
      <c r="F24" s="28">
        <f t="shared" ref="F24:F25" si="1">F20+F22</f>
        <v>11.034947916666667</v>
      </c>
    </row>
    <row r="25" spans="1:7" ht="15.75" customHeight="1">
      <c r="A25" s="1"/>
      <c r="B25" s="181"/>
      <c r="C25" s="30" t="s">
        <v>37</v>
      </c>
      <c r="D25" s="1"/>
      <c r="E25" s="32" t="s">
        <v>38</v>
      </c>
      <c r="F25" s="33">
        <f t="shared" si="1"/>
        <v>11.034947916666667</v>
      </c>
    </row>
    <row r="26" spans="1:7" ht="15.75" customHeight="1">
      <c r="A26" s="4"/>
      <c r="B26" s="181"/>
      <c r="C26" s="30" t="s">
        <v>39</v>
      </c>
      <c r="D26" s="5"/>
      <c r="E26" s="32" t="s">
        <v>40</v>
      </c>
      <c r="F26" s="34">
        <f>(F4+F5+F6+F7+F8+F12+F14)/F16</f>
        <v>0</v>
      </c>
    </row>
    <row r="27" spans="1:7" ht="15.75" customHeight="1">
      <c r="A27" s="4"/>
      <c r="B27" s="181"/>
      <c r="C27" s="30" t="s">
        <v>4</v>
      </c>
      <c r="D27" s="5"/>
      <c r="E27" s="35"/>
    </row>
    <row r="28" spans="1:7" ht="14.4">
      <c r="A28" s="4"/>
      <c r="B28" s="181"/>
      <c r="C28" s="30" t="s">
        <v>6</v>
      </c>
      <c r="D28" s="5"/>
      <c r="E28" s="36" t="s">
        <v>41</v>
      </c>
      <c r="F28" s="37">
        <v>9</v>
      </c>
    </row>
    <row r="29" spans="1:7" ht="14.4">
      <c r="A29" s="4"/>
      <c r="B29" s="181"/>
      <c r="C29" s="30" t="s">
        <v>8</v>
      </c>
      <c r="D29" s="5"/>
      <c r="E29" s="31" t="s">
        <v>42</v>
      </c>
      <c r="F29" s="38">
        <f>F24+F28</f>
        <v>20.034947916666667</v>
      </c>
    </row>
    <row r="30" spans="1:7" ht="14.4">
      <c r="A30" s="4"/>
      <c r="B30" s="181"/>
      <c r="C30" s="30" t="s">
        <v>9</v>
      </c>
      <c r="D30" s="5"/>
      <c r="E30" s="32" t="s">
        <v>43</v>
      </c>
      <c r="F30" s="39">
        <f>(F29-F25)/F29</f>
        <v>0.4492150435047092</v>
      </c>
    </row>
    <row r="31" spans="1:7" ht="14.4">
      <c r="A31" s="4"/>
      <c r="B31" s="181"/>
      <c r="C31" s="30" t="s">
        <v>10</v>
      </c>
      <c r="D31" s="5"/>
    </row>
    <row r="32" spans="1:7" ht="14.4">
      <c r="A32" s="4"/>
      <c r="B32" s="181"/>
      <c r="C32" s="30" t="s">
        <v>44</v>
      </c>
      <c r="D32" s="5"/>
      <c r="E32" s="36" t="s">
        <v>45</v>
      </c>
      <c r="F32" s="40">
        <f>'ЭФ закупки'!E5+АК!E5</f>
        <v>5.916666666666667</v>
      </c>
    </row>
    <row r="33" spans="1:6" ht="14.4">
      <c r="A33" s="1"/>
      <c r="B33" s="182"/>
      <c r="C33" s="41" t="s">
        <v>46</v>
      </c>
      <c r="D33" s="1"/>
      <c r="E33" s="36" t="s">
        <v>47</v>
      </c>
      <c r="F33" s="40">
        <f>F32+F24</f>
        <v>16.951614583333335</v>
      </c>
    </row>
    <row r="34" spans="1:6" ht="13.2">
      <c r="A34" s="16"/>
      <c r="B34" s="42"/>
      <c r="C34" s="16"/>
      <c r="D34" s="16"/>
      <c r="E34" s="43"/>
      <c r="F34" s="43"/>
    </row>
    <row r="35" spans="1:6" ht="14.4">
      <c r="A35" s="1"/>
      <c r="B35" s="42"/>
      <c r="C35" s="16"/>
      <c r="D35" s="1"/>
      <c r="E35" s="43"/>
      <c r="F35" s="43"/>
    </row>
  </sheetData>
  <mergeCells count="8">
    <mergeCell ref="B20:B22"/>
    <mergeCell ref="B24:B33"/>
    <mergeCell ref="B2:C2"/>
    <mergeCell ref="E2:F2"/>
    <mergeCell ref="B6:B10"/>
    <mergeCell ref="E10:F10"/>
    <mergeCell ref="B18:C18"/>
    <mergeCell ref="E18:F18"/>
  </mergeCells>
  <conditionalFormatting sqref="E3:F8 F12:F16 F19:F25">
    <cfRule type="cellIs" dxfId="53" priority="1" operator="equal">
      <formula>"Версия 1.1"</formula>
    </cfRule>
  </conditionalFormatting>
  <conditionalFormatting sqref="B20:B24">
    <cfRule type="containsText" dxfId="52" priority="2" operator="containsText" text="1">
      <formula>NOT(ISERROR(SEARCH(("1"),(B20))))</formula>
    </cfRule>
  </conditionalFormatting>
  <conditionalFormatting sqref="B20:B24">
    <cfRule type="containsText" dxfId="51" priority="3" operator="containsText" text="2">
      <formula>NOT(ISERROR(SEARCH(("2"),(B20))))</formula>
    </cfRule>
  </conditionalFormatting>
  <conditionalFormatting sqref="B20:B24">
    <cfRule type="containsText" dxfId="50" priority="4" operator="containsText" text="3">
      <formula>NOT(ISERROR(SEARCH(("3"),(B20))))</formula>
    </cfRule>
  </conditionalFormatting>
  <conditionalFormatting sqref="E4:E8">
    <cfRule type="cellIs" dxfId="49" priority="5" operator="equal">
      <formula>"Блокирован"</formula>
    </cfRule>
  </conditionalFormatting>
  <conditionalFormatting sqref="E6:E8">
    <cfRule type="cellIs" dxfId="48" priority="6" operator="equal">
      <formula>"Major"</formula>
    </cfRule>
  </conditionalFormatting>
  <conditionalFormatting sqref="E6:E8">
    <cfRule type="cellIs" dxfId="47" priority="7" operator="equal">
      <formula>"Minor"</formula>
    </cfRule>
  </conditionalFormatting>
  <conditionalFormatting sqref="E4:E8">
    <cfRule type="cellIs" dxfId="46" priority="8" operator="equal">
      <formula>"Not tested"</formula>
    </cfRule>
  </conditionalFormatting>
  <conditionalFormatting sqref="E4:E8">
    <cfRule type="cellIs" dxfId="45" priority="9" operator="equal">
      <formula>"Not implemented"</formula>
    </cfRule>
  </conditionalFormatting>
  <conditionalFormatting sqref="E6:E8">
    <cfRule type="cellIs" dxfId="44" priority="10" operator="equal">
      <formula>"Not available"</formula>
    </cfRule>
  </conditionalFormatting>
  <conditionalFormatting sqref="E4:E8">
    <cfRule type="cellIs" dxfId="43" priority="11" operator="equal">
      <formula>"Blocker"</formula>
    </cfRule>
  </conditionalFormatting>
  <conditionalFormatting sqref="E4:E8">
    <cfRule type="cellIs" dxfId="42" priority="12" operator="equal">
      <formula>"Critical"</formula>
    </cfRule>
  </conditionalFormatting>
  <conditionalFormatting sqref="E4:E8">
    <cfRule type="cellIs" dxfId="41" priority="13" operator="equal">
      <formula>"Major"</formula>
    </cfRule>
  </conditionalFormatting>
  <conditionalFormatting sqref="E4:E8">
    <cfRule type="cellIs" dxfId="40" priority="14" operator="equal">
      <formula>"Minor"</formula>
    </cfRule>
  </conditionalFormatting>
  <conditionalFormatting sqref="E4:E8">
    <cfRule type="cellIs" dxfId="39" priority="15" operator="equal">
      <formula>"Trivial"</formula>
    </cfRule>
  </conditionalFormatting>
  <conditionalFormatting sqref="E4:E8">
    <cfRule type="cellIs" dxfId="38" priority="16" operator="equal">
      <formula>"Partially tested"</formula>
    </cfRule>
  </conditionalFormatting>
  <conditionalFormatting sqref="E4:E8">
    <cfRule type="cellIs" dxfId="37" priority="17" operator="equal">
      <formula>"OK"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9"/>
  <sheetViews>
    <sheetView workbookViewId="0">
      <pane ySplit="9" topLeftCell="A10" activePane="bottomLeft" state="frozen"/>
      <selection pane="bottomLeft" activeCell="E16" sqref="E16"/>
    </sheetView>
  </sheetViews>
  <sheetFormatPr defaultColWidth="14.44140625" defaultRowHeight="15.75" customHeight="1"/>
  <cols>
    <col min="1" max="1" width="5" customWidth="1"/>
    <col min="2" max="2" width="8.6640625" customWidth="1"/>
    <col min="3" max="4" width="5" customWidth="1"/>
    <col min="5" max="5" width="38.88671875" customWidth="1"/>
    <col min="6" max="6" width="67.5546875" customWidth="1"/>
    <col min="7" max="7" width="8.77734375" customWidth="1"/>
    <col min="8" max="8" width="8" customWidth="1"/>
    <col min="9" max="10" width="6.5546875" customWidth="1"/>
    <col min="11" max="11" width="10.109375" customWidth="1"/>
    <col min="12" max="12" width="20" customWidth="1"/>
    <col min="13" max="13" width="39.88671875" customWidth="1"/>
    <col min="14" max="14" width="9.109375" customWidth="1"/>
    <col min="15" max="15" width="10.88671875" customWidth="1"/>
    <col min="16" max="16" width="12.6640625" customWidth="1"/>
    <col min="17" max="17" width="3.44140625" customWidth="1"/>
  </cols>
  <sheetData>
    <row r="1" spans="1:17" ht="13.5" customHeight="1">
      <c r="A1" s="210" t="s">
        <v>48</v>
      </c>
      <c r="B1" s="198"/>
      <c r="C1" s="198"/>
      <c r="D1" s="198"/>
      <c r="E1" s="44" t="s">
        <v>49</v>
      </c>
      <c r="F1" s="45" t="s">
        <v>50</v>
      </c>
      <c r="G1" s="46"/>
      <c r="H1" s="46"/>
      <c r="I1" s="47"/>
      <c r="J1" s="47"/>
      <c r="K1" s="48"/>
      <c r="L1" s="48"/>
      <c r="M1" s="50" t="s">
        <v>51</v>
      </c>
      <c r="N1" s="46"/>
      <c r="O1" s="50" t="s">
        <v>52</v>
      </c>
      <c r="P1" s="46"/>
      <c r="Q1" s="51"/>
    </row>
    <row r="2" spans="1:17" ht="13.5" customHeight="1">
      <c r="A2" s="207" t="s">
        <v>53</v>
      </c>
      <c r="B2" s="191"/>
      <c r="C2" s="191"/>
      <c r="D2" s="185"/>
      <c r="E2" s="52">
        <f t="shared" ref="E2:F2" si="0">SUM(I12:I29)</f>
        <v>95</v>
      </c>
      <c r="F2" s="53">
        <f t="shared" si="0"/>
        <v>95</v>
      </c>
      <c r="G2" s="46"/>
      <c r="H2" s="46"/>
      <c r="I2" s="47"/>
      <c r="J2" s="47"/>
      <c r="K2" s="48"/>
      <c r="L2" s="48"/>
      <c r="M2" s="50" t="s">
        <v>15</v>
      </c>
      <c r="N2" s="50">
        <f>COUNTIF(L12:L24,"OK")</f>
        <v>0</v>
      </c>
      <c r="O2" s="54" t="s">
        <v>4</v>
      </c>
      <c r="P2" s="50">
        <f>COUNTIF(L12:L24,"Blocker")</f>
        <v>0</v>
      </c>
      <c r="Q2" s="51"/>
    </row>
    <row r="3" spans="1:17" ht="13.5" customHeight="1">
      <c r="A3" s="207" t="s">
        <v>54</v>
      </c>
      <c r="B3" s="191"/>
      <c r="C3" s="191"/>
      <c r="D3" s="185"/>
      <c r="E3" s="44">
        <f>((N6/10)+5)*15</f>
        <v>87</v>
      </c>
      <c r="F3" s="45">
        <f>(((N3+N4+N5)/10)+5)*15</f>
        <v>87</v>
      </c>
      <c r="G3" s="46"/>
      <c r="H3" s="46"/>
      <c r="I3" s="47"/>
      <c r="J3" s="47"/>
      <c r="K3" s="48"/>
      <c r="L3" s="48"/>
      <c r="M3" s="50" t="s">
        <v>18</v>
      </c>
      <c r="N3" s="50">
        <f>COUNTIF(L12:L24,"Не тестировался")</f>
        <v>8</v>
      </c>
      <c r="O3" s="54" t="s">
        <v>6</v>
      </c>
      <c r="P3" s="50">
        <f>COUNTIF(L12:L24,"Critical")</f>
        <v>0</v>
      </c>
      <c r="Q3" s="51"/>
    </row>
    <row r="4" spans="1:17" ht="13.5" customHeight="1">
      <c r="A4" s="207" t="s">
        <v>55</v>
      </c>
      <c r="B4" s="191"/>
      <c r="C4" s="191"/>
      <c r="D4" s="185"/>
      <c r="E4" s="44">
        <f t="shared" ref="E4:F4" si="1">((SUM(E2,E3)/60)*1.1)</f>
        <v>3.3366666666666669</v>
      </c>
      <c r="F4" s="45">
        <f t="shared" si="1"/>
        <v>3.3366666666666669</v>
      </c>
      <c r="G4" s="46"/>
      <c r="H4" s="46"/>
      <c r="I4" s="47"/>
      <c r="J4" s="47"/>
      <c r="K4" s="48"/>
      <c r="L4" s="48"/>
      <c r="M4" s="50" t="s">
        <v>20</v>
      </c>
      <c r="N4" s="50">
        <f>COUNTIF(L12:L24,"Не реализован")</f>
        <v>0</v>
      </c>
      <c r="O4" s="54" t="s">
        <v>8</v>
      </c>
      <c r="P4" s="50">
        <f>COUNTIF(L12:L24,"Major")</f>
        <v>0</v>
      </c>
      <c r="Q4" s="51"/>
    </row>
    <row r="5" spans="1:17" ht="13.5" customHeight="1">
      <c r="A5" s="207" t="s">
        <v>56</v>
      </c>
      <c r="B5" s="191"/>
      <c r="C5" s="191"/>
      <c r="D5" s="185"/>
      <c r="E5" s="55">
        <f>(SUM(H12:H29)-E2)/60</f>
        <v>0</v>
      </c>
      <c r="F5" s="45"/>
      <c r="G5" s="49"/>
      <c r="H5" s="46"/>
      <c r="I5" s="47"/>
      <c r="J5" s="48"/>
      <c r="K5" s="48"/>
      <c r="L5" s="48"/>
      <c r="M5" s="50" t="s">
        <v>22</v>
      </c>
      <c r="N5" s="50">
        <f>COUNTIF(L12:L24,"Блокирован")</f>
        <v>0</v>
      </c>
      <c r="O5" s="54" t="s">
        <v>9</v>
      </c>
      <c r="P5" s="50">
        <f>COUNTIF(L12:L24,"Minor")</f>
        <v>0</v>
      </c>
      <c r="Q5" s="51"/>
    </row>
    <row r="6" spans="1:17" ht="13.5" customHeight="1">
      <c r="A6" s="207"/>
      <c r="B6" s="191"/>
      <c r="C6" s="191"/>
      <c r="D6" s="185"/>
      <c r="E6" s="49"/>
      <c r="F6" s="53"/>
      <c r="G6" s="49"/>
      <c r="H6" s="49"/>
      <c r="I6" s="48"/>
      <c r="J6" s="48"/>
      <c r="K6" s="48"/>
      <c r="L6" s="48"/>
      <c r="M6" s="50" t="s">
        <v>23</v>
      </c>
      <c r="N6" s="50">
        <f>N2+N3+N4+N5+P2+P3+P4+P5+P6</f>
        <v>8</v>
      </c>
      <c r="O6" s="54" t="s">
        <v>10</v>
      </c>
      <c r="P6" s="50">
        <f>COUNTIF(L12:L24,"Trivial")</f>
        <v>0</v>
      </c>
      <c r="Q6" s="51"/>
    </row>
    <row r="7" spans="1:17" ht="13.5" customHeight="1">
      <c r="A7" s="208"/>
      <c r="B7" s="209"/>
      <c r="C7" s="209"/>
      <c r="D7" s="203"/>
      <c r="E7" s="48"/>
      <c r="F7" s="56"/>
      <c r="G7" s="48"/>
      <c r="H7" s="49"/>
      <c r="I7" s="48"/>
      <c r="J7" s="48"/>
      <c r="K7" s="48"/>
      <c r="L7" s="48"/>
      <c r="M7" s="50" t="s">
        <v>57</v>
      </c>
      <c r="N7" s="57">
        <f>(N2+P2+P3+P4+P5+P6+P7)/N6</f>
        <v>0</v>
      </c>
      <c r="O7" s="58"/>
      <c r="P7" s="46"/>
      <c r="Q7" s="51"/>
    </row>
    <row r="8" spans="1:17" ht="14.4">
      <c r="A8" s="201"/>
      <c r="B8" s="194"/>
      <c r="C8" s="204"/>
      <c r="D8" s="199" t="s">
        <v>58</v>
      </c>
      <c r="E8" s="205" t="s">
        <v>59</v>
      </c>
      <c r="F8" s="185"/>
      <c r="G8" s="206" t="s">
        <v>60</v>
      </c>
      <c r="H8" s="191"/>
      <c r="I8" s="191"/>
      <c r="J8" s="185"/>
      <c r="K8" s="200" t="s">
        <v>61</v>
      </c>
      <c r="L8" s="59" t="s">
        <v>62</v>
      </c>
      <c r="M8" s="199" t="s">
        <v>66</v>
      </c>
      <c r="N8" s="200" t="s">
        <v>67</v>
      </c>
      <c r="O8" s="200" t="s">
        <v>68</v>
      </c>
      <c r="P8" s="200" t="s">
        <v>69</v>
      </c>
      <c r="Q8" s="16"/>
    </row>
    <row r="9" spans="1:17" ht="13.2">
      <c r="A9" s="202"/>
      <c r="B9" s="203"/>
      <c r="C9" s="182"/>
      <c r="D9" s="182"/>
      <c r="E9" s="60" t="s">
        <v>70</v>
      </c>
      <c r="F9" s="60" t="s">
        <v>71</v>
      </c>
      <c r="G9" s="61" t="s">
        <v>72</v>
      </c>
      <c r="H9" s="61" t="s">
        <v>73</v>
      </c>
      <c r="I9" s="62" t="s">
        <v>74</v>
      </c>
      <c r="J9" s="63" t="s">
        <v>75</v>
      </c>
      <c r="K9" s="182"/>
      <c r="L9" s="64"/>
      <c r="M9" s="182"/>
      <c r="N9" s="182"/>
      <c r="O9" s="182"/>
      <c r="P9" s="182"/>
      <c r="Q9" s="16"/>
    </row>
    <row r="10" spans="1:17" ht="13.2">
      <c r="A10" s="190"/>
      <c r="B10" s="191"/>
      <c r="C10" s="191"/>
      <c r="D10" s="191"/>
      <c r="E10" s="191"/>
      <c r="F10" s="185"/>
      <c r="G10" s="66"/>
      <c r="H10" s="48"/>
      <c r="I10" s="48"/>
      <c r="J10" s="48"/>
      <c r="K10" s="48"/>
      <c r="L10" s="48"/>
      <c r="M10" s="48"/>
      <c r="N10" s="48"/>
      <c r="O10" s="48"/>
      <c r="P10" s="48"/>
      <c r="Q10" s="67"/>
    </row>
    <row r="11" spans="1:17" ht="13.2">
      <c r="A11" s="68"/>
      <c r="B11" s="192" t="s">
        <v>79</v>
      </c>
      <c r="C11" s="191"/>
      <c r="D11" s="191"/>
      <c r="E11" s="191"/>
      <c r="F11" s="185"/>
      <c r="G11" s="48"/>
      <c r="H11" s="48"/>
      <c r="I11" s="48"/>
      <c r="J11" s="49"/>
      <c r="K11" s="49"/>
      <c r="L11" s="49"/>
      <c r="M11" s="49"/>
      <c r="N11" s="49"/>
      <c r="O11" s="49"/>
      <c r="P11" s="49"/>
      <c r="Q11" s="51"/>
    </row>
    <row r="12" spans="1:17" ht="13.2">
      <c r="A12" s="69"/>
      <c r="B12" s="70">
        <f>B13/B15</f>
        <v>0</v>
      </c>
      <c r="C12" s="193"/>
      <c r="D12" s="188"/>
      <c r="E12" s="188"/>
      <c r="F12" s="194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51"/>
    </row>
    <row r="13" spans="1:17" ht="13.2">
      <c r="A13" s="51"/>
      <c r="B13" s="72">
        <f>COUNTIF(L13:L24,"OK")+COUNTIF(L13:L24,"Trivial")+COUNTIF(L13:L24,"Minor")+COUNTIF(L13:L24,"Major")+COUNTIF(L13:L24,"Critical")+COUNTIF(L13:L24,"Blocker")</f>
        <v>0</v>
      </c>
      <c r="C13" s="69"/>
      <c r="D13" s="195" t="s">
        <v>80</v>
      </c>
      <c r="E13" s="188"/>
      <c r="F13" s="188"/>
      <c r="G13" s="73"/>
      <c r="H13" s="74"/>
      <c r="I13" s="74"/>
      <c r="J13" s="74"/>
      <c r="K13" s="74"/>
      <c r="L13" s="74"/>
      <c r="M13" s="74"/>
      <c r="N13" s="74"/>
      <c r="O13" s="74"/>
      <c r="P13" s="74"/>
      <c r="Q13" s="51"/>
    </row>
    <row r="14" spans="1:17" ht="13.2">
      <c r="A14" s="51"/>
      <c r="B14" s="75">
        <f>COUNTIF(L13:L24,"Не тестировался")+COUNTIF(L13:L24,"Блокирован")+COUNTIF(L13:L24,"Не реализован")</f>
        <v>8</v>
      </c>
      <c r="C14" s="76"/>
      <c r="D14" s="51"/>
      <c r="E14" s="196" t="s">
        <v>81</v>
      </c>
      <c r="F14" s="185"/>
      <c r="G14" s="77">
        <v>5</v>
      </c>
      <c r="H14" s="78">
        <f>COUNTA(L14:L14)*G14</f>
        <v>5</v>
      </c>
      <c r="I14" s="78">
        <f>(COUNTA(L14:L14)-COUNTIF(L14:L14,"Оптимизация"))*G14</f>
        <v>5</v>
      </c>
      <c r="J14" s="79">
        <f>(COUNTIF(L14:L14,"Не тестировался")+COUNTIF(L14:L14,"Блокирован")+COUNTIF(L14:L14,"Не реализован"))*G14</f>
        <v>5</v>
      </c>
      <c r="K14" s="80" t="s">
        <v>82</v>
      </c>
      <c r="L14" s="81" t="s">
        <v>35</v>
      </c>
      <c r="M14" s="82"/>
      <c r="N14" s="83">
        <v>44562</v>
      </c>
      <c r="O14" s="84"/>
      <c r="P14" s="82"/>
      <c r="Q14" s="51"/>
    </row>
    <row r="15" spans="1:17" ht="13.2">
      <c r="A15" s="51"/>
      <c r="B15" s="75">
        <f>B13+B14</f>
        <v>8</v>
      </c>
      <c r="C15" s="69"/>
      <c r="D15" s="85"/>
      <c r="E15" s="187"/>
      <c r="F15" s="18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51"/>
    </row>
    <row r="16" spans="1:17" ht="39.6">
      <c r="A16" s="51"/>
      <c r="B16" s="75"/>
      <c r="C16" s="69"/>
      <c r="D16" s="87"/>
      <c r="E16" s="168" t="s">
        <v>170</v>
      </c>
      <c r="F16" s="89" t="s">
        <v>85</v>
      </c>
      <c r="G16" s="77">
        <v>10</v>
      </c>
      <c r="H16" s="78">
        <f>COUNTA(L16:L16)*G16</f>
        <v>10</v>
      </c>
      <c r="I16" s="78">
        <f>(COUNTA(L16:L16)-COUNTIF(L16:L16,"Оптимизация"))*G16</f>
        <v>10</v>
      </c>
      <c r="J16" s="79">
        <f>(COUNTIF(L16:L16,"Не тестировался")+COUNTIF(L16:L16,"Блокирован")+COUNTIF(L16:L16,"Не реализован"))*G16</f>
        <v>10</v>
      </c>
      <c r="K16" s="80">
        <v>1</v>
      </c>
      <c r="L16" s="81" t="s">
        <v>35</v>
      </c>
      <c r="M16" s="82"/>
      <c r="N16" s="83">
        <v>44562</v>
      </c>
      <c r="O16" s="84"/>
      <c r="P16" s="82"/>
      <c r="Q16" s="51"/>
    </row>
    <row r="17" spans="1:17" ht="145.19999999999999">
      <c r="A17" s="51"/>
      <c r="B17" s="75"/>
      <c r="C17" s="69"/>
      <c r="D17" s="87"/>
      <c r="E17" s="90" t="s">
        <v>86</v>
      </c>
      <c r="F17" s="89" t="s">
        <v>87</v>
      </c>
      <c r="G17" s="77">
        <v>10</v>
      </c>
      <c r="H17" s="78">
        <f>COUNTA(L17:L17)*G17</f>
        <v>10</v>
      </c>
      <c r="I17" s="78">
        <f>(COUNTA(L17:L17)-COUNTIF(L17:L17,"Оптимизация"))*G17</f>
        <v>10</v>
      </c>
      <c r="J17" s="79">
        <f>(COUNTIF(L17:L17,"Не тестировался")+COUNTIF(L17:L17,"Блокирован")+COUNTIF(L17:L17,"Не реализован"))*G17</f>
        <v>10</v>
      </c>
      <c r="K17" s="80">
        <v>1</v>
      </c>
      <c r="L17" s="81" t="s">
        <v>35</v>
      </c>
      <c r="M17" s="82"/>
      <c r="N17" s="83">
        <v>44562</v>
      </c>
      <c r="O17" s="84"/>
      <c r="P17" s="82"/>
      <c r="Q17" s="51"/>
    </row>
    <row r="18" spans="1:17" ht="13.2">
      <c r="A18" s="51"/>
      <c r="B18" s="75"/>
      <c r="C18" s="69"/>
      <c r="D18" s="197" t="s">
        <v>88</v>
      </c>
      <c r="E18" s="89" t="s">
        <v>89</v>
      </c>
      <c r="F18" s="89" t="s">
        <v>90</v>
      </c>
      <c r="G18" s="77">
        <v>5</v>
      </c>
      <c r="H18" s="78">
        <f>COUNTA(L18:L18)*G18</f>
        <v>5</v>
      </c>
      <c r="I18" s="78">
        <f>(COUNTA(L18:L18)-COUNTIF(L18:L18,"Оптимизация"))*G18</f>
        <v>5</v>
      </c>
      <c r="J18" s="79">
        <f>(COUNTIF(L18:L18,"Не тестировался")+COUNTIF(L18:L18,"Блокирован")+COUNTIF(L18:L18,"Не реализован"))*G18</f>
        <v>5</v>
      </c>
      <c r="K18" s="80">
        <v>1</v>
      </c>
      <c r="L18" s="81" t="s">
        <v>35</v>
      </c>
      <c r="M18" s="82"/>
      <c r="N18" s="83">
        <v>44562</v>
      </c>
      <c r="O18" s="84"/>
      <c r="P18" s="82"/>
      <c r="Q18" s="51"/>
    </row>
    <row r="19" spans="1:17" ht="13.2">
      <c r="A19" s="51"/>
      <c r="B19" s="75"/>
      <c r="C19" s="69"/>
      <c r="D19" s="198"/>
      <c r="E19" s="90" t="s">
        <v>91</v>
      </c>
      <c r="F19" s="89" t="s">
        <v>92</v>
      </c>
      <c r="G19" s="77">
        <v>5</v>
      </c>
      <c r="H19" s="78">
        <f>COUNTA(L19:L19)*G19</f>
        <v>5</v>
      </c>
      <c r="I19" s="78">
        <f>(COUNTA(L19:L19)-COUNTIF(L19:L19,"Оптимизация"))*G19</f>
        <v>5</v>
      </c>
      <c r="J19" s="79">
        <f>(COUNTIF(L19:L19,"Не тестировался")+COUNTIF(L19:L19,"Блокирован")+COUNTIF(L19:L19,"Не реализован"))*G19</f>
        <v>5</v>
      </c>
      <c r="K19" s="80">
        <v>1</v>
      </c>
      <c r="L19" s="81" t="s">
        <v>35</v>
      </c>
      <c r="M19" s="82"/>
      <c r="N19" s="83">
        <v>44562</v>
      </c>
      <c r="O19" s="84"/>
      <c r="P19" s="82"/>
      <c r="Q19" s="51"/>
    </row>
    <row r="20" spans="1:17" ht="13.2">
      <c r="A20" s="51"/>
      <c r="B20" s="75"/>
      <c r="C20" s="69"/>
      <c r="D20" s="198"/>
      <c r="E20" s="187" t="s">
        <v>93</v>
      </c>
      <c r="F20" s="188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51"/>
    </row>
    <row r="21" spans="1:17" ht="39.6">
      <c r="A21" s="51"/>
      <c r="B21" s="75"/>
      <c r="C21" s="69"/>
      <c r="D21" s="198"/>
      <c r="E21" s="88" t="s">
        <v>84</v>
      </c>
      <c r="F21" s="89" t="s">
        <v>94</v>
      </c>
      <c r="G21" s="77">
        <v>10</v>
      </c>
      <c r="H21" s="78">
        <f>COUNTA(L21:L21)*G21</f>
        <v>10</v>
      </c>
      <c r="I21" s="78">
        <f>(COUNTA(L21:L21)-COUNTIF(L21:L21,"Оптимизация"))*G21</f>
        <v>10</v>
      </c>
      <c r="J21" s="79">
        <f>(COUNTIF(L21:L21,"Не тестировался")+COUNTIF(L21:L21,"Блокирован")+COUNTIF(L21:L21,"Не реализован"))*G21</f>
        <v>10</v>
      </c>
      <c r="K21" s="80">
        <v>1</v>
      </c>
      <c r="L21" s="81" t="s">
        <v>35</v>
      </c>
      <c r="M21" s="82"/>
      <c r="N21" s="83">
        <v>44562</v>
      </c>
      <c r="O21" s="84"/>
      <c r="P21" s="82"/>
      <c r="Q21" s="51"/>
    </row>
    <row r="22" spans="1:17" ht="145.19999999999999">
      <c r="A22" s="51"/>
      <c r="B22" s="75"/>
      <c r="C22" s="69"/>
      <c r="D22" s="91"/>
      <c r="E22" s="90" t="s">
        <v>86</v>
      </c>
      <c r="F22" s="89" t="s">
        <v>95</v>
      </c>
      <c r="G22" s="77">
        <v>10</v>
      </c>
      <c r="H22" s="78">
        <f>COUNTA(L22:L22)*G22</f>
        <v>10</v>
      </c>
      <c r="I22" s="78">
        <f>(COUNTA(L22:L22)-COUNTIF(L22:L22,"Оптимизация"))*G22</f>
        <v>10</v>
      </c>
      <c r="J22" s="79">
        <f>(COUNTIF(L22:L22,"Не тестировался")+COUNTIF(L22:L22,"Блокирован")+COUNTIF(L22:L22,"Не реализован"))*G22</f>
        <v>10</v>
      </c>
      <c r="K22" s="80">
        <v>1</v>
      </c>
      <c r="L22" s="81" t="s">
        <v>35</v>
      </c>
      <c r="M22" s="82"/>
      <c r="N22" s="83">
        <v>44562</v>
      </c>
      <c r="O22" s="84"/>
      <c r="P22" s="82"/>
      <c r="Q22" s="51"/>
    </row>
    <row r="23" spans="1:17" ht="13.2">
      <c r="A23" s="51"/>
      <c r="B23" s="75"/>
      <c r="C23" s="69"/>
      <c r="D23" s="87"/>
      <c r="E23" s="189" t="s">
        <v>96</v>
      </c>
      <c r="F23" s="18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51"/>
    </row>
    <row r="24" spans="1:17" ht="52.8">
      <c r="A24" s="51"/>
      <c r="B24" s="75"/>
      <c r="C24" s="69"/>
      <c r="D24" s="87"/>
      <c r="E24" s="90" t="s">
        <v>97</v>
      </c>
      <c r="F24" s="89" t="s">
        <v>98</v>
      </c>
      <c r="G24" s="77">
        <v>10</v>
      </c>
      <c r="H24" s="78">
        <f t="shared" ref="H24:H29" si="2">COUNTA(L24:L24)*G24</f>
        <v>10</v>
      </c>
      <c r="I24" s="78">
        <f t="shared" ref="I24:I29" si="3">(COUNTA(L24:L24)-COUNTIF(L24:L24,"Оптимизация"))*G24</f>
        <v>10</v>
      </c>
      <c r="J24" s="79">
        <f t="shared" ref="J24:J29" si="4">(COUNTIF(L24:L24,"Не тестировался")+COUNTIF(L24:L24,"Блокирован")+COUNTIF(L24:L24,"Не реализован"))*G24</f>
        <v>10</v>
      </c>
      <c r="K24" s="80">
        <v>1</v>
      </c>
      <c r="L24" s="81" t="s">
        <v>35</v>
      </c>
      <c r="M24" s="82"/>
      <c r="N24" s="83">
        <v>44562</v>
      </c>
      <c r="O24" s="84"/>
      <c r="P24" s="82"/>
      <c r="Q24" s="51"/>
    </row>
    <row r="25" spans="1:17" ht="52.8">
      <c r="A25" s="51"/>
      <c r="B25" s="75"/>
      <c r="C25" s="69"/>
      <c r="D25" s="87"/>
      <c r="E25" s="90" t="s">
        <v>97</v>
      </c>
      <c r="F25" s="89" t="s">
        <v>99</v>
      </c>
      <c r="G25" s="77">
        <v>5</v>
      </c>
      <c r="H25" s="78">
        <f t="shared" si="2"/>
        <v>5</v>
      </c>
      <c r="I25" s="78">
        <f t="shared" si="3"/>
        <v>5</v>
      </c>
      <c r="J25" s="79">
        <f t="shared" si="4"/>
        <v>5</v>
      </c>
      <c r="K25" s="80">
        <v>1</v>
      </c>
      <c r="L25" s="81" t="s">
        <v>35</v>
      </c>
      <c r="M25" s="82"/>
      <c r="N25" s="83">
        <v>44562</v>
      </c>
      <c r="O25" s="84"/>
      <c r="P25" s="82"/>
      <c r="Q25" s="51"/>
    </row>
    <row r="26" spans="1:17" ht="52.8">
      <c r="A26" s="51"/>
      <c r="B26" s="75"/>
      <c r="C26" s="69"/>
      <c r="D26" s="87"/>
      <c r="E26" s="90" t="s">
        <v>100</v>
      </c>
      <c r="F26" s="89" t="s">
        <v>101</v>
      </c>
      <c r="G26" s="77">
        <v>10</v>
      </c>
      <c r="H26" s="78">
        <f t="shared" si="2"/>
        <v>10</v>
      </c>
      <c r="I26" s="78">
        <f t="shared" si="3"/>
        <v>10</v>
      </c>
      <c r="J26" s="79">
        <f t="shared" si="4"/>
        <v>10</v>
      </c>
      <c r="K26" s="80">
        <v>1</v>
      </c>
      <c r="L26" s="81" t="s">
        <v>35</v>
      </c>
      <c r="M26" s="82"/>
      <c r="N26" s="83">
        <v>44562</v>
      </c>
      <c r="O26" s="84"/>
      <c r="P26" s="82"/>
      <c r="Q26" s="51"/>
    </row>
    <row r="27" spans="1:17" ht="52.8">
      <c r="A27" s="51"/>
      <c r="B27" s="75"/>
      <c r="C27" s="69"/>
      <c r="D27" s="87"/>
      <c r="E27" s="90" t="s">
        <v>100</v>
      </c>
      <c r="F27" s="89" t="s">
        <v>102</v>
      </c>
      <c r="G27" s="77">
        <v>5</v>
      </c>
      <c r="H27" s="78">
        <f t="shared" si="2"/>
        <v>5</v>
      </c>
      <c r="I27" s="78">
        <f t="shared" si="3"/>
        <v>5</v>
      </c>
      <c r="J27" s="79">
        <f t="shared" si="4"/>
        <v>5</v>
      </c>
      <c r="K27" s="80">
        <v>1</v>
      </c>
      <c r="L27" s="81" t="s">
        <v>35</v>
      </c>
      <c r="M27" s="82"/>
      <c r="N27" s="83">
        <v>44562</v>
      </c>
      <c r="O27" s="84"/>
      <c r="P27" s="82"/>
      <c r="Q27" s="51"/>
    </row>
    <row r="28" spans="1:17" ht="79.2">
      <c r="A28" s="51"/>
      <c r="B28" s="75"/>
      <c r="C28" s="69"/>
      <c r="D28" s="87"/>
      <c r="E28" s="90" t="s">
        <v>103</v>
      </c>
      <c r="F28" s="89" t="s">
        <v>104</v>
      </c>
      <c r="G28" s="77">
        <v>5</v>
      </c>
      <c r="H28" s="78">
        <f t="shared" si="2"/>
        <v>5</v>
      </c>
      <c r="I28" s="78">
        <f t="shared" si="3"/>
        <v>5</v>
      </c>
      <c r="J28" s="79">
        <f t="shared" si="4"/>
        <v>5</v>
      </c>
      <c r="K28" s="80">
        <v>1</v>
      </c>
      <c r="L28" s="81" t="s">
        <v>35</v>
      </c>
      <c r="M28" s="82"/>
      <c r="N28" s="83">
        <v>44562</v>
      </c>
      <c r="O28" s="84"/>
      <c r="P28" s="82"/>
      <c r="Q28" s="51"/>
    </row>
    <row r="29" spans="1:17" ht="79.2">
      <c r="A29" s="51"/>
      <c r="B29" s="75"/>
      <c r="C29" s="69"/>
      <c r="D29" s="87"/>
      <c r="E29" s="90" t="s">
        <v>105</v>
      </c>
      <c r="F29" s="89" t="s">
        <v>106</v>
      </c>
      <c r="G29" s="77">
        <v>5</v>
      </c>
      <c r="H29" s="78">
        <f t="shared" si="2"/>
        <v>5</v>
      </c>
      <c r="I29" s="78">
        <f t="shared" si="3"/>
        <v>5</v>
      </c>
      <c r="J29" s="79">
        <f t="shared" si="4"/>
        <v>5</v>
      </c>
      <c r="K29" s="80">
        <v>1</v>
      </c>
      <c r="L29" s="81" t="s">
        <v>35</v>
      </c>
      <c r="M29" s="82"/>
      <c r="N29" s="83">
        <v>44562</v>
      </c>
      <c r="O29" s="84"/>
      <c r="P29" s="82"/>
      <c r="Q29" s="51"/>
    </row>
  </sheetData>
  <mergeCells count="26">
    <mergeCell ref="A6:D6"/>
    <mergeCell ref="A7:D7"/>
    <mergeCell ref="A1:D1"/>
    <mergeCell ref="A2:D2"/>
    <mergeCell ref="A3:D3"/>
    <mergeCell ref="A4:D4"/>
    <mergeCell ref="A5:D5"/>
    <mergeCell ref="M8:M9"/>
    <mergeCell ref="N8:N9"/>
    <mergeCell ref="O8:O9"/>
    <mergeCell ref="P8:P9"/>
    <mergeCell ref="A8:B9"/>
    <mergeCell ref="C8:C9"/>
    <mergeCell ref="D8:D9"/>
    <mergeCell ref="E8:F8"/>
    <mergeCell ref="G8:J8"/>
    <mergeCell ref="K8:K9"/>
    <mergeCell ref="E20:F20"/>
    <mergeCell ref="E23:F23"/>
    <mergeCell ref="A10:F10"/>
    <mergeCell ref="B11:F11"/>
    <mergeCell ref="C12:F12"/>
    <mergeCell ref="D13:F13"/>
    <mergeCell ref="E14:F14"/>
    <mergeCell ref="E15:F15"/>
    <mergeCell ref="D18:D21"/>
  </mergeCells>
  <conditionalFormatting sqref="L16:L17 L19:L22">
    <cfRule type="cellIs" dxfId="36" priority="1" operator="equal">
      <formula>"Версия 1.1"</formula>
    </cfRule>
  </conditionalFormatting>
  <conditionalFormatting sqref="J11:L29">
    <cfRule type="cellIs" dxfId="35" priority="3" operator="equal">
      <formula>"Блокирован"</formula>
    </cfRule>
  </conditionalFormatting>
  <conditionalFormatting sqref="J11:L29">
    <cfRule type="cellIs" dxfId="34" priority="4" operator="equal">
      <formula>"Не тестировался"</formula>
    </cfRule>
  </conditionalFormatting>
  <conditionalFormatting sqref="J11:L29">
    <cfRule type="cellIs" dxfId="33" priority="5" operator="equal">
      <formula>"Не реализован"</formula>
    </cfRule>
  </conditionalFormatting>
  <conditionalFormatting sqref="J11:L29">
    <cfRule type="cellIs" dxfId="32" priority="6" operator="equal">
      <formula>"Оптимизация"</formula>
    </cfRule>
  </conditionalFormatting>
  <conditionalFormatting sqref="J11:L29">
    <cfRule type="cellIs" dxfId="31" priority="7" operator="equal">
      <formula>"Blocker"</formula>
    </cfRule>
  </conditionalFormatting>
  <conditionalFormatting sqref="J11:L29">
    <cfRule type="cellIs" dxfId="30" priority="8" operator="equal">
      <formula>"Critical"</formula>
    </cfRule>
  </conditionalFormatting>
  <conditionalFormatting sqref="J11:L29">
    <cfRule type="cellIs" dxfId="29" priority="9" operator="equal">
      <formula>"Major"</formula>
    </cfRule>
  </conditionalFormatting>
  <conditionalFormatting sqref="J11:L29">
    <cfRule type="cellIs" dxfId="28" priority="10" operator="equal">
      <formula>"Minor"</formula>
    </cfRule>
  </conditionalFormatting>
  <conditionalFormatting sqref="J11:L29">
    <cfRule type="cellIs" dxfId="27" priority="11" operator="equal">
      <formula>"Trivial"</formula>
    </cfRule>
  </conditionalFormatting>
  <conditionalFormatting sqref="J11:L29">
    <cfRule type="cellIs" dxfId="26" priority="12" operator="equal">
      <formula>"OK"</formula>
    </cfRule>
  </conditionalFormatting>
  <conditionalFormatting sqref="J11:J29 K13">
    <cfRule type="containsText" dxfId="25" priority="13" operator="containsText" text="3">
      <formula>NOT(ISERROR(SEARCH(("3"),(J11))))</formula>
    </cfRule>
  </conditionalFormatting>
  <conditionalFormatting sqref="L10:L29">
    <cfRule type="cellIs" dxfId="24" priority="14" operator="equal">
      <formula>"Оптимизация"</formula>
    </cfRule>
  </conditionalFormatting>
  <conditionalFormatting sqref="K10:K29 L15 L20 L23">
    <cfRule type="cellIs" dxfId="23" priority="15" operator="equal">
      <formula>"smoke"</formula>
    </cfRule>
  </conditionalFormatting>
  <conditionalFormatting sqref="K10:K29 L15 L20 L23">
    <cfRule type="cellIs" dxfId="22" priority="16" operator="equal">
      <formula>1</formula>
    </cfRule>
  </conditionalFormatting>
  <conditionalFormatting sqref="K10:K29 L15 L20 L23">
    <cfRule type="cellIs" dxfId="21" priority="17" operator="equal">
      <formula>2</formula>
    </cfRule>
  </conditionalFormatting>
  <conditionalFormatting sqref="K10:K29 L15 L20 L23">
    <cfRule type="cellIs" dxfId="20" priority="18" operator="equal">
      <formula>3</formula>
    </cfRule>
  </conditionalFormatting>
  <dataValidations count="2">
    <dataValidation type="list" allowBlank="1" sqref="L14 L16:L19 L21:L22 L24:L29" xr:uid="{00000000-0002-0000-0100-000000000000}">
      <formula1>"OK,Trivial,Minor,Major,Critical,Blocker,Не реализован,Не тестировался,Блокирован,Оптимизация"</formula1>
    </dataValidation>
    <dataValidation type="list" allowBlank="1" sqref="K14 K16:K19 K21:K22 K24:K29" xr:uid="{00000000-0002-0000-0100-000001000000}">
      <formula1>"smoke,1,2,3"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3"/>
  <sheetViews>
    <sheetView tabSelected="1" workbookViewId="0">
      <pane ySplit="9" topLeftCell="A16" activePane="bottomLeft" state="frozen"/>
      <selection pane="bottomLeft" activeCell="F17" sqref="F17"/>
    </sheetView>
  </sheetViews>
  <sheetFormatPr defaultColWidth="14.44140625" defaultRowHeight="15.75" customHeight="1"/>
  <cols>
    <col min="1" max="1" width="5" customWidth="1"/>
    <col min="2" max="2" width="8.6640625" customWidth="1"/>
    <col min="3" max="4" width="5" customWidth="1"/>
    <col min="5" max="5" width="62.44140625" customWidth="1"/>
    <col min="6" max="6" width="42.109375" customWidth="1"/>
    <col min="7" max="7" width="16.44140625" customWidth="1"/>
    <col min="8" max="8" width="8.109375" customWidth="1"/>
    <col min="9" max="9" width="12.6640625" customWidth="1"/>
    <col min="10" max="10" width="7.6640625" customWidth="1"/>
    <col min="11" max="11" width="10.44140625" customWidth="1"/>
    <col min="12" max="12" width="8.33203125" customWidth="1"/>
    <col min="13" max="13" width="8.5546875" customWidth="1"/>
    <col min="14" max="14" width="7.5546875" customWidth="1"/>
    <col min="15" max="15" width="7" customWidth="1"/>
    <col min="16" max="20" width="6.5546875" customWidth="1"/>
    <col min="21" max="21" width="23.5546875" customWidth="1"/>
    <col min="22" max="22" width="13.109375" customWidth="1"/>
    <col min="23" max="23" width="20.109375" customWidth="1"/>
    <col min="24" max="24" width="18.6640625" customWidth="1"/>
    <col min="25" max="25" width="2.44140625" customWidth="1"/>
  </cols>
  <sheetData>
    <row r="1" spans="1:25" ht="13.5" customHeight="1">
      <c r="A1" s="222" t="s">
        <v>48</v>
      </c>
      <c r="B1" s="198"/>
      <c r="C1" s="198"/>
      <c r="D1" s="198"/>
      <c r="E1" s="92" t="s">
        <v>49</v>
      </c>
      <c r="F1" s="93" t="s">
        <v>50</v>
      </c>
      <c r="G1" s="94"/>
      <c r="H1" s="94"/>
      <c r="I1" s="95"/>
      <c r="J1" s="95"/>
      <c r="K1" s="96"/>
      <c r="L1" s="96"/>
      <c r="M1" s="96"/>
      <c r="N1" s="97"/>
      <c r="O1" s="97"/>
      <c r="P1" s="97"/>
      <c r="Q1" s="97"/>
      <c r="R1" s="97"/>
      <c r="S1" s="97"/>
      <c r="T1" s="97"/>
      <c r="U1" s="98" t="s">
        <v>51</v>
      </c>
      <c r="V1" s="94"/>
      <c r="W1" s="98" t="s">
        <v>52</v>
      </c>
      <c r="X1" s="94"/>
      <c r="Y1" s="99"/>
    </row>
    <row r="2" spans="1:25" ht="13.5" customHeight="1">
      <c r="A2" s="219" t="s">
        <v>53</v>
      </c>
      <c r="B2" s="191"/>
      <c r="C2" s="191"/>
      <c r="D2" s="185"/>
      <c r="E2" s="100">
        <f t="shared" ref="E2:F2" si="0">SUM(I12:I23)</f>
        <v>275</v>
      </c>
      <c r="F2" s="101">
        <f t="shared" si="0"/>
        <v>275</v>
      </c>
      <c r="G2" s="94"/>
      <c r="H2" s="94"/>
      <c r="I2" s="95"/>
      <c r="J2" s="95"/>
      <c r="K2" s="96"/>
      <c r="L2" s="96"/>
      <c r="M2" s="96"/>
      <c r="N2" s="97"/>
      <c r="O2" s="97"/>
      <c r="P2" s="97"/>
      <c r="Q2" s="97"/>
      <c r="R2" s="97"/>
      <c r="S2" s="97"/>
      <c r="T2" s="97"/>
      <c r="U2" s="98" t="s">
        <v>15</v>
      </c>
      <c r="V2" s="98">
        <f>COUNTIF(L14:T20,"OK")</f>
        <v>0</v>
      </c>
      <c r="W2" s="102" t="s">
        <v>4</v>
      </c>
      <c r="X2" s="98">
        <f>COUNTIF(L14:T20,"Blocker")</f>
        <v>0</v>
      </c>
      <c r="Y2" s="103"/>
    </row>
    <row r="3" spans="1:25" ht="13.5" customHeight="1">
      <c r="A3" s="219" t="s">
        <v>54</v>
      </c>
      <c r="B3" s="191"/>
      <c r="C3" s="191"/>
      <c r="D3" s="185"/>
      <c r="E3" s="104">
        <f>((V6/10)+5)*15</f>
        <v>109.5</v>
      </c>
      <c r="F3" s="105">
        <f>(((V3+V4+V5)/10)+5)*15</f>
        <v>109.5</v>
      </c>
      <c r="G3" s="94"/>
      <c r="H3" s="94"/>
      <c r="I3" s="95"/>
      <c r="J3" s="95"/>
      <c r="K3" s="96"/>
      <c r="L3" s="96"/>
      <c r="M3" s="96"/>
      <c r="N3" s="97"/>
      <c r="O3" s="97"/>
      <c r="P3" s="97"/>
      <c r="Q3" s="97"/>
      <c r="R3" s="97"/>
      <c r="S3" s="97"/>
      <c r="T3" s="97"/>
      <c r="U3" s="98" t="s">
        <v>18</v>
      </c>
      <c r="V3" s="98">
        <f>COUNTIF(L14:T20,"Не тестировался")</f>
        <v>23</v>
      </c>
      <c r="W3" s="102" t="s">
        <v>6</v>
      </c>
      <c r="X3" s="98">
        <f>COUNTIF(L14:T20,"Critical")</f>
        <v>0</v>
      </c>
      <c r="Y3" s="103"/>
    </row>
    <row r="4" spans="1:25" ht="13.5" customHeight="1">
      <c r="A4" s="219" t="s">
        <v>55</v>
      </c>
      <c r="B4" s="191"/>
      <c r="C4" s="191"/>
      <c r="D4" s="185"/>
      <c r="E4" s="104">
        <f t="shared" ref="E4:F4" si="1">((SUM(E2,E3)/60)*1.1)</f>
        <v>7.0491666666666672</v>
      </c>
      <c r="F4" s="105">
        <f t="shared" si="1"/>
        <v>7.0491666666666672</v>
      </c>
      <c r="G4" s="94"/>
      <c r="H4" s="94"/>
      <c r="I4" s="95"/>
      <c r="J4" s="95"/>
      <c r="K4" s="96"/>
      <c r="L4" s="96"/>
      <c r="M4" s="96"/>
      <c r="N4" s="97"/>
      <c r="O4" s="97"/>
      <c r="P4" s="97"/>
      <c r="Q4" s="97"/>
      <c r="R4" s="97"/>
      <c r="S4" s="97"/>
      <c r="T4" s="97"/>
      <c r="U4" s="98" t="s">
        <v>20</v>
      </c>
      <c r="V4" s="98">
        <f>COUNTIF(L14:T20,"Не реализован")</f>
        <v>0</v>
      </c>
      <c r="W4" s="102" t="s">
        <v>8</v>
      </c>
      <c r="X4" s="98">
        <f>COUNTIF(L14:T20,"Major")</f>
        <v>0</v>
      </c>
      <c r="Y4" s="103"/>
    </row>
    <row r="5" spans="1:25" ht="13.5" customHeight="1">
      <c r="A5" s="219" t="s">
        <v>56</v>
      </c>
      <c r="B5" s="191"/>
      <c r="C5" s="191"/>
      <c r="D5" s="185"/>
      <c r="E5" s="106">
        <f>(SUM(H12:H23)-E2)/60</f>
        <v>5.916666666666667</v>
      </c>
      <c r="F5" s="97"/>
      <c r="G5" s="97"/>
      <c r="H5" s="94"/>
      <c r="I5" s="95"/>
      <c r="J5" s="96"/>
      <c r="K5" s="96"/>
      <c r="L5" s="96"/>
      <c r="M5" s="96"/>
      <c r="N5" s="97"/>
      <c r="O5" s="97"/>
      <c r="P5" s="97"/>
      <c r="Q5" s="97"/>
      <c r="R5" s="97"/>
      <c r="S5" s="97"/>
      <c r="T5" s="97"/>
      <c r="U5" s="98" t="s">
        <v>22</v>
      </c>
      <c r="V5" s="98">
        <f>COUNTIF(L14:T20,"Блокирован")</f>
        <v>0</v>
      </c>
      <c r="W5" s="102" t="s">
        <v>9</v>
      </c>
      <c r="X5" s="98">
        <f>COUNTIF(L14:T20,"Minor")</f>
        <v>0</v>
      </c>
      <c r="Y5" s="103"/>
    </row>
    <row r="6" spans="1:25" ht="13.5" customHeight="1">
      <c r="A6" s="219"/>
      <c r="B6" s="191"/>
      <c r="C6" s="191"/>
      <c r="D6" s="185"/>
      <c r="E6" s="97"/>
      <c r="F6" s="107"/>
      <c r="G6" s="97"/>
      <c r="H6" s="97"/>
      <c r="I6" s="96"/>
      <c r="J6" s="96"/>
      <c r="K6" s="96"/>
      <c r="L6" s="96"/>
      <c r="M6" s="96"/>
      <c r="N6" s="97"/>
      <c r="O6" s="97"/>
      <c r="P6" s="97"/>
      <c r="Q6" s="97"/>
      <c r="R6" s="97"/>
      <c r="S6" s="97"/>
      <c r="T6" s="97"/>
      <c r="U6" s="98" t="s">
        <v>23</v>
      </c>
      <c r="V6" s="98">
        <f>V2+V3+V4+V5+X2+X3+X4+X5+X6</f>
        <v>23</v>
      </c>
      <c r="W6" s="102" t="s">
        <v>10</v>
      </c>
      <c r="X6" s="98">
        <f>COUNTIF(L14:T20,"Trivial")</f>
        <v>0</v>
      </c>
      <c r="Y6" s="103"/>
    </row>
    <row r="7" spans="1:25" ht="13.5" customHeight="1">
      <c r="A7" s="220"/>
      <c r="B7" s="209"/>
      <c r="C7" s="209"/>
      <c r="D7" s="203"/>
      <c r="E7" s="96"/>
      <c r="F7" s="108"/>
      <c r="G7" s="96"/>
      <c r="H7" s="97"/>
      <c r="I7" s="96"/>
      <c r="J7" s="96"/>
      <c r="K7" s="96"/>
      <c r="L7" s="96"/>
      <c r="M7" s="96"/>
      <c r="N7" s="97"/>
      <c r="O7" s="97"/>
      <c r="P7" s="97"/>
      <c r="Q7" s="97"/>
      <c r="R7" s="97"/>
      <c r="S7" s="97"/>
      <c r="T7" s="97"/>
      <c r="U7" s="98" t="s">
        <v>57</v>
      </c>
      <c r="V7" s="109">
        <f>(V2+X2+X3+X4+X5+X6+X7)/V6</f>
        <v>0</v>
      </c>
      <c r="W7" s="110"/>
      <c r="X7" s="94"/>
      <c r="Y7" s="99"/>
    </row>
    <row r="8" spans="1:25" ht="14.4">
      <c r="A8" s="201"/>
      <c r="B8" s="194"/>
      <c r="C8" s="204"/>
      <c r="D8" s="199" t="s">
        <v>58</v>
      </c>
      <c r="E8" s="205" t="s">
        <v>59</v>
      </c>
      <c r="F8" s="185"/>
      <c r="G8" s="206" t="s">
        <v>60</v>
      </c>
      <c r="H8" s="191"/>
      <c r="I8" s="191"/>
      <c r="J8" s="185"/>
      <c r="K8" s="200" t="s">
        <v>61</v>
      </c>
      <c r="L8" s="218" t="s">
        <v>62</v>
      </c>
      <c r="M8" s="185"/>
      <c r="N8" s="221" t="s">
        <v>64</v>
      </c>
      <c r="O8" s="185"/>
      <c r="P8" s="221" t="s">
        <v>63</v>
      </c>
      <c r="Q8" s="185"/>
      <c r="R8" s="221" t="s">
        <v>65</v>
      </c>
      <c r="S8" s="191"/>
      <c r="T8" s="185"/>
      <c r="U8" s="199" t="s">
        <v>66</v>
      </c>
      <c r="V8" s="200" t="s">
        <v>67</v>
      </c>
      <c r="W8" s="200" t="s">
        <v>107</v>
      </c>
      <c r="X8" s="200" t="s">
        <v>108</v>
      </c>
      <c r="Y8" s="111"/>
    </row>
    <row r="9" spans="1:25" ht="13.2">
      <c r="A9" s="202"/>
      <c r="B9" s="203"/>
      <c r="C9" s="182"/>
      <c r="D9" s="182"/>
      <c r="E9" s="60" t="s">
        <v>70</v>
      </c>
      <c r="F9" s="60" t="s">
        <v>71</v>
      </c>
      <c r="G9" s="61" t="s">
        <v>72</v>
      </c>
      <c r="H9" s="61" t="s">
        <v>73</v>
      </c>
      <c r="I9" s="62" t="s">
        <v>74</v>
      </c>
      <c r="J9" s="63" t="s">
        <v>75</v>
      </c>
      <c r="K9" s="182"/>
      <c r="L9" s="65" t="s">
        <v>109</v>
      </c>
      <c r="M9" s="112" t="s">
        <v>110</v>
      </c>
      <c r="N9" s="64" t="s">
        <v>111</v>
      </c>
      <c r="O9" s="65" t="s">
        <v>112</v>
      </c>
      <c r="P9" s="113" t="s">
        <v>113</v>
      </c>
      <c r="Q9" s="113" t="s">
        <v>114</v>
      </c>
      <c r="R9" s="65" t="s">
        <v>76</v>
      </c>
      <c r="S9" s="65" t="s">
        <v>77</v>
      </c>
      <c r="T9" s="65" t="s">
        <v>78</v>
      </c>
      <c r="U9" s="182"/>
      <c r="V9" s="182"/>
      <c r="W9" s="182"/>
      <c r="X9" s="182"/>
      <c r="Y9" s="111"/>
    </row>
    <row r="10" spans="1:25" ht="13.2">
      <c r="A10" s="213"/>
      <c r="B10" s="191"/>
      <c r="C10" s="191"/>
      <c r="D10" s="191"/>
      <c r="E10" s="191"/>
      <c r="F10" s="191"/>
      <c r="G10" s="114"/>
      <c r="H10" s="114"/>
      <c r="I10" s="114"/>
      <c r="J10" s="115"/>
      <c r="K10" s="116"/>
      <c r="L10" s="115"/>
      <c r="M10" s="115"/>
      <c r="N10" s="116"/>
      <c r="O10" s="115"/>
      <c r="P10" s="116"/>
      <c r="Q10" s="115"/>
      <c r="R10" s="117"/>
      <c r="S10" s="117"/>
      <c r="T10" s="117"/>
      <c r="U10" s="114"/>
      <c r="V10" s="118"/>
      <c r="W10" s="118"/>
      <c r="X10" s="118"/>
      <c r="Y10" s="43"/>
    </row>
    <row r="11" spans="1:25" ht="13.2">
      <c r="A11" s="119"/>
      <c r="B11" s="214" t="s">
        <v>115</v>
      </c>
      <c r="C11" s="191"/>
      <c r="D11" s="191"/>
      <c r="E11" s="191"/>
      <c r="F11" s="191"/>
      <c r="G11" s="120"/>
      <c r="H11" s="120"/>
      <c r="I11" s="121"/>
      <c r="J11" s="122"/>
      <c r="K11" s="123"/>
      <c r="L11" s="122"/>
      <c r="M11" s="122"/>
      <c r="N11" s="123"/>
      <c r="O11" s="122"/>
      <c r="P11" s="123"/>
      <c r="Q11" s="122"/>
      <c r="R11" s="124"/>
      <c r="S11" s="124"/>
      <c r="T11" s="125"/>
      <c r="U11" s="126"/>
      <c r="V11" s="127"/>
      <c r="W11" s="128"/>
      <c r="X11" s="128"/>
      <c r="Y11" s="129"/>
    </row>
    <row r="12" spans="1:25" ht="13.2">
      <c r="A12" s="130"/>
      <c r="B12" s="131">
        <f>B13/B15</f>
        <v>0</v>
      </c>
      <c r="C12" s="215" t="s">
        <v>116</v>
      </c>
      <c r="D12" s="191"/>
      <c r="E12" s="191"/>
      <c r="F12" s="191"/>
      <c r="G12" s="191"/>
      <c r="H12" s="191"/>
      <c r="I12" s="191"/>
      <c r="J12" s="191"/>
      <c r="K12" s="191"/>
      <c r="L12" s="191"/>
      <c r="M12" s="185"/>
      <c r="N12" s="132"/>
      <c r="O12" s="133"/>
      <c r="P12" s="132"/>
      <c r="Q12" s="133"/>
      <c r="R12" s="134"/>
      <c r="S12" s="134"/>
      <c r="T12" s="134"/>
      <c r="U12" s="135"/>
      <c r="V12" s="132"/>
      <c r="W12" s="132"/>
      <c r="X12" s="132"/>
      <c r="Y12" s="69"/>
    </row>
    <row r="13" spans="1:25" ht="13.2">
      <c r="A13" s="136"/>
      <c r="B13" s="72">
        <f>COUNTIF(L14:T20,"OK")+COUNTIF(L14:T20,"Trivial")+COUNTIF(L14:T20,"Minor")+COUNTIF(L14:T20,"Major")+COUNTIF(L14:T20,"Critical")+COUNTIF(L14:T20,"Blocker")</f>
        <v>0</v>
      </c>
      <c r="C13" s="69"/>
      <c r="D13" s="137"/>
      <c r="E13" s="224" t="s">
        <v>171</v>
      </c>
      <c r="F13" s="203"/>
      <c r="G13" s="138"/>
      <c r="H13" s="139"/>
      <c r="I13" s="140"/>
      <c r="J13" s="140"/>
      <c r="K13" s="141"/>
      <c r="L13" s="142"/>
      <c r="M13" s="142"/>
      <c r="N13" s="140"/>
      <c r="O13" s="142"/>
      <c r="P13" s="140"/>
      <c r="Q13" s="142"/>
      <c r="R13" s="140"/>
      <c r="S13" s="142"/>
      <c r="T13" s="143"/>
      <c r="U13" s="144"/>
      <c r="V13" s="140"/>
      <c r="W13" s="140"/>
      <c r="X13" s="140"/>
      <c r="Y13" s="69"/>
    </row>
    <row r="14" spans="1:25" ht="148.5" customHeight="1">
      <c r="A14" s="136"/>
      <c r="B14" s="75">
        <f>COUNTIF(L14:T20,"Не тестировался")+COUNTIF(L14:T20,"Блокирован")+COUNTIF(L14:T20,"Не реализован")</f>
        <v>23</v>
      </c>
      <c r="C14" s="69"/>
      <c r="D14" s="145"/>
      <c r="E14" s="217" t="s">
        <v>117</v>
      </c>
      <c r="F14" s="146" t="s">
        <v>172</v>
      </c>
      <c r="G14" s="77">
        <v>10</v>
      </c>
      <c r="H14" s="78">
        <f t="shared" ref="H14:H17" si="2">COUNTA(L14:T14)*G14</f>
        <v>90</v>
      </c>
      <c r="I14" s="78">
        <f>(COUNTA(L14:T14)- COUNTIF(L14:T14,"Оптимизация"))*G14</f>
        <v>40</v>
      </c>
      <c r="J14" s="79">
        <f t="shared" ref="J14:J17" si="3">(COUNTIF(L14:T14,"Не тестировался")+COUNTIF(L14:T14,"Блокирован")+COUNTIF(L14:T14,"Не реализован"))*G14</f>
        <v>40</v>
      </c>
      <c r="K14" s="147">
        <v>1</v>
      </c>
      <c r="L14" s="148" t="s">
        <v>35</v>
      </c>
      <c r="M14" s="148" t="s">
        <v>35</v>
      </c>
      <c r="N14" s="148" t="s">
        <v>35</v>
      </c>
      <c r="O14" s="148" t="s">
        <v>83</v>
      </c>
      <c r="P14" s="148" t="s">
        <v>83</v>
      </c>
      <c r="Q14" s="148" t="s">
        <v>83</v>
      </c>
      <c r="R14" s="148" t="s">
        <v>35</v>
      </c>
      <c r="S14" s="148" t="s">
        <v>83</v>
      </c>
      <c r="T14" s="148" t="s">
        <v>83</v>
      </c>
      <c r="U14" s="68"/>
      <c r="V14" s="149" t="s">
        <v>118</v>
      </c>
      <c r="W14" s="150"/>
      <c r="X14" s="151"/>
      <c r="Y14" s="69"/>
    </row>
    <row r="15" spans="1:25" ht="54" customHeight="1">
      <c r="A15" s="136"/>
      <c r="B15" s="75">
        <f>B13+B14</f>
        <v>23</v>
      </c>
      <c r="C15" s="69"/>
      <c r="D15" s="145"/>
      <c r="E15" s="182"/>
      <c r="F15" s="152" t="s">
        <v>119</v>
      </c>
      <c r="G15" s="77">
        <v>10</v>
      </c>
      <c r="H15" s="78">
        <f t="shared" si="2"/>
        <v>90</v>
      </c>
      <c r="I15" s="78">
        <f t="shared" ref="I15:I17" si="4">(COUNTA(L15:T15)-COUNTIF(L15:T15,"Оптимизация"))*G15</f>
        <v>40</v>
      </c>
      <c r="J15" s="79">
        <f t="shared" si="3"/>
        <v>40</v>
      </c>
      <c r="K15" s="147">
        <v>1</v>
      </c>
      <c r="L15" s="148" t="s">
        <v>35</v>
      </c>
      <c r="M15" s="148" t="s">
        <v>35</v>
      </c>
      <c r="N15" s="148" t="s">
        <v>35</v>
      </c>
      <c r="O15" s="148" t="s">
        <v>83</v>
      </c>
      <c r="P15" s="148" t="s">
        <v>83</v>
      </c>
      <c r="Q15" s="148" t="s">
        <v>83</v>
      </c>
      <c r="R15" s="148" t="s">
        <v>35</v>
      </c>
      <c r="S15" s="148" t="s">
        <v>83</v>
      </c>
      <c r="T15" s="148" t="s">
        <v>83</v>
      </c>
      <c r="U15" s="68"/>
      <c r="V15" s="149" t="s">
        <v>118</v>
      </c>
      <c r="W15" s="150"/>
      <c r="X15" s="151"/>
      <c r="Y15" s="69"/>
    </row>
    <row r="16" spans="1:25" ht="114" customHeight="1">
      <c r="A16" s="136"/>
      <c r="B16" s="75">
        <f>COUNTIF(L16:T23,"Не тестировался")+COUNTIF(L16:T23,"Блокирован")+COUNTIF(L16:T23,"Не реализован")</f>
        <v>24</v>
      </c>
      <c r="C16" s="69"/>
      <c r="D16" s="145"/>
      <c r="E16" s="89" t="s">
        <v>173</v>
      </c>
      <c r="F16" s="225" t="s">
        <v>174</v>
      </c>
      <c r="G16" s="77">
        <v>5</v>
      </c>
      <c r="H16" s="78">
        <f t="shared" si="2"/>
        <v>45</v>
      </c>
      <c r="I16" s="78">
        <f t="shared" si="4"/>
        <v>20</v>
      </c>
      <c r="J16" s="79">
        <f t="shared" si="3"/>
        <v>20</v>
      </c>
      <c r="K16" s="147">
        <v>1</v>
      </c>
      <c r="L16" s="148" t="s">
        <v>35</v>
      </c>
      <c r="M16" s="148" t="s">
        <v>35</v>
      </c>
      <c r="N16" s="148" t="s">
        <v>35</v>
      </c>
      <c r="O16" s="148" t="s">
        <v>83</v>
      </c>
      <c r="P16" s="148" t="s">
        <v>83</v>
      </c>
      <c r="Q16" s="148" t="s">
        <v>83</v>
      </c>
      <c r="R16" s="148" t="s">
        <v>35</v>
      </c>
      <c r="S16" s="148" t="s">
        <v>83</v>
      </c>
      <c r="T16" s="148" t="s">
        <v>83</v>
      </c>
      <c r="U16" s="68"/>
      <c r="V16" s="149" t="s">
        <v>118</v>
      </c>
      <c r="W16" s="150"/>
      <c r="X16" s="151"/>
      <c r="Y16" s="69"/>
    </row>
    <row r="17" spans="1:25" ht="114" customHeight="1">
      <c r="A17" s="51"/>
      <c r="B17" s="75">
        <f>COUNTIF(L17:T23,"Не тестировался")+COUNTIF(L17:T23,"Блокирован")+COUNTIF(L17:T23,"Не реализован")</f>
        <v>20</v>
      </c>
      <c r="C17" s="69"/>
      <c r="D17" s="153"/>
      <c r="E17" s="154" t="s">
        <v>120</v>
      </c>
      <c r="F17" s="155" t="s">
        <v>121</v>
      </c>
      <c r="G17" s="156">
        <v>10</v>
      </c>
      <c r="H17" s="157">
        <f t="shared" si="2"/>
        <v>90</v>
      </c>
      <c r="I17" s="157">
        <f t="shared" si="4"/>
        <v>10</v>
      </c>
      <c r="J17" s="158">
        <f t="shared" si="3"/>
        <v>10</v>
      </c>
      <c r="K17" s="159">
        <v>1</v>
      </c>
      <c r="L17" s="160" t="s">
        <v>35</v>
      </c>
      <c r="M17" s="161" t="s">
        <v>83</v>
      </c>
      <c r="N17" s="160" t="s">
        <v>83</v>
      </c>
      <c r="O17" s="162" t="s">
        <v>83</v>
      </c>
      <c r="P17" s="162" t="s">
        <v>83</v>
      </c>
      <c r="Q17" s="162" t="s">
        <v>83</v>
      </c>
      <c r="R17" s="160" t="s">
        <v>83</v>
      </c>
      <c r="S17" s="162" t="s">
        <v>83</v>
      </c>
      <c r="T17" s="162" t="s">
        <v>83</v>
      </c>
      <c r="U17" s="163"/>
      <c r="V17" s="164" t="s">
        <v>118</v>
      </c>
      <c r="W17" s="165"/>
      <c r="X17" s="166"/>
      <c r="Y17" s="69"/>
    </row>
    <row r="18" spans="1:25" ht="13.2">
      <c r="A18" s="211"/>
      <c r="B18" s="198"/>
      <c r="C18" s="69"/>
      <c r="D18" s="145"/>
      <c r="E18" s="216" t="s">
        <v>122</v>
      </c>
      <c r="F18" s="203"/>
      <c r="G18" s="138"/>
      <c r="H18" s="139"/>
      <c r="I18" s="140"/>
      <c r="J18" s="140"/>
      <c r="K18" s="141"/>
      <c r="L18" s="142"/>
      <c r="M18" s="142"/>
      <c r="N18" s="140"/>
      <c r="O18" s="142"/>
      <c r="P18" s="140"/>
      <c r="Q18" s="142"/>
      <c r="R18" s="140"/>
      <c r="S18" s="142"/>
      <c r="T18" s="143"/>
      <c r="U18" s="144"/>
      <c r="V18" s="140"/>
      <c r="W18" s="140"/>
      <c r="X18" s="140"/>
      <c r="Y18" s="69"/>
    </row>
    <row r="19" spans="1:25" ht="39" customHeight="1">
      <c r="A19" s="136"/>
      <c r="B19" s="167"/>
      <c r="C19" s="69"/>
      <c r="D19" s="145"/>
      <c r="E19" s="217" t="s">
        <v>123</v>
      </c>
      <c r="F19" s="168" t="s">
        <v>124</v>
      </c>
      <c r="G19" s="77">
        <v>10</v>
      </c>
      <c r="H19" s="78">
        <f t="shared" ref="H19:H22" si="5">COUNTA(L19:T19)*G19</f>
        <v>90</v>
      </c>
      <c r="I19" s="78">
        <f t="shared" ref="I19:I22" si="6">(COUNTA(L19:T19)-COUNTIF(L19:T19,"Оптимизация"))*G19</f>
        <v>50</v>
      </c>
      <c r="J19" s="79">
        <f t="shared" ref="J19:J22" si="7">(COUNTIF(L19:T19,"Не тестировался")+COUNTIF(L19:T19,"Блокирован")+COUNTIF(L19:T19,"Не реализован"))*G19</f>
        <v>50</v>
      </c>
      <c r="K19" s="147">
        <v>1</v>
      </c>
      <c r="L19" s="148" t="s">
        <v>35</v>
      </c>
      <c r="M19" s="148" t="s">
        <v>35</v>
      </c>
      <c r="N19" s="148" t="s">
        <v>35</v>
      </c>
      <c r="O19" s="148" t="s">
        <v>83</v>
      </c>
      <c r="P19" s="148" t="s">
        <v>35</v>
      </c>
      <c r="Q19" s="148" t="s">
        <v>83</v>
      </c>
      <c r="R19" s="148" t="s">
        <v>35</v>
      </c>
      <c r="S19" s="148" t="s">
        <v>83</v>
      </c>
      <c r="T19" s="148" t="s">
        <v>83</v>
      </c>
      <c r="U19" s="68"/>
      <c r="V19" s="169">
        <v>44562</v>
      </c>
      <c r="W19" s="150"/>
      <c r="X19" s="151"/>
      <c r="Y19" s="69"/>
    </row>
    <row r="20" spans="1:25" ht="44.25" customHeight="1">
      <c r="A20" s="136"/>
      <c r="B20" s="167"/>
      <c r="C20" s="69"/>
      <c r="D20" s="145"/>
      <c r="E20" s="182"/>
      <c r="F20" s="89" t="s">
        <v>125</v>
      </c>
      <c r="G20" s="77">
        <v>10</v>
      </c>
      <c r="H20" s="78">
        <f t="shared" si="5"/>
        <v>90</v>
      </c>
      <c r="I20" s="78">
        <f t="shared" si="6"/>
        <v>50</v>
      </c>
      <c r="J20" s="79">
        <f t="shared" si="7"/>
        <v>50</v>
      </c>
      <c r="K20" s="147">
        <v>1</v>
      </c>
      <c r="L20" s="148" t="s">
        <v>35</v>
      </c>
      <c r="M20" s="148" t="s">
        <v>35</v>
      </c>
      <c r="N20" s="148" t="s">
        <v>35</v>
      </c>
      <c r="O20" s="148" t="s">
        <v>83</v>
      </c>
      <c r="P20" s="148" t="s">
        <v>35</v>
      </c>
      <c r="Q20" s="148" t="s">
        <v>83</v>
      </c>
      <c r="R20" s="148" t="s">
        <v>35</v>
      </c>
      <c r="S20" s="148" t="s">
        <v>83</v>
      </c>
      <c r="T20" s="148" t="s">
        <v>83</v>
      </c>
      <c r="U20" s="68"/>
      <c r="V20" s="169">
        <v>44562</v>
      </c>
      <c r="W20" s="150"/>
      <c r="X20" s="151"/>
      <c r="Y20" s="69"/>
    </row>
    <row r="21" spans="1:25" ht="63.75" customHeight="1">
      <c r="A21" s="51"/>
      <c r="B21" s="170">
        <f t="shared" ref="B21:B22" si="8">COUNTIF(L21:T26,"Не тестировался")+COUNTIF(L21:T26,"Блокирован")+COUNTIF(L21:T26,"Не реализован")</f>
        <v>9</v>
      </c>
      <c r="C21" s="69"/>
      <c r="D21" s="153"/>
      <c r="E21" s="154" t="s">
        <v>126</v>
      </c>
      <c r="F21" s="171" t="s">
        <v>127</v>
      </c>
      <c r="G21" s="157">
        <v>5</v>
      </c>
      <c r="H21" s="157">
        <f t="shared" si="5"/>
        <v>45</v>
      </c>
      <c r="I21" s="157">
        <f t="shared" si="6"/>
        <v>25</v>
      </c>
      <c r="J21" s="158">
        <f t="shared" si="7"/>
        <v>25</v>
      </c>
      <c r="K21" s="159">
        <v>1</v>
      </c>
      <c r="L21" s="172" t="s">
        <v>35</v>
      </c>
      <c r="M21" s="161" t="s">
        <v>35</v>
      </c>
      <c r="N21" s="172" t="s">
        <v>35</v>
      </c>
      <c r="O21" s="162" t="s">
        <v>83</v>
      </c>
      <c r="P21" s="172" t="s">
        <v>35</v>
      </c>
      <c r="Q21" s="162" t="s">
        <v>83</v>
      </c>
      <c r="R21" s="172" t="s">
        <v>35</v>
      </c>
      <c r="S21" s="162" t="s">
        <v>83</v>
      </c>
      <c r="T21" s="162" t="s">
        <v>83</v>
      </c>
      <c r="U21" s="163"/>
      <c r="V21" s="173" t="s">
        <v>118</v>
      </c>
      <c r="W21" s="165"/>
      <c r="X21" s="166"/>
      <c r="Y21" s="69"/>
    </row>
    <row r="22" spans="1:25" ht="63.75" customHeight="1">
      <c r="A22" s="51"/>
      <c r="B22" s="170">
        <f t="shared" si="8"/>
        <v>4</v>
      </c>
      <c r="C22" s="69"/>
      <c r="D22" s="153"/>
      <c r="E22" s="174" t="s">
        <v>120</v>
      </c>
      <c r="F22" s="155" t="s">
        <v>128</v>
      </c>
      <c r="G22" s="157">
        <v>10</v>
      </c>
      <c r="H22" s="157">
        <f t="shared" si="5"/>
        <v>90</v>
      </c>
      <c r="I22" s="157">
        <f t="shared" si="6"/>
        <v>40</v>
      </c>
      <c r="J22" s="158">
        <f t="shared" si="7"/>
        <v>40</v>
      </c>
      <c r="K22" s="159">
        <v>1</v>
      </c>
      <c r="L22" s="172" t="s">
        <v>35</v>
      </c>
      <c r="M22" s="161" t="s">
        <v>83</v>
      </c>
      <c r="N22" s="161" t="s">
        <v>35</v>
      </c>
      <c r="O22" s="162" t="s">
        <v>83</v>
      </c>
      <c r="P22" s="161" t="s">
        <v>35</v>
      </c>
      <c r="Q22" s="162" t="s">
        <v>83</v>
      </c>
      <c r="R22" s="161" t="s">
        <v>35</v>
      </c>
      <c r="S22" s="162" t="s">
        <v>83</v>
      </c>
      <c r="T22" s="162" t="s">
        <v>83</v>
      </c>
      <c r="U22" s="163"/>
      <c r="V22" s="173" t="s">
        <v>118</v>
      </c>
      <c r="W22" s="175"/>
      <c r="X22" s="166"/>
      <c r="Y22" s="69"/>
    </row>
    <row r="23" spans="1:25" ht="13.2">
      <c r="A23" s="211"/>
      <c r="B23" s="198"/>
      <c r="C23" s="69"/>
      <c r="D23" s="145"/>
      <c r="E23" s="212"/>
      <c r="F23" s="203"/>
      <c r="G23" s="138"/>
      <c r="H23" s="139"/>
      <c r="I23" s="140"/>
      <c r="J23" s="140"/>
      <c r="K23" s="141"/>
      <c r="L23" s="142"/>
      <c r="M23" s="142"/>
      <c r="N23" s="140"/>
      <c r="O23" s="142"/>
      <c r="P23" s="140"/>
      <c r="Q23" s="142"/>
      <c r="R23" s="140"/>
      <c r="S23" s="142"/>
      <c r="T23" s="143"/>
      <c r="U23" s="144"/>
      <c r="V23" s="140"/>
      <c r="W23" s="140"/>
      <c r="X23" s="140"/>
      <c r="Y23" s="69"/>
    </row>
  </sheetData>
  <mergeCells count="31">
    <mergeCell ref="A1:D1"/>
    <mergeCell ref="A2:D2"/>
    <mergeCell ref="A3:D3"/>
    <mergeCell ref="A4:D4"/>
    <mergeCell ref="A5:D5"/>
    <mergeCell ref="A6:D6"/>
    <mergeCell ref="A7:D7"/>
    <mergeCell ref="N8:O8"/>
    <mergeCell ref="P8:Q8"/>
    <mergeCell ref="R8:T8"/>
    <mergeCell ref="U8:U9"/>
    <mergeCell ref="V8:V9"/>
    <mergeCell ref="W8:W9"/>
    <mergeCell ref="X8:X9"/>
    <mergeCell ref="A8:B9"/>
    <mergeCell ref="C8:C9"/>
    <mergeCell ref="D8:D9"/>
    <mergeCell ref="E8:F8"/>
    <mergeCell ref="G8:J8"/>
    <mergeCell ref="K8:K9"/>
    <mergeCell ref="L8:M8"/>
    <mergeCell ref="A18:B18"/>
    <mergeCell ref="A23:B23"/>
    <mergeCell ref="E23:F23"/>
    <mergeCell ref="A10:F10"/>
    <mergeCell ref="B11:F11"/>
    <mergeCell ref="C12:M12"/>
    <mergeCell ref="E13:F13"/>
    <mergeCell ref="E14:E15"/>
    <mergeCell ref="E18:F18"/>
    <mergeCell ref="E19:E20"/>
  </mergeCells>
  <conditionalFormatting sqref="K1:K9">
    <cfRule type="cellIs" dxfId="19" priority="1" operator="equal">
      <formula>"smoke"</formula>
    </cfRule>
  </conditionalFormatting>
  <conditionalFormatting sqref="K1:K9">
    <cfRule type="cellIs" dxfId="18" priority="2" operator="equal">
      <formula>1</formula>
    </cfRule>
  </conditionalFormatting>
  <conditionalFormatting sqref="K1:K9">
    <cfRule type="cellIs" dxfId="17" priority="3" operator="equal">
      <formula>2</formula>
    </cfRule>
  </conditionalFormatting>
  <conditionalFormatting sqref="K1:K9">
    <cfRule type="cellIs" dxfId="16" priority="4" operator="equal">
      <formula>3</formula>
    </cfRule>
  </conditionalFormatting>
  <conditionalFormatting sqref="J10:M11 N10:T23 I11 G13:M23 U13:U14 V13:V23 W13:X14 U16:U19 W16:X19 U23 W23:X23">
    <cfRule type="cellIs" dxfId="15" priority="5" operator="equal">
      <formula>"Не тестировался"</formula>
    </cfRule>
  </conditionalFormatting>
  <conditionalFormatting sqref="L1:N10 O1:Q7 J10:K10 O10:T10 V10:X23">
    <cfRule type="cellIs" dxfId="14" priority="6" operator="equal">
      <formula>"Версия 1.1"</formula>
    </cfRule>
  </conditionalFormatting>
  <conditionalFormatting sqref="J10:T10 V10:X23">
    <cfRule type="cellIs" dxfId="13" priority="7" operator="equal">
      <formula>"Версия 1.1"</formula>
    </cfRule>
  </conditionalFormatting>
  <conditionalFormatting sqref="J10:M11 N10:T23 I11 G13:M23 U13:U14 V13:V23 W13:X14 U16:U19 W16:X19 U23 W23:X23">
    <cfRule type="cellIs" dxfId="12" priority="8" operator="equal">
      <formula>"Не реализован"</formula>
    </cfRule>
  </conditionalFormatting>
  <conditionalFormatting sqref="J10:M11 N10:T23 I11 G13:M23 U13:U14 V13:V23 W13:X14 U16:U19 W16:X19 U23 W23:X23">
    <cfRule type="cellIs" dxfId="11" priority="9" operator="equal">
      <formula>"Блокирован"</formula>
    </cfRule>
  </conditionalFormatting>
  <conditionalFormatting sqref="J10:M11 N10:T23 I11 G13:M23 U13:U14 V13:V23 W13:X14 U16:U19 W16:X19 U23 W23:X23">
    <cfRule type="cellIs" dxfId="10" priority="10" operator="equal">
      <formula>"Blocker"</formula>
    </cfRule>
  </conditionalFormatting>
  <conditionalFormatting sqref="J10:M11 N10:T23 I11 G13:M23 U13:U14 V13:V23 W13:X14 U16:U19 W16:X19 U23 W23:X23">
    <cfRule type="cellIs" dxfId="9" priority="11" operator="equal">
      <formula>"Critical"</formula>
    </cfRule>
  </conditionalFormatting>
  <conditionalFormatting sqref="J10:M11 N10:T23 I11 G13:M23 U13:U14 V13:V23 W13:X14 U16:U19 W16:X19 U23 W23:X23">
    <cfRule type="cellIs" dxfId="8" priority="12" operator="equal">
      <formula>"Major"</formula>
    </cfRule>
  </conditionalFormatting>
  <conditionalFormatting sqref="J10:M11 N10:T23 I11 G13:M23 U13:U14 V13:V23 W13:X14 U16:U19 W16:X19 U23 W23:X23">
    <cfRule type="cellIs" dxfId="7" priority="13" operator="equal">
      <formula>"Minor"</formula>
    </cfRule>
  </conditionalFormatting>
  <conditionalFormatting sqref="J10:M11 N10:T23 I11 G13:M23 U13:U14 V13:V23 W13:X14 U16:U19 W16:X19 U23 W23:X23">
    <cfRule type="cellIs" dxfId="6" priority="14" operator="equal">
      <formula>"Trivial"</formula>
    </cfRule>
  </conditionalFormatting>
  <conditionalFormatting sqref="J10:M11 N10:T23 I11 G13:M23 U13:U14 V13:V23 W13:X14 U16:U19 W16:X19 U23 W23:X23">
    <cfRule type="cellIs" dxfId="5" priority="15" operator="equal">
      <formula>"OK"</formula>
    </cfRule>
  </conditionalFormatting>
  <conditionalFormatting sqref="I10:I11 K13:K23">
    <cfRule type="containsText" dxfId="4" priority="16" operator="containsText" text="1">
      <formula>NOT(ISERROR(SEARCH(("1"),(I10))))</formula>
    </cfRule>
  </conditionalFormatting>
  <conditionalFormatting sqref="I10:I11 K13:K23">
    <cfRule type="containsText" dxfId="3" priority="17" operator="containsText" text="2">
      <formula>NOT(ISERROR(SEARCH(("2"),(I10))))</formula>
    </cfRule>
  </conditionalFormatting>
  <conditionalFormatting sqref="I10:I11 K13:K23">
    <cfRule type="containsText" dxfId="2" priority="18" operator="containsText" text="3">
      <formula>NOT(ISERROR(SEARCH(("3"),(I10))))</formula>
    </cfRule>
  </conditionalFormatting>
  <conditionalFormatting sqref="L13:T23">
    <cfRule type="containsText" dxfId="1" priority="19" operator="containsText" text="Оптимизация">
      <formula>NOT(ISERROR(SEARCH(("Оптимизация"),(L13))))</formula>
    </cfRule>
  </conditionalFormatting>
  <conditionalFormatting sqref="I1:J7 I9:I11 J9 K13:K23">
    <cfRule type="containsText" dxfId="0" priority="20" operator="containsText" text="smoke">
      <formula>NOT(ISERROR(SEARCH(("smoke"),(I1))))</formula>
    </cfRule>
  </conditionalFormatting>
  <dataValidations count="3">
    <dataValidation type="list" allowBlank="1" sqref="W14:W17 W19:W22" xr:uid="{00000000-0002-0000-0200-000000000000}">
      <formula1>"Да,Нет,Частично"</formula1>
    </dataValidation>
    <dataValidation type="list" allowBlank="1" sqref="K14:K17 K19:K22" xr:uid="{00000000-0002-0000-0200-000001000000}">
      <formula1>"smoke,1,2,3"</formula1>
    </dataValidation>
    <dataValidation type="list" allowBlank="1" showErrorMessage="1" sqref="L14:T17 L19:T22" xr:uid="{00000000-0002-0000-0200-000002000000}">
      <formula1>"OK,Trivial,Minor,Major,Critical,Blocker,Не реализован,Не тестировался,Блокирован,Оптимизация"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C33"/>
  <sheetViews>
    <sheetView topLeftCell="A10" workbookViewId="0">
      <selection activeCell="B21" sqref="B21"/>
    </sheetView>
  </sheetViews>
  <sheetFormatPr defaultColWidth="14.44140625" defaultRowHeight="15.75" customHeight="1"/>
  <cols>
    <col min="1" max="1" width="4.109375" customWidth="1"/>
    <col min="2" max="2" width="57.109375" customWidth="1"/>
    <col min="3" max="3" width="90.6640625" customWidth="1"/>
    <col min="4" max="5" width="4.6640625" customWidth="1"/>
  </cols>
  <sheetData>
    <row r="1" spans="2:3">
      <c r="B1" s="176"/>
      <c r="C1" s="176"/>
    </row>
    <row r="2" spans="2:3">
      <c r="B2" s="184" t="s">
        <v>129</v>
      </c>
      <c r="C2" s="191"/>
    </row>
    <row r="4" spans="2:3">
      <c r="B4" s="177" t="s">
        <v>130</v>
      </c>
      <c r="C4" s="177" t="s">
        <v>131</v>
      </c>
    </row>
    <row r="5" spans="2:3">
      <c r="B5" s="177" t="s">
        <v>132</v>
      </c>
      <c r="C5" s="177" t="s">
        <v>133</v>
      </c>
    </row>
    <row r="6" spans="2:3">
      <c r="B6" s="177" t="s">
        <v>134</v>
      </c>
      <c r="C6" s="177" t="s">
        <v>135</v>
      </c>
    </row>
    <row r="7" spans="2:3">
      <c r="B7" s="177" t="s">
        <v>136</v>
      </c>
      <c r="C7" s="177" t="s">
        <v>137</v>
      </c>
    </row>
    <row r="8" spans="2:3">
      <c r="B8" s="178" t="s">
        <v>138</v>
      </c>
      <c r="C8" s="178" t="s">
        <v>139</v>
      </c>
    </row>
    <row r="9" spans="2:3">
      <c r="B9" s="177" t="s">
        <v>140</v>
      </c>
      <c r="C9" s="177" t="s">
        <v>141</v>
      </c>
    </row>
    <row r="10" spans="2:3">
      <c r="B10" s="177" t="s">
        <v>142</v>
      </c>
      <c r="C10" s="177" t="s">
        <v>143</v>
      </c>
    </row>
    <row r="11" spans="2:3">
      <c r="B11" s="177" t="s">
        <v>144</v>
      </c>
      <c r="C11" s="177" t="s">
        <v>145</v>
      </c>
    </row>
    <row r="12" spans="2:3">
      <c r="B12" s="177" t="s">
        <v>146</v>
      </c>
      <c r="C12" s="41" t="s">
        <v>147</v>
      </c>
    </row>
    <row r="13" spans="2:3">
      <c r="B13" s="177" t="s">
        <v>148</v>
      </c>
      <c r="C13" s="41" t="s">
        <v>149</v>
      </c>
    </row>
    <row r="14" spans="2:3">
      <c r="B14" s="177" t="s">
        <v>150</v>
      </c>
      <c r="C14" s="41" t="s">
        <v>151</v>
      </c>
    </row>
    <row r="15" spans="2:3">
      <c r="B15" s="177" t="s">
        <v>152</v>
      </c>
      <c r="C15" s="41" t="s">
        <v>153</v>
      </c>
    </row>
    <row r="16" spans="2:3">
      <c r="B16" s="177" t="s">
        <v>154</v>
      </c>
      <c r="C16" s="177" t="s">
        <v>155</v>
      </c>
    </row>
    <row r="17" spans="2:3">
      <c r="B17" s="177" t="s">
        <v>156</v>
      </c>
      <c r="C17" s="177" t="s">
        <v>157</v>
      </c>
    </row>
    <row r="18" spans="2:3">
      <c r="B18" s="177" t="s">
        <v>158</v>
      </c>
      <c r="C18" s="177" t="s">
        <v>159</v>
      </c>
    </row>
    <row r="19" spans="2:3">
      <c r="B19" s="223" t="s">
        <v>160</v>
      </c>
      <c r="C19" s="177" t="s">
        <v>161</v>
      </c>
    </row>
    <row r="20" spans="2:3">
      <c r="B20" s="182"/>
      <c r="C20" s="177" t="s">
        <v>162</v>
      </c>
    </row>
    <row r="21" spans="2:3">
      <c r="B21" s="177" t="s">
        <v>163</v>
      </c>
      <c r="C21" s="177" t="s">
        <v>164</v>
      </c>
    </row>
    <row r="22" spans="2:3">
      <c r="B22" s="177" t="s">
        <v>165</v>
      </c>
      <c r="C22" s="177" t="s">
        <v>166</v>
      </c>
    </row>
    <row r="23" spans="2:3">
      <c r="B23" s="42"/>
      <c r="C23" s="42"/>
    </row>
    <row r="24" spans="2:3">
      <c r="B24" s="42"/>
      <c r="C24" s="42"/>
    </row>
    <row r="25" spans="2:3">
      <c r="B25" s="42"/>
      <c r="C25" s="42"/>
    </row>
    <row r="26" spans="2:3">
      <c r="B26" s="42"/>
      <c r="C26" s="42"/>
    </row>
    <row r="27" spans="2:3">
      <c r="B27" s="42"/>
      <c r="C27" s="42"/>
    </row>
    <row r="28" spans="2:3">
      <c r="B28" s="42"/>
      <c r="C28" s="42"/>
    </row>
    <row r="29" spans="2:3">
      <c r="B29" s="42"/>
      <c r="C29" s="42"/>
    </row>
    <row r="30" spans="2:3">
      <c r="B30" s="42"/>
      <c r="C30" s="42"/>
    </row>
    <row r="31" spans="2:3">
      <c r="B31" s="42"/>
      <c r="C31" s="42"/>
    </row>
    <row r="32" spans="2:3">
      <c r="B32" s="42"/>
      <c r="C32" s="42"/>
    </row>
    <row r="33" spans="2:3">
      <c r="B33" s="42"/>
      <c r="C33" s="42"/>
    </row>
  </sheetData>
  <mergeCells count="2">
    <mergeCell ref="B2:C2"/>
    <mergeCell ref="B19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Описание</vt:lpstr>
      <vt:lpstr>ЭФ закупки</vt:lpstr>
      <vt:lpstr>АК</vt:lpstr>
      <vt:lpstr>Вспомогательная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Слюсарев</cp:lastModifiedBy>
  <dcterms:modified xsi:type="dcterms:W3CDTF">2023-05-25T20:32:11Z</dcterms:modified>
</cp:coreProperties>
</file>