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lysa\Downloads\Work\ТД по доработкам\"/>
    </mc:Choice>
  </mc:AlternateContent>
  <xr:revisionPtr revIDLastSave="0" documentId="13_ncr:1_{256F0367-9106-4C07-9DBF-9C43BCEB6E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Описание" sheetId="1" r:id="rId1"/>
    <sheet name="ЭФ ДО" sheetId="2" r:id="rId2"/>
    <sheet name="АК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2" i="3" l="1"/>
  <c r="I42" i="3"/>
  <c r="H42" i="3"/>
  <c r="J41" i="3"/>
  <c r="I41" i="3"/>
  <c r="H41" i="3"/>
  <c r="J40" i="3"/>
  <c r="I40" i="3"/>
  <c r="H40" i="3"/>
  <c r="J39" i="3"/>
  <c r="I39" i="3"/>
  <c r="H39" i="3"/>
  <c r="J37" i="3"/>
  <c r="I37" i="3"/>
  <c r="H37" i="3"/>
  <c r="J36" i="3"/>
  <c r="I36" i="3"/>
  <c r="H36" i="3"/>
  <c r="J35" i="3"/>
  <c r="I35" i="3"/>
  <c r="H35" i="3"/>
  <c r="J34" i="3"/>
  <c r="I34" i="3"/>
  <c r="H34" i="3"/>
  <c r="J32" i="3"/>
  <c r="I32" i="3"/>
  <c r="H32" i="3"/>
  <c r="J31" i="3"/>
  <c r="I31" i="3"/>
  <c r="H31" i="3"/>
  <c r="J30" i="3"/>
  <c r="I30" i="3"/>
  <c r="H30" i="3"/>
  <c r="J29" i="3"/>
  <c r="I29" i="3"/>
  <c r="H29" i="3"/>
  <c r="J27" i="3"/>
  <c r="I27" i="3"/>
  <c r="H27" i="3"/>
  <c r="J26" i="3"/>
  <c r="I26" i="3"/>
  <c r="H26" i="3"/>
  <c r="J25" i="3"/>
  <c r="I25" i="3"/>
  <c r="H25" i="3"/>
  <c r="J24" i="3"/>
  <c r="I24" i="3"/>
  <c r="H24" i="3"/>
  <c r="J22" i="3"/>
  <c r="I22" i="3"/>
  <c r="H22" i="3"/>
  <c r="J21" i="3"/>
  <c r="I21" i="3"/>
  <c r="H21" i="3"/>
  <c r="J20" i="3"/>
  <c r="I20" i="3"/>
  <c r="H20" i="3"/>
  <c r="J19" i="3"/>
  <c r="I19" i="3"/>
  <c r="H19" i="3"/>
  <c r="J17" i="3"/>
  <c r="I17" i="3"/>
  <c r="H17" i="3"/>
  <c r="J16" i="3"/>
  <c r="I16" i="3"/>
  <c r="H16" i="3"/>
  <c r="J15" i="3"/>
  <c r="I15" i="3"/>
  <c r="H15" i="3"/>
  <c r="J14" i="3"/>
  <c r="I14" i="3"/>
  <c r="H14" i="3"/>
  <c r="B14" i="3"/>
  <c r="B13" i="3"/>
  <c r="P6" i="3"/>
  <c r="P5" i="3"/>
  <c r="N5" i="3"/>
  <c r="F15" i="1" s="1"/>
  <c r="P4" i="3"/>
  <c r="N4" i="3"/>
  <c r="P3" i="3"/>
  <c r="N3" i="3"/>
  <c r="P2" i="3"/>
  <c r="N2" i="3"/>
  <c r="E2" i="3"/>
  <c r="E5" i="3" s="1"/>
  <c r="J32" i="2"/>
  <c r="I32" i="2"/>
  <c r="H32" i="2"/>
  <c r="J31" i="2"/>
  <c r="I31" i="2"/>
  <c r="H31" i="2"/>
  <c r="J29" i="2"/>
  <c r="I29" i="2"/>
  <c r="H29" i="2"/>
  <c r="J28" i="2"/>
  <c r="I28" i="2"/>
  <c r="H28" i="2"/>
  <c r="J27" i="2"/>
  <c r="I27" i="2"/>
  <c r="H27" i="2"/>
  <c r="J26" i="2"/>
  <c r="I26" i="2"/>
  <c r="H26" i="2"/>
  <c r="J25" i="2"/>
  <c r="I25" i="2"/>
  <c r="H25" i="2"/>
  <c r="J24" i="2"/>
  <c r="I24" i="2"/>
  <c r="H24" i="2"/>
  <c r="J22" i="2"/>
  <c r="I22" i="2"/>
  <c r="H22" i="2"/>
  <c r="J21" i="2"/>
  <c r="I21" i="2"/>
  <c r="H21" i="2"/>
  <c r="J20" i="2"/>
  <c r="I20" i="2"/>
  <c r="H20" i="2"/>
  <c r="J19" i="2"/>
  <c r="I19" i="2"/>
  <c r="H19" i="2"/>
  <c r="J18" i="2"/>
  <c r="I18" i="2"/>
  <c r="H18" i="2"/>
  <c r="J17" i="2"/>
  <c r="I17" i="2"/>
  <c r="H17" i="2"/>
  <c r="J16" i="2"/>
  <c r="I16" i="2"/>
  <c r="H16" i="2"/>
  <c r="J15" i="2"/>
  <c r="I15" i="2"/>
  <c r="H15" i="2"/>
  <c r="J14" i="2"/>
  <c r="I14" i="2"/>
  <c r="H14" i="2"/>
  <c r="J13" i="2"/>
  <c r="I13" i="2"/>
  <c r="H13" i="2"/>
  <c r="B13" i="2"/>
  <c r="B12" i="2"/>
  <c r="P6" i="2"/>
  <c r="P5" i="2"/>
  <c r="N5" i="2"/>
  <c r="P4" i="2"/>
  <c r="N4" i="2"/>
  <c r="P3" i="2"/>
  <c r="N3" i="2"/>
  <c r="P2" i="2"/>
  <c r="N2" i="2"/>
  <c r="F2" i="2"/>
  <c r="F8" i="1" l="1"/>
  <c r="F14" i="1"/>
  <c r="F3" i="3"/>
  <c r="F4" i="1"/>
  <c r="F2" i="3"/>
  <c r="F13" i="1"/>
  <c r="F5" i="1"/>
  <c r="F7" i="1"/>
  <c r="F6" i="1"/>
  <c r="N6" i="3"/>
  <c r="E3" i="3" s="1"/>
  <c r="E4" i="3" s="1"/>
  <c r="F12" i="1"/>
  <c r="B15" i="3"/>
  <c r="B12" i="3" s="1"/>
  <c r="E2" i="2"/>
  <c r="E5" i="2" s="1"/>
  <c r="F32" i="1" s="1"/>
  <c r="F3" i="2"/>
  <c r="F4" i="2" s="1"/>
  <c r="N6" i="2"/>
  <c r="B14" i="2"/>
  <c r="B11" i="2" s="1"/>
  <c r="F4" i="3" l="1"/>
  <c r="F21" i="1" s="1"/>
  <c r="F23" i="1" s="1"/>
  <c r="F25" i="1" s="1"/>
  <c r="F16" i="1"/>
  <c r="F26" i="1" s="1"/>
  <c r="N7" i="3"/>
  <c r="E3" i="2"/>
  <c r="E4" i="2" s="1"/>
  <c r="F20" i="1" s="1"/>
  <c r="F22" i="1" s="1"/>
  <c r="F24" i="1" s="1"/>
  <c r="N7" i="2"/>
  <c r="F29" i="1" l="1"/>
  <c r="F30" i="1" s="1"/>
  <c r="F33" i="1"/>
</calcChain>
</file>

<file path=xl/sharedStrings.xml><?xml version="1.0" encoding="utf-8"?>
<sst xmlns="http://schemas.openxmlformats.org/spreadsheetml/2006/main" count="338" uniqueCount="149">
  <si>
    <t>Краткое описание</t>
  </si>
  <si>
    <t>Кейсов с резолюцией "баг" по ТД</t>
  </si>
  <si>
    <t>Тип документа</t>
  </si>
  <si>
    <t>Чек-лист</t>
  </si>
  <si>
    <t>Blocker</t>
  </si>
  <si>
    <t>Проект</t>
  </si>
  <si>
    <t>Critical</t>
  </si>
  <si>
    <t>Ссылки на спецификации</t>
  </si>
  <si>
    <t>Major</t>
  </si>
  <si>
    <t>Minor</t>
  </si>
  <si>
    <t>Trivial</t>
  </si>
  <si>
    <t>Сводная статистика по тестированию</t>
  </si>
  <si>
    <t>Автор спецификаций</t>
  </si>
  <si>
    <t>Версия чек-листа</t>
  </si>
  <si>
    <t>1 (базовый)</t>
  </si>
  <si>
    <t>Пройдено успешно</t>
  </si>
  <si>
    <t>Автор чек-листа</t>
  </si>
  <si>
    <t>Слюсарев Никита</t>
  </si>
  <si>
    <t>Не тестировалось</t>
  </si>
  <si>
    <t>Дата</t>
  </si>
  <si>
    <t>Не реализовано</t>
  </si>
  <si>
    <t>Область применения</t>
  </si>
  <si>
    <t>Блокировано</t>
  </si>
  <si>
    <t>Σ проверок</t>
  </si>
  <si>
    <t>Используемые обозначения</t>
  </si>
  <si>
    <t>Расчёт оценки на тестирование ВСЕЙ доработки</t>
  </si>
  <si>
    <t xml:space="preserve">Приоритет 
(заполняется автором чек-листа)        </t>
  </si>
  <si>
    <t>1 - самый высокий, тесты этой группы обязательны к выполнению, относятся к основной части функционала</t>
  </si>
  <si>
    <r>
      <rPr>
        <sz val="10"/>
        <color theme="1"/>
        <rFont val="Arial"/>
      </rPr>
      <t xml:space="preserve">Расчётное время на тест, чч 
</t>
    </r>
    <r>
      <rPr>
        <sz val="10"/>
        <color rgb="FF999999"/>
        <rFont val="Arial"/>
      </rPr>
      <t>(проверки +дефекты + риски)</t>
    </r>
  </si>
  <si>
    <t>2 - средний, тестирование этой группы может быть выполнено после группы первого приоритета</t>
  </si>
  <si>
    <r>
      <rPr>
        <sz val="10"/>
        <color theme="1"/>
        <rFont val="Arial"/>
      </rPr>
      <t xml:space="preserve">Время на завершение теста, чч 
</t>
    </r>
    <r>
      <rPr>
        <sz val="10"/>
        <color rgb="FF999999"/>
        <rFont val="Arial"/>
      </rPr>
      <t>(проверки +дефекты + риски)</t>
    </r>
  </si>
  <si>
    <t>3 - низкий, неприоритетные проверки, тестирование данной группы выполняется в последнюю очередь</t>
  </si>
  <si>
    <t>Расчётное время на отчёты, чч</t>
  </si>
  <si>
    <t>Время на отчёты по остатку проверок, чч</t>
  </si>
  <si>
    <t>Результат 
(заполняется тестировщиком при проведении теста)</t>
  </si>
  <si>
    <t>Не тестировался</t>
  </si>
  <si>
    <t>Итого на тест доработки, чч</t>
  </si>
  <si>
    <t>Не реализован</t>
  </si>
  <si>
    <t>Итого осталось, чч</t>
  </si>
  <si>
    <t>Блокирован</t>
  </si>
  <si>
    <t>Пройдено проверок, %</t>
  </si>
  <si>
    <t>Потрачено времени на подготовку, чч</t>
  </si>
  <si>
    <t>Итого на работы тестирования</t>
  </si>
  <si>
    <t>Выполнено работ тестирования с учётом подготовки, %</t>
  </si>
  <si>
    <t>OK</t>
  </si>
  <si>
    <t>Оптимизировано, чч</t>
  </si>
  <si>
    <t>Оптимизация - при указании этого результата кейс не учитывается при оценке</t>
  </si>
  <si>
    <t>Общая оценка на тест с оптимизацией</t>
  </si>
  <si>
    <t>Оценка на тест</t>
  </si>
  <si>
    <t>Всего (изначальная оценка)</t>
  </si>
  <si>
    <t>Осталось (с учётом прохождения)</t>
  </si>
  <si>
    <t>Сводная статистика</t>
  </si>
  <si>
    <t>Провалено кейсов (баг):</t>
  </si>
  <si>
    <t>Время на тест, минут:</t>
  </si>
  <si>
    <t>Время на дефекты, мин:</t>
  </si>
  <si>
    <t>Итого, часов (с рисками):</t>
  </si>
  <si>
    <t>Оптимизировано</t>
  </si>
  <si>
    <t>Пройдено, %</t>
  </si>
  <si>
    <t>№</t>
  </si>
  <si>
    <t>Выполняемые проверки</t>
  </si>
  <si>
    <t>Время 
выполн., мин</t>
  </si>
  <si>
    <t>Приоритет</t>
  </si>
  <si>
    <t>Выполнено:</t>
  </si>
  <si>
    <t>ID бага / Комментарии QA</t>
  </si>
  <si>
    <t>Версия спеки</t>
  </si>
  <si>
    <r>
      <rPr>
        <b/>
        <sz val="9"/>
        <color rgb="FF000000"/>
        <rFont val="Arial"/>
      </rPr>
      <t xml:space="preserve">Реализовано
</t>
    </r>
    <r>
      <rPr>
        <sz val="9"/>
        <color rgb="FF000000"/>
        <rFont val="Arial"/>
      </rPr>
      <t>(заполняет разработка)</t>
    </r>
  </si>
  <si>
    <r>
      <rPr>
        <b/>
        <sz val="9"/>
        <color rgb="FF000000"/>
        <rFont val="Arial"/>
      </rPr>
      <t xml:space="preserve">Комментарий
</t>
    </r>
    <r>
      <rPr>
        <sz val="9"/>
        <color rgb="FF000000"/>
        <rFont val="Arial"/>
      </rPr>
      <t>(заполняет разработка)</t>
    </r>
  </si>
  <si>
    <t>Действия</t>
  </si>
  <si>
    <t>Результат</t>
  </si>
  <si>
    <t>На одну проверку</t>
  </si>
  <si>
    <t>общее</t>
  </si>
  <si>
    <t>Оптимизированное</t>
  </si>
  <si>
    <t>осталось</t>
  </si>
  <si>
    <r>
      <rPr>
        <b/>
        <u/>
        <sz val="10"/>
        <color rgb="FF6D9EEB"/>
        <rFont val="Arial"/>
      </rPr>
      <t>Спецификации FCSNF-14915 ДО: доработки аннулирования</t>
    </r>
    <r>
      <rPr>
        <b/>
        <u/>
        <sz val="10"/>
        <color rgb="FF6D9EEB"/>
        <rFont val="Arial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</t>
    </r>
  </si>
  <si>
    <t>3.  ТРЕБОВАНИЯ К ДОРАБОТКЕ ФУНКЦИЙ ПОДСИСТЕМЫ ДО</t>
  </si>
  <si>
    <t>3.1.        Требования к доработке функции «Аннулировать ДО»</t>
  </si>
  <si>
    <t>Авторизоваться на стенде, инициировать создание, отправку и постановку на учет проекта ДО</t>
  </si>
  <si>
    <t>smoke</t>
  </si>
  <si>
    <t>Проверка возможности аннулирования ДО с установленным признаком платежа, требующего подтверждения.  По сведениям о ДО нет связанных ЗКР на оплату в статусах отличных от «Отказан» или «Аннулирован»</t>
  </si>
  <si>
    <t>Успешное аннулирование сведений о ДО</t>
  </si>
  <si>
    <t>Проверить дополнительные условия</t>
  </si>
  <si>
    <t>1.0</t>
  </si>
  <si>
    <t>да</t>
  </si>
  <si>
    <t>По сведениям о ДО есть связанные ЗКР на оплату в статусах отличных от «Отказан» или «Аннулирован» И есть уведомления о возврате оплаты.</t>
  </si>
  <si>
    <t>Общие функциональные элементы</t>
  </si>
  <si>
    <t>Проверка доступности прикрепления файлов в блоке Документы с УСТАЛОВЛЕННЫМ признаком платежа требующего подтверждения</t>
  </si>
  <si>
    <t>Скачать</t>
  </si>
  <si>
    <t>Удалить</t>
  </si>
  <si>
    <t>Подписать</t>
  </si>
  <si>
    <t>Проверка доступности прикрепления файлов в блоке Документы с НЕ УСТАНОВЛЕННЫМ признаком платежа требующего подтверждения</t>
  </si>
  <si>
    <t>Оптимизация</t>
  </si>
  <si>
    <t>Для документов из предыдущей версии ДО, поставленной на учет без признака аннулирования и файлов по документу о приемке, прикрепленных к СВИК на основании которого сформировано ДО доступно только для скачивания</t>
  </si>
  <si>
    <t>Проверка доступности документов ТОЛЬКО для скачивания</t>
  </si>
  <si>
    <t xml:space="preserve">3.2. Требования к функции «Отменить аннулирование ДО»
</t>
  </si>
  <si>
    <t xml:space="preserve">Для сведений о ДО с УСТАНОВЛЕННЫМ признаком платежа, требующего подтверждения1:
•        установлен признак аннулирования, 
И
•        ДО находится на статусах «Поставлено на учет» или «Не поставлено на учет»
И
•        СГК находится на статусе «Исполнение»
И
•        в СГК не установлен признак «Контракт недействителен»
</t>
  </si>
  <si>
    <r>
      <rPr>
        <sz val="10"/>
        <color rgb="FF000000"/>
        <rFont val="Arial"/>
      </rPr>
      <t>Корректное отображение пункта меню "</t>
    </r>
    <r>
      <rPr>
        <b/>
        <sz val="10"/>
        <color rgb="FF000000"/>
        <rFont val="Arial"/>
      </rPr>
      <t>Отменить аннулирование ДО</t>
    </r>
    <r>
      <rPr>
        <sz val="10"/>
        <color rgb="FF000000"/>
        <rFont val="Arial"/>
      </rPr>
      <t>"</t>
    </r>
  </si>
  <si>
    <t xml:space="preserve">Для сведений о ДО с НЕ УСТАНОВЛЕННЫМ признаком платежа, требующего подтверждения2
•        установлен признак аннулирования, 
И
•        ДО находится на статусах «Поставлено на учет» или «Не поставлено на учет»
И
•        СГК находится на статусе «Исполнение» или «Исполнение прекращено»
И
•        в СГК не установлен признак «Контракт недействителен»
И 
•        актуальная версия СВИК, на основании которого сформировано ДО, не отмечена как недействительная.
</t>
  </si>
  <si>
    <r>
      <rPr>
        <sz val="10"/>
        <color rgb="FF000000"/>
        <rFont val="Arial"/>
      </rPr>
      <t>Корректное отображение пункта меню "</t>
    </r>
    <r>
      <rPr>
        <b/>
        <sz val="10"/>
        <color rgb="FF000000"/>
        <rFont val="Arial"/>
      </rPr>
      <t>Отменить аннулирование ДО</t>
    </r>
    <r>
      <rPr>
        <sz val="10"/>
        <color rgb="FF000000"/>
        <rFont val="Arial"/>
      </rPr>
      <t>"</t>
    </r>
  </si>
  <si>
    <t>Аннулирование ДО</t>
  </si>
  <si>
    <t>Проверка формирования новой версии</t>
  </si>
  <si>
    <t>Проверка заполнения реквизитов на основании данных из последней версии ДО, поставленной на учет без признака аннулирования (с учетом изменений данных в документе основании).</t>
  </si>
  <si>
    <t>Редактирование и направление на учет ДО</t>
  </si>
  <si>
    <t>Редактирование и направление на учет данной версии ДО должно осуществляться по аналогии с функцией внесения изменений в сведения о ДО.</t>
  </si>
  <si>
    <t>Вненесение изменений в ДО с признаком аннулирования</t>
  </si>
  <si>
    <t>В случае внесения изменений в ДО с признаком аннулирования посредством вызова функции отмены аннулирования ДО, доступность и поведение блока должно соответствовать стандартной схеме формирования ДО. При этом при формировании ДО с признаком платежа, требующего подтверждения, не должны наследоваться файлы, которые были прикреплены к ДО на этапе аннулирования .</t>
  </si>
  <si>
    <t xml:space="preserve">
3.3. Требования к доработке функции «Изменить сведения о ДО»</t>
  </si>
  <si>
    <t>Для аннулированных сведений о ДО с установленным признаком платежа, требующего подтверждения – для версии в состоянии «Действующая редакция», в статусе «Поставлено на учет»;</t>
  </si>
  <si>
    <r>
      <rPr>
        <sz val="10"/>
        <color rgb="FF000000"/>
        <rFont val="Arial"/>
      </rPr>
      <t>Доступность действия "</t>
    </r>
    <r>
      <rPr>
        <b/>
        <sz val="10"/>
        <color rgb="FF000000"/>
        <rFont val="Arial"/>
      </rPr>
      <t>Изменить сведения о ДО</t>
    </r>
    <r>
      <rPr>
        <sz val="10"/>
        <color rgb="FF000000"/>
        <rFont val="Arial"/>
      </rPr>
      <t>"</t>
    </r>
  </si>
  <si>
    <t>Для аннулированных сведений о ДО БЕЗ УСТАНОВЛЕННОГО признака платежа требующего подтверждения - для версии в состоянии «Действующая редакция», в статусе «Поставлено на учет», И актуальная версия СВИК, на основании которого сформировано ДО, отмечена как недействительная.</t>
  </si>
  <si>
    <r>
      <rPr>
        <sz val="10"/>
        <color rgb="FF000000"/>
        <rFont val="Arial"/>
      </rPr>
      <t>Доступность действия "</t>
    </r>
    <r>
      <rPr>
        <b/>
        <sz val="10"/>
        <color rgb="FF000000"/>
        <rFont val="Arial"/>
      </rPr>
      <t>Изменить сведения о ДО</t>
    </r>
    <r>
      <rPr>
        <sz val="10"/>
        <color rgb="FF000000"/>
        <rFont val="Arial"/>
      </rPr>
      <t>"</t>
    </r>
  </si>
  <si>
    <r>
      <rPr>
        <b/>
        <sz val="9"/>
        <color rgb="FF000000"/>
        <rFont val="Arial"/>
      </rPr>
      <t xml:space="preserve">Реализовано
</t>
    </r>
    <r>
      <rPr>
        <sz val="9"/>
        <color rgb="FF000000"/>
        <rFont val="Arial"/>
      </rPr>
      <t>(заполняет разработка)</t>
    </r>
  </si>
  <si>
    <r>
      <rPr>
        <b/>
        <sz val="9"/>
        <color rgb="FF000000"/>
        <rFont val="Arial"/>
      </rPr>
      <t xml:space="preserve">Комментарий
</t>
    </r>
    <r>
      <rPr>
        <sz val="9"/>
        <color rgb="FF000000"/>
        <rFont val="Arial"/>
      </rPr>
      <t>(заполняет разработка)</t>
    </r>
  </si>
  <si>
    <t xml:space="preserve">
</t>
  </si>
  <si>
    <t>Спецификация ДО: доработки аннулирования</t>
  </si>
  <si>
    <t>3.4.	Требования к доработке автоматических контролей</t>
  </si>
  <si>
    <t xml:space="preserve">ДО_АК_14915_01
</t>
  </si>
  <si>
    <r>
      <rPr>
        <b/>
        <sz val="10"/>
        <color rgb="FF000000"/>
        <rFont val="Arial"/>
      </rPr>
      <t>Если в ДО НЕ установлен признак «Признак платежа требующего подтверждения» 2 
И 
установлен признак аннулирования ДО 
И 
в блоке прикрепления скан копии документов не добавлен новый файл, то контроль срабатывает</t>
    </r>
    <r>
      <rPr>
        <sz val="10"/>
        <color rgb="FF000000"/>
        <rFont val="Arial"/>
      </rPr>
      <t xml:space="preserve">.
</t>
    </r>
  </si>
  <si>
    <t>Проверить корректный вызов АК</t>
  </si>
  <si>
    <t>Да</t>
  </si>
  <si>
    <t>Проверить корректное отсутствие вызова АК</t>
  </si>
  <si>
    <t xml:space="preserve">                Сообщение контроля при обнаружении ошибки:</t>
  </si>
  <si>
    <t>При аннулировании сведений о денежном обязательстве необходимо приложить документ-основание для аннулирования</t>
  </si>
  <si>
    <t>Проверка уровня вызваннго ДО_АК_14915_01:</t>
  </si>
  <si>
    <t xml:space="preserve">ДО_АК_14915_02
</t>
  </si>
  <si>
    <r>
      <rPr>
        <b/>
        <sz val="10"/>
        <color rgb="FF000000"/>
        <rFont val="Arial"/>
      </rPr>
      <t>Если в ДО установлен признак «Признак платежа требующего подтверждения»1 
И 
установлен признак аннулирования ДО 
И 
у ДО есть связанные ЗКР на статусах отличных от Отказан или Аннулирован или Исполнен или «Отправлен в кредитную организацию»
 И 
у ДО нет связанных уведомлений о возврате оплаты</t>
    </r>
    <r>
      <rPr>
        <sz val="10"/>
        <color rgb="FF000000"/>
        <rFont val="Arial"/>
      </rPr>
      <t xml:space="preserve">
</t>
    </r>
  </si>
  <si>
    <t xml:space="preserve">По данному денежному обязательству существуют распоряжения о совершении казначейского платежа. 
Если требуется аннулировать денежное обязательство, то необходимо:
-	удалить распоряжения о совершении казначейского платежа № &lt;перечень ЗКР связанных с ДО на статусе Проект&gt; ;
-	отказать в подписании или направлении распоряжения о совершении казначейского платежа № &lt;перечень ЗКР на статусе Подписание или «Подписан, ожидает направления в ПУР»&gt;4;
-	сформировать запрос на отзыв по распоряжениям о совершении казначейского платежа № &lt;перечень ЗКР на статусах «Направлен в ПУР», Зарегистрирован, «Принято к исполнению»&gt;4;
повторно направить ЗКР в ПУР/АС ФК и далее сформировать запрос на отзыв по распоряжениям о совершении казначейского платежа № &lt;перечень ЗКР на статусе «Техническая ошибка»&gt;4.
</t>
  </si>
  <si>
    <t>для текста вышла запутанная реализация, желательно разные/странные/неочевидные кейсы пройти. В тексте наверное небольшая опечатка - должно быть четыре варианта текста для статусов. Их тут и есть четыре, просто оформлено не очевидно.</t>
  </si>
  <si>
    <t>Проверка уровня вызваннго ДО_АК_14915_02:</t>
  </si>
  <si>
    <t>-</t>
  </si>
  <si>
    <t>ДО_АК_14915_03</t>
  </si>
  <si>
    <r>
      <rPr>
        <b/>
        <sz val="10"/>
        <color rgb="FF000000"/>
        <rFont val="Arial"/>
      </rPr>
      <t>Если в ДО установлен признак «Признак платежа требующего подтверждения»1 
И 
установлен признак аннулирования ДО 
И 
у ДО есть связанные ЗКР на статусе Исполнен или «Отправлен в кредитную организацию»
И
у ДО нет связанных уведомлений о возврате оплаты</t>
    </r>
    <r>
      <rPr>
        <sz val="10"/>
        <color rgb="FF000000"/>
        <rFont val="Arial"/>
      </rPr>
      <t xml:space="preserve">
</t>
    </r>
  </si>
  <si>
    <t>Аннулирование сведений о денежном обязательстве , по которому &lt;была/будет&gt;  произведена оплата, возможна только после получения информации о возврате оплаченной суммы.</t>
  </si>
  <si>
    <t>Проверка уровня вызваннго ДО_АК_14915_03:</t>
  </si>
  <si>
    <t>ДО_АК_14915_04</t>
  </si>
  <si>
    <r>
      <rPr>
        <b/>
        <sz val="10"/>
        <color rgb="FF000000"/>
        <rFont val="Arial"/>
      </rPr>
      <t>Если в ДО установлен признак «Признак платежа требующего подтверждения»1 
И 
установлен признак аннулирования ДО 
И 
у ДО есть связанные ЗКР на статусе Исполнен 
И 
у ДО есть связанные уведомления о возврате оплаты</t>
    </r>
    <r>
      <rPr>
        <sz val="10"/>
        <color rgb="FF000000"/>
        <rFont val="Arial"/>
      </rPr>
      <t xml:space="preserve">
</t>
    </r>
  </si>
  <si>
    <t>По данному денежному обязательству существуют распоряжения о совершении казначейских платежей. Аннулировать сведения о денежном обязательстве возможно только в случае, если сумма возврата оплаты от контрагента не меньше суммы исполненных распоряжений об оплате.</t>
  </si>
  <si>
    <t>Проверка уровня вызваннго ДО_АК_14915_04:</t>
  </si>
  <si>
    <t>ДО_АК_14915_05</t>
  </si>
  <si>
    <t xml:space="preserve">Если ДО без признака аннулирования
И
Последняя(актуальная) версия ДО имела признак аннулирования
И
у СГК установлен признак «Контракт недействителен»
</t>
  </si>
  <si>
    <t>Нельзя отменить аннулирование сведений о денежном обязательстве для контракта, признанного недействительным по решению суда.</t>
  </si>
  <si>
    <t>Проверка уровня вызваннго ДО_АК_14915_05:</t>
  </si>
  <si>
    <t>ДО_АК_14915_06</t>
  </si>
  <si>
    <r>
      <rPr>
        <b/>
        <sz val="10"/>
        <color rgb="FF000000"/>
        <rFont val="Arial"/>
      </rPr>
      <t>Если ДО без признака аннулирования
И
у ДО не установлен признак платежа, требующего подтверждения2
И
у актуальной версии СВИК, на основе которого сформировано ДО, установлен признак «Отмечены как недействительные»</t>
    </r>
    <r>
      <rPr>
        <sz val="10"/>
        <color rgb="FF000000"/>
        <rFont val="Arial"/>
      </rPr>
      <t xml:space="preserve">
</t>
    </r>
  </si>
  <si>
    <t>Нельзя отменить аннулирование сведений о денежном обязательстве, если сведения об исполнении контракта, на основании которого сформировано сведение о денежном обязательстве, признано недействительным.</t>
  </si>
  <si>
    <t>Проверка уровня вызваннго ДО_АК_14915_06:</t>
  </si>
  <si>
    <t>Иванов И.И</t>
  </si>
  <si>
    <t>Тестовый</t>
  </si>
  <si>
    <t>Спецификация(ссылка)</t>
  </si>
  <si>
    <t>FCS-179001(ссылка на заведенный дефект)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</si>
</sst>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"/>
    <numFmt numFmtId="165" formatCode="m/d/yyyy\ h:mm:ss"/>
    <numFmt numFmtId="166" formatCode="d\.m"/>
  </numFmts>
  <fonts count="31"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Calibri"/>
    </font>
    <font>
      <sz val="10"/>
      <color theme="1"/>
      <name val="Arial"/>
    </font>
    <font>
      <b/>
      <sz val="10"/>
      <color rgb="FFFFFFFF"/>
      <name val="Arial"/>
    </font>
    <font>
      <sz val="10"/>
      <name val="Arial"/>
    </font>
    <font>
      <b/>
      <sz val="10"/>
      <color rgb="FF000000"/>
      <name val="Arial"/>
    </font>
    <font>
      <b/>
      <sz val="10"/>
      <color rgb="FF008000"/>
      <name val="Arial"/>
    </font>
    <font>
      <u/>
      <sz val="11"/>
      <color rgb="FF660000"/>
      <name val="-apple-system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FFFFFF"/>
      <name val="Arial"/>
    </font>
    <font>
      <b/>
      <i/>
      <sz val="9"/>
      <color rgb="FFFFFFFF"/>
      <name val="Arial"/>
    </font>
    <font>
      <b/>
      <sz val="9"/>
      <color rgb="FF000000"/>
      <name val="Arial"/>
    </font>
    <font>
      <b/>
      <sz val="9"/>
      <color theme="1"/>
      <name val="Arial"/>
    </font>
    <font>
      <b/>
      <sz val="11"/>
      <color rgb="FF000000"/>
      <name val="Calibri"/>
    </font>
    <font>
      <b/>
      <sz val="7"/>
      <color theme="1"/>
      <name val="Arial"/>
    </font>
    <font>
      <sz val="8"/>
      <color rgb="FF000000"/>
      <name val="Calibri"/>
    </font>
    <font>
      <b/>
      <u/>
      <sz val="10"/>
      <color rgb="FF6D9EEB"/>
      <name val="Arial"/>
    </font>
    <font>
      <sz val="10"/>
      <color rgb="FFD9D9D9"/>
      <name val="Arial"/>
    </font>
    <font>
      <sz val="10"/>
      <color rgb="FF000000"/>
      <name val="Arial"/>
    </font>
    <font>
      <b/>
      <sz val="10"/>
      <color rgb="FF0000FF"/>
      <name val="Arial"/>
    </font>
    <font>
      <b/>
      <sz val="10"/>
      <color rgb="FF666666"/>
      <name val="Arial"/>
    </font>
    <font>
      <b/>
      <sz val="10"/>
      <color rgb="FF000000"/>
      <name val="Arial"/>
    </font>
    <font>
      <b/>
      <u/>
      <sz val="10"/>
      <color rgb="FFFFFFFF"/>
      <name val="Arial"/>
    </font>
    <font>
      <sz val="10"/>
      <color rgb="FFFFFFFF"/>
      <name val="Arial"/>
    </font>
    <font>
      <b/>
      <sz val="10"/>
      <color rgb="FFFF0000"/>
      <name val="Arial"/>
    </font>
    <font>
      <sz val="10"/>
      <color rgb="FFCCCCCC"/>
      <name val="Arial"/>
    </font>
    <font>
      <sz val="9"/>
      <color rgb="FFB7B7B7"/>
      <name val="Arial"/>
    </font>
    <font>
      <sz val="10"/>
      <color rgb="FF999999"/>
      <name val="Arial"/>
    </font>
    <font>
      <sz val="9"/>
      <color rgb="FF000000"/>
      <name val="Arial"/>
    </font>
  </fonts>
  <fills count="19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0C343D"/>
        <bgColor rgb="FF0C343D"/>
      </patternFill>
    </fill>
    <fill>
      <patternFill patternType="solid">
        <fgColor rgb="FFFFE599"/>
        <bgColor rgb="FFFFE599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FFD966"/>
        <bgColor rgb="FFFFD966"/>
      </patternFill>
    </fill>
    <fill>
      <patternFill patternType="solid">
        <fgColor rgb="FFD5A6BD"/>
        <bgColor rgb="FFD5A6BD"/>
      </patternFill>
    </fill>
    <fill>
      <patternFill patternType="solid">
        <fgColor rgb="FFCCCCCC"/>
        <bgColor rgb="FFCCCCCC"/>
      </patternFill>
    </fill>
    <fill>
      <patternFill patternType="solid">
        <fgColor rgb="FFA2C4C9"/>
        <bgColor rgb="FFA2C4C9"/>
      </patternFill>
    </fill>
    <fill>
      <patternFill patternType="solid">
        <fgColor theme="0"/>
        <bgColor theme="0"/>
      </patternFill>
    </fill>
    <fill>
      <patternFill patternType="solid">
        <fgColor rgb="FF20124D"/>
        <bgColor rgb="FF20124D"/>
      </patternFill>
    </fill>
    <fill>
      <patternFill patternType="solid">
        <fgColor rgb="FF351C75"/>
        <bgColor rgb="FF351C75"/>
      </patternFill>
    </fill>
    <fill>
      <patternFill patternType="solid">
        <fgColor rgb="FF674EA7"/>
        <bgColor rgb="FF674EA7"/>
      </patternFill>
    </fill>
    <fill>
      <patternFill patternType="solid">
        <fgColor rgb="FF8E7CC3"/>
        <bgColor rgb="FF8E7CC3"/>
      </patternFill>
    </fill>
    <fill>
      <patternFill patternType="solid">
        <fgColor rgb="FF00FF00"/>
        <bgColor rgb="FF00FF00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3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0" xfId="0" applyFont="1" applyAlignment="1"/>
    <xf numFmtId="0" fontId="1" fillId="0" borderId="2" xfId="0" applyFont="1" applyBorder="1" applyAlignment="1"/>
    <xf numFmtId="0" fontId="1" fillId="0" borderId="5" xfId="0" applyFont="1" applyBorder="1" applyAlignment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7" fillId="0" borderId="8" xfId="0" applyFont="1" applyBorder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8" fillId="3" borderId="0" xfId="0" applyFont="1" applyFill="1" applyAlignment="1">
      <alignment horizontal="left"/>
    </xf>
    <xf numFmtId="0" fontId="6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9" fillId="0" borderId="0" xfId="0" applyFont="1"/>
    <xf numFmtId="49" fontId="3" fillId="0" borderId="7" xfId="0" applyNumberFormat="1" applyFont="1" applyBorder="1" applyAlignment="1">
      <alignment vertical="top" wrapText="1"/>
    </xf>
    <xf numFmtId="0" fontId="3" fillId="0" borderId="8" xfId="0" applyFont="1" applyBorder="1" applyAlignment="1">
      <alignment horizontal="right" vertical="center"/>
    </xf>
    <xf numFmtId="0" fontId="0" fillId="0" borderId="7" xfId="0" applyFont="1" applyBorder="1" applyAlignment="1">
      <alignment vertical="top" wrapText="1"/>
    </xf>
    <xf numFmtId="164" fontId="0" fillId="0" borderId="7" xfId="0" applyNumberFormat="1" applyFont="1" applyBorder="1" applyAlignment="1">
      <alignment horizontal="left" vertical="top" wrapText="1"/>
    </xf>
    <xf numFmtId="0" fontId="6" fillId="0" borderId="8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3" fillId="0" borderId="8" xfId="0" applyFont="1" applyBorder="1" applyAlignment="1">
      <alignment horizontal="right" vertical="center"/>
    </xf>
    <xf numFmtId="0" fontId="4" fillId="0" borderId="0" xfId="0" applyFont="1" applyAlignment="1">
      <alignment horizontal="left"/>
    </xf>
    <xf numFmtId="0" fontId="0" fillId="0" borderId="11" xfId="0" applyFont="1" applyBorder="1" applyAlignment="1"/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horizontal="right" vertical="center" wrapText="1"/>
    </xf>
    <xf numFmtId="2" fontId="3" fillId="0" borderId="8" xfId="0" applyNumberFormat="1" applyFont="1" applyBorder="1" applyAlignment="1">
      <alignment horizontal="left" vertical="center"/>
    </xf>
    <xf numFmtId="0" fontId="0" fillId="0" borderId="0" xfId="0" applyFont="1" applyAlignment="1">
      <alignment wrapText="1"/>
    </xf>
    <xf numFmtId="0" fontId="9" fillId="0" borderId="8" xfId="0" applyFont="1" applyBorder="1"/>
    <xf numFmtId="0" fontId="11" fillId="2" borderId="0" xfId="0" applyFont="1" applyFill="1" applyAlignment="1">
      <alignment horizontal="right"/>
    </xf>
    <xf numFmtId="0" fontId="11" fillId="2" borderId="8" xfId="0" applyFont="1" applyFill="1" applyBorder="1" applyAlignment="1">
      <alignment horizontal="right"/>
    </xf>
    <xf numFmtId="2" fontId="3" fillId="4" borderId="8" xfId="0" applyNumberFormat="1" applyFont="1" applyFill="1" applyBorder="1" applyAlignment="1">
      <alignment horizontal="left" vertical="center"/>
    </xf>
    <xf numFmtId="10" fontId="9" fillId="4" borderId="4" xfId="0" applyNumberFormat="1" applyFont="1" applyFill="1" applyBorder="1" applyAlignment="1">
      <alignment horizontal="left"/>
    </xf>
    <xf numFmtId="0" fontId="9" fillId="0" borderId="0" xfId="0" applyFont="1" applyAlignment="1">
      <alignment horizontal="right"/>
    </xf>
    <xf numFmtId="0" fontId="9" fillId="0" borderId="8" xfId="0" applyFont="1" applyBorder="1" applyAlignment="1">
      <alignment horizontal="right"/>
    </xf>
    <xf numFmtId="0" fontId="9" fillId="0" borderId="8" xfId="0" applyFont="1" applyBorder="1" applyAlignment="1">
      <alignment horizontal="left"/>
    </xf>
    <xf numFmtId="2" fontId="9" fillId="0" borderId="8" xfId="0" applyNumberFormat="1" applyFont="1" applyBorder="1" applyAlignment="1">
      <alignment horizontal="left"/>
    </xf>
    <xf numFmtId="10" fontId="9" fillId="0" borderId="8" xfId="0" applyNumberFormat="1" applyFont="1" applyBorder="1" applyAlignment="1">
      <alignment horizontal="left"/>
    </xf>
    <xf numFmtId="2" fontId="9" fillId="0" borderId="8" xfId="0" applyNumberFormat="1" applyFont="1" applyBorder="1" applyAlignment="1">
      <alignment horizontal="left"/>
    </xf>
    <xf numFmtId="0" fontId="9" fillId="0" borderId="8" xfId="0" applyFont="1" applyBorder="1" applyAlignment="1"/>
    <xf numFmtId="0" fontId="9" fillId="0" borderId="0" xfId="0" applyFont="1"/>
    <xf numFmtId="0" fontId="0" fillId="0" borderId="0" xfId="0" applyFont="1" applyAlignment="1"/>
    <xf numFmtId="0" fontId="12" fillId="5" borderId="8" xfId="0" applyFont="1" applyFill="1" applyBorder="1" applyAlignment="1"/>
    <xf numFmtId="0" fontId="12" fillId="5" borderId="8" xfId="0" applyFont="1" applyFill="1" applyBorder="1" applyAlignment="1"/>
    <xf numFmtId="0" fontId="9" fillId="5" borderId="8" xfId="0" applyFont="1" applyFill="1" applyBorder="1"/>
    <xf numFmtId="0" fontId="9" fillId="5" borderId="8" xfId="0" applyFont="1" applyFill="1" applyBorder="1"/>
    <xf numFmtId="0" fontId="9" fillId="5" borderId="8" xfId="0" applyFont="1" applyFill="1" applyBorder="1" applyAlignment="1"/>
    <xf numFmtId="0" fontId="12" fillId="5" borderId="8" xfId="0" applyFont="1" applyFill="1" applyBorder="1" applyAlignment="1">
      <alignment vertical="center" wrapText="1"/>
    </xf>
    <xf numFmtId="0" fontId="12" fillId="5" borderId="8" xfId="0" applyFont="1" applyFill="1" applyBorder="1" applyAlignment="1"/>
    <xf numFmtId="0" fontId="9" fillId="0" borderId="0" xfId="0" applyFont="1" applyAlignment="1"/>
    <xf numFmtId="4" fontId="12" fillId="5" borderId="8" xfId="0" applyNumberFormat="1" applyFont="1" applyFill="1" applyBorder="1" applyAlignment="1"/>
    <xf numFmtId="4" fontId="12" fillId="5" borderId="8" xfId="0" applyNumberFormat="1" applyFont="1" applyFill="1" applyBorder="1" applyAlignment="1"/>
    <xf numFmtId="0" fontId="12" fillId="5" borderId="8" xfId="0" applyFont="1" applyFill="1" applyBorder="1" applyAlignment="1">
      <alignment horizontal="right"/>
    </xf>
    <xf numFmtId="2" fontId="12" fillId="5" borderId="8" xfId="0" applyNumberFormat="1" applyFont="1" applyFill="1" applyBorder="1" applyAlignment="1"/>
    <xf numFmtId="0" fontId="9" fillId="5" borderId="8" xfId="0" applyFont="1" applyFill="1" applyBorder="1" applyAlignment="1"/>
    <xf numFmtId="10" fontId="9" fillId="5" borderId="8" xfId="0" applyNumberFormat="1" applyFont="1" applyFill="1" applyBorder="1" applyAlignment="1"/>
    <xf numFmtId="10" fontId="12" fillId="5" borderId="8" xfId="0" applyNumberFormat="1" applyFont="1" applyFill="1" applyBorder="1" applyAlignment="1"/>
    <xf numFmtId="10" fontId="9" fillId="5" borderId="8" xfId="0" applyNumberFormat="1" applyFont="1" applyFill="1" applyBorder="1"/>
    <xf numFmtId="0" fontId="15" fillId="0" borderId="8" xfId="0" applyFont="1" applyBorder="1" applyAlignment="1">
      <alignment horizontal="center"/>
    </xf>
    <xf numFmtId="0" fontId="9" fillId="3" borderId="8" xfId="0" applyFont="1" applyFill="1" applyBorder="1"/>
    <xf numFmtId="0" fontId="14" fillId="3" borderId="8" xfId="0" applyFont="1" applyFill="1" applyBorder="1" applyAlignment="1">
      <alignment horizontal="center"/>
    </xf>
    <xf numFmtId="0" fontId="16" fillId="3" borderId="8" xfId="0" applyFont="1" applyFill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9" fillId="5" borderId="8" xfId="0" applyFont="1" applyFill="1" applyBorder="1" applyAlignment="1">
      <alignment vertical="center" wrapText="1"/>
    </xf>
    <xf numFmtId="165" fontId="9" fillId="0" borderId="0" xfId="0" applyNumberFormat="1" applyFont="1" applyAlignment="1"/>
    <xf numFmtId="0" fontId="9" fillId="0" borderId="0" xfId="0" applyFont="1" applyAlignment="1"/>
    <xf numFmtId="10" fontId="10" fillId="6" borderId="0" xfId="0" applyNumberFormat="1" applyFont="1" applyFill="1" applyAlignment="1">
      <alignment horizontal="right"/>
    </xf>
    <xf numFmtId="0" fontId="9" fillId="7" borderId="8" xfId="0" applyFont="1" applyFill="1" applyBorder="1" applyAlignment="1"/>
    <xf numFmtId="0" fontId="9" fillId="7" borderId="8" xfId="0" applyFont="1" applyFill="1" applyBorder="1" applyAlignment="1">
      <alignment vertical="center" wrapText="1"/>
    </xf>
    <xf numFmtId="0" fontId="19" fillId="3" borderId="0" xfId="0" applyFont="1" applyFill="1" applyAlignment="1">
      <alignment horizontal="right"/>
    </xf>
    <xf numFmtId="0" fontId="11" fillId="8" borderId="8" xfId="0" applyFont="1" applyFill="1" applyBorder="1" applyAlignment="1"/>
    <xf numFmtId="0" fontId="9" fillId="8" borderId="8" xfId="0" applyFont="1" applyFill="1" applyBorder="1" applyAlignment="1"/>
    <xf numFmtId="0" fontId="9" fillId="8" borderId="8" xfId="0" applyFont="1" applyFill="1" applyBorder="1" applyAlignment="1">
      <alignment vertical="center" wrapText="1"/>
    </xf>
    <xf numFmtId="0" fontId="19" fillId="0" borderId="0" xfId="0" applyFont="1" applyAlignment="1">
      <alignment horizontal="right"/>
    </xf>
    <xf numFmtId="0" fontId="9" fillId="0" borderId="0" xfId="0" applyFont="1" applyAlignment="1">
      <alignment vertical="top"/>
    </xf>
    <xf numFmtId="0" fontId="9" fillId="3" borderId="8" xfId="0" applyFont="1" applyFill="1" applyBorder="1" applyAlignment="1">
      <alignment horizontal="right"/>
    </xf>
    <xf numFmtId="0" fontId="9" fillId="3" borderId="8" xfId="0" applyFont="1" applyFill="1" applyBorder="1" applyAlignment="1">
      <alignment horizontal="right"/>
    </xf>
    <xf numFmtId="0" fontId="20" fillId="0" borderId="8" xfId="0" applyFont="1" applyBorder="1" applyAlignment="1">
      <alignment horizontal="right"/>
    </xf>
    <xf numFmtId="0" fontId="20" fillId="9" borderId="8" xfId="0" applyFont="1" applyFill="1" applyBorder="1" applyAlignment="1">
      <alignment horizontal="right"/>
    </xf>
    <xf numFmtId="0" fontId="21" fillId="3" borderId="8" xfId="0" applyFont="1" applyFill="1" applyBorder="1" applyAlignment="1"/>
    <xf numFmtId="0" fontId="9" fillId="0" borderId="8" xfId="0" applyFont="1" applyBorder="1" applyAlignment="1">
      <alignment vertical="center" wrapText="1"/>
    </xf>
    <xf numFmtId="0" fontId="9" fillId="0" borderId="8" xfId="0" applyFont="1" applyBorder="1" applyAlignment="1"/>
    <xf numFmtId="0" fontId="9" fillId="10" borderId="8" xfId="0" applyFont="1" applyFill="1" applyBorder="1"/>
    <xf numFmtId="0" fontId="9" fillId="0" borderId="0" xfId="0" applyFont="1" applyAlignment="1">
      <alignment vertical="top"/>
    </xf>
    <xf numFmtId="0" fontId="10" fillId="0" borderId="8" xfId="0" applyFont="1" applyBorder="1" applyAlignment="1">
      <alignment vertical="top" wrapText="1"/>
    </xf>
    <xf numFmtId="0" fontId="20" fillId="0" borderId="8" xfId="0" applyFont="1" applyBorder="1" applyAlignment="1">
      <alignment vertical="top" wrapText="1"/>
    </xf>
    <xf numFmtId="0" fontId="22" fillId="11" borderId="8" xfId="0" applyFont="1" applyFill="1" applyBorder="1" applyAlignment="1"/>
    <xf numFmtId="0" fontId="9" fillId="0" borderId="8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10" borderId="8" xfId="0" applyFont="1" applyFill="1" applyBorder="1" applyAlignment="1"/>
    <xf numFmtId="0" fontId="20" fillId="3" borderId="8" xfId="0" applyFont="1" applyFill="1" applyBorder="1" applyAlignment="1">
      <alignment horizontal="right"/>
    </xf>
    <xf numFmtId="0" fontId="9" fillId="12" borderId="8" xfId="0" applyFont="1" applyFill="1" applyBorder="1" applyAlignment="1"/>
    <xf numFmtId="0" fontId="9" fillId="12" borderId="4" xfId="0" applyFont="1" applyFill="1" applyBorder="1" applyAlignment="1"/>
    <xf numFmtId="0" fontId="9" fillId="12" borderId="7" xfId="0" applyFont="1" applyFill="1" applyBorder="1" applyAlignment="1"/>
    <xf numFmtId="0" fontId="10" fillId="12" borderId="7" xfId="0" applyFont="1" applyFill="1" applyBorder="1" applyAlignment="1">
      <alignment horizontal="right"/>
    </xf>
    <xf numFmtId="0" fontId="9" fillId="12" borderId="6" xfId="0" applyFont="1" applyFill="1" applyBorder="1" applyAlignment="1"/>
    <xf numFmtId="0" fontId="9" fillId="12" borderId="7" xfId="0" applyFont="1" applyFill="1" applyBorder="1" applyAlignment="1">
      <alignment vertical="center" wrapText="1"/>
    </xf>
    <xf numFmtId="0" fontId="9" fillId="12" borderId="7" xfId="0" applyFont="1" applyFill="1" applyBorder="1" applyAlignment="1">
      <alignment horizontal="center" vertical="center"/>
    </xf>
    <xf numFmtId="0" fontId="9" fillId="0" borderId="8" xfId="0" applyFont="1" applyBorder="1" applyAlignment="1"/>
    <xf numFmtId="0" fontId="23" fillId="0" borderId="8" xfId="0" applyFont="1" applyBorder="1" applyAlignment="1">
      <alignment vertical="top" wrapText="1"/>
    </xf>
    <xf numFmtId="0" fontId="9" fillId="3" borderId="8" xfId="0" applyFont="1" applyFill="1" applyBorder="1" applyAlignment="1">
      <alignment horizontal="right"/>
    </xf>
    <xf numFmtId="166" fontId="9" fillId="0" borderId="8" xfId="0" applyNumberFormat="1" applyFont="1" applyBorder="1" applyAlignment="1">
      <alignment horizontal="center" vertical="center"/>
    </xf>
    <xf numFmtId="0" fontId="9" fillId="13" borderId="8" xfId="0" applyFont="1" applyFill="1" applyBorder="1" applyAlignment="1">
      <alignment vertical="center" wrapText="1"/>
    </xf>
    <xf numFmtId="0" fontId="12" fillId="14" borderId="8" xfId="0" applyFont="1" applyFill="1" applyBorder="1" applyAlignment="1"/>
    <xf numFmtId="0" fontId="12" fillId="14" borderId="8" xfId="0" applyFont="1" applyFill="1" applyBorder="1" applyAlignment="1"/>
    <xf numFmtId="0" fontId="9" fillId="14" borderId="8" xfId="0" applyFont="1" applyFill="1" applyBorder="1"/>
    <xf numFmtId="0" fontId="9" fillId="14" borderId="8" xfId="0" applyFont="1" applyFill="1" applyBorder="1"/>
    <xf numFmtId="0" fontId="9" fillId="14" borderId="8" xfId="0" applyFont="1" applyFill="1" applyBorder="1" applyAlignment="1"/>
    <xf numFmtId="0" fontId="12" fillId="14" borderId="8" xfId="0" applyFont="1" applyFill="1" applyBorder="1" applyAlignment="1"/>
    <xf numFmtId="0" fontId="9" fillId="14" borderId="0" xfId="0" applyFont="1" applyFill="1"/>
    <xf numFmtId="4" fontId="12" fillId="14" borderId="0" xfId="0" applyNumberFormat="1" applyFont="1" applyFill="1" applyAlignment="1">
      <alignment horizontal="right"/>
    </xf>
    <xf numFmtId="4" fontId="12" fillId="14" borderId="8" xfId="0" applyNumberFormat="1" applyFont="1" applyFill="1" applyBorder="1" applyAlignment="1">
      <alignment horizontal="right"/>
    </xf>
    <xf numFmtId="0" fontId="12" fillId="14" borderId="8" xfId="0" applyFont="1" applyFill="1" applyBorder="1" applyAlignment="1">
      <alignment horizontal="right"/>
    </xf>
    <xf numFmtId="0" fontId="12" fillId="14" borderId="0" xfId="0" applyFont="1" applyFill="1" applyAlignment="1"/>
    <xf numFmtId="0" fontId="12" fillId="14" borderId="8" xfId="0" applyFont="1" applyFill="1" applyBorder="1" applyAlignment="1">
      <alignment horizontal="right"/>
    </xf>
    <xf numFmtId="0" fontId="12" fillId="14" borderId="8" xfId="0" applyFont="1" applyFill="1" applyBorder="1" applyAlignment="1">
      <alignment horizontal="right"/>
    </xf>
    <xf numFmtId="2" fontId="12" fillId="14" borderId="8" xfId="0" applyNumberFormat="1" applyFont="1" applyFill="1" applyBorder="1" applyAlignment="1">
      <alignment horizontal="right"/>
    </xf>
    <xf numFmtId="0" fontId="9" fillId="14" borderId="8" xfId="0" applyFont="1" applyFill="1" applyBorder="1" applyAlignment="1"/>
    <xf numFmtId="4" fontId="12" fillId="14" borderId="8" xfId="0" applyNumberFormat="1" applyFont="1" applyFill="1" applyBorder="1" applyAlignment="1"/>
    <xf numFmtId="10" fontId="9" fillId="14" borderId="8" xfId="0" applyNumberFormat="1" applyFont="1" applyFill="1" applyBorder="1" applyAlignment="1"/>
    <xf numFmtId="10" fontId="12" fillId="14" borderId="8" xfId="0" applyNumberFormat="1" applyFont="1" applyFill="1" applyBorder="1" applyAlignment="1"/>
    <xf numFmtId="10" fontId="9" fillId="14" borderId="8" xfId="0" applyNumberFormat="1" applyFont="1" applyFill="1" applyBorder="1"/>
    <xf numFmtId="0" fontId="13" fillId="0" borderId="0" xfId="0" applyFont="1" applyAlignment="1">
      <alignment horizontal="center"/>
    </xf>
    <xf numFmtId="165" fontId="4" fillId="15" borderId="8" xfId="0" applyNumberFormat="1" applyFont="1" applyFill="1" applyBorder="1" applyAlignment="1">
      <alignment horizontal="left" wrapText="1"/>
    </xf>
    <xf numFmtId="0" fontId="9" fillId="15" borderId="8" xfId="0" applyFont="1" applyFill="1" applyBorder="1" applyAlignment="1"/>
    <xf numFmtId="0" fontId="9" fillId="15" borderId="4" xfId="0" applyFont="1" applyFill="1" applyBorder="1" applyAlignment="1"/>
    <xf numFmtId="165" fontId="4" fillId="15" borderId="3" xfId="0" applyNumberFormat="1" applyFont="1" applyFill="1" applyBorder="1" applyAlignment="1">
      <alignment horizontal="center" wrapText="1"/>
    </xf>
    <xf numFmtId="0" fontId="4" fillId="15" borderId="8" xfId="0" applyFont="1" applyFill="1" applyBorder="1" applyAlignment="1">
      <alignment horizontal="left"/>
    </xf>
    <xf numFmtId="0" fontId="11" fillId="15" borderId="8" xfId="0" applyFont="1" applyFill="1" applyBorder="1" applyAlignment="1">
      <alignment horizontal="right"/>
    </xf>
    <xf numFmtId="0" fontId="9" fillId="15" borderId="6" xfId="0" applyFont="1" applyFill="1" applyBorder="1" applyAlignment="1"/>
    <xf numFmtId="0" fontId="9" fillId="15" borderId="7" xfId="0" applyFont="1" applyFill="1" applyBorder="1" applyAlignment="1"/>
    <xf numFmtId="0" fontId="4" fillId="15" borderId="8" xfId="0" applyFont="1" applyFill="1" applyBorder="1" applyAlignment="1">
      <alignment horizontal="left"/>
    </xf>
    <xf numFmtId="0" fontId="4" fillId="15" borderId="8" xfId="0" applyFont="1" applyFill="1" applyBorder="1" applyAlignment="1">
      <alignment horizontal="center" wrapText="1"/>
    </xf>
    <xf numFmtId="0" fontId="25" fillId="15" borderId="8" xfId="0" applyFont="1" applyFill="1" applyBorder="1" applyAlignment="1"/>
    <xf numFmtId="0" fontId="4" fillId="3" borderId="0" xfId="0" applyFont="1" applyFill="1" applyAlignment="1">
      <alignment horizontal="left"/>
    </xf>
    <xf numFmtId="0" fontId="26" fillId="3" borderId="16" xfId="0" applyFont="1" applyFill="1" applyBorder="1" applyAlignment="1"/>
    <xf numFmtId="10" fontId="10" fillId="6" borderId="17" xfId="0" applyNumberFormat="1" applyFont="1" applyFill="1" applyBorder="1" applyAlignment="1">
      <alignment horizontal="right" wrapText="1"/>
    </xf>
    <xf numFmtId="0" fontId="9" fillId="16" borderId="7" xfId="0" applyFont="1" applyFill="1" applyBorder="1" applyAlignment="1"/>
    <xf numFmtId="0" fontId="9" fillId="16" borderId="7" xfId="0" applyFont="1" applyFill="1" applyBorder="1" applyAlignment="1"/>
    <xf numFmtId="0" fontId="27" fillId="0" borderId="0" xfId="0" applyFont="1" applyAlignment="1"/>
    <xf numFmtId="0" fontId="28" fillId="0" borderId="2" xfId="0" applyFont="1" applyBorder="1" applyAlignment="1">
      <alignment horizontal="right"/>
    </xf>
    <xf numFmtId="0" fontId="9" fillId="17" borderId="8" xfId="0" applyFont="1" applyFill="1" applyBorder="1" applyAlignment="1"/>
    <xf numFmtId="0" fontId="9" fillId="17" borderId="4" xfId="0" applyFont="1" applyFill="1" applyBorder="1" applyAlignment="1"/>
    <xf numFmtId="0" fontId="9" fillId="17" borderId="7" xfId="0" applyFont="1" applyFill="1" applyBorder="1" applyAlignment="1"/>
    <xf numFmtId="0" fontId="10" fillId="17" borderId="7" xfId="0" applyFont="1" applyFill="1" applyBorder="1" applyAlignment="1">
      <alignment horizontal="right"/>
    </xf>
    <xf numFmtId="0" fontId="9" fillId="17" borderId="6" xfId="0" applyFont="1" applyFill="1" applyBorder="1" applyAlignment="1"/>
    <xf numFmtId="0" fontId="9" fillId="17" borderId="7" xfId="0" applyFont="1" applyFill="1" applyBorder="1" applyAlignment="1"/>
    <xf numFmtId="0" fontId="28" fillId="0" borderId="2" xfId="0" applyFont="1" applyBorder="1" applyAlignment="1">
      <alignment horizontal="right"/>
    </xf>
    <xf numFmtId="0" fontId="3" fillId="0" borderId="8" xfId="0" applyFont="1" applyBorder="1" applyAlignment="1">
      <alignment horizontal="left" vertical="top"/>
    </xf>
    <xf numFmtId="0" fontId="20" fillId="6" borderId="8" xfId="0" applyFont="1" applyFill="1" applyBorder="1" applyAlignment="1">
      <alignment horizontal="right"/>
    </xf>
    <xf numFmtId="0" fontId="23" fillId="18" borderId="6" xfId="0" applyFont="1" applyFill="1" applyBorder="1" applyAlignment="1"/>
    <xf numFmtId="0" fontId="9" fillId="0" borderId="8" xfId="0" applyFont="1" applyBorder="1" applyAlignment="1"/>
    <xf numFmtId="0" fontId="0" fillId="0" borderId="8" xfId="0" quotePrefix="1" applyFont="1" applyBorder="1" applyAlignment="1">
      <alignment horizontal="center" vertical="center"/>
    </xf>
    <xf numFmtId="0" fontId="9" fillId="10" borderId="8" xfId="0" applyFont="1" applyFill="1" applyBorder="1" applyAlignment="1">
      <alignment horizontal="center" vertical="center"/>
    </xf>
    <xf numFmtId="0" fontId="9" fillId="0" borderId="8" xfId="0" applyFont="1" applyBorder="1"/>
    <xf numFmtId="0" fontId="20" fillId="0" borderId="8" xfId="0" applyFont="1" applyBorder="1" applyAlignment="1">
      <alignment horizontal="left" vertical="top"/>
    </xf>
    <xf numFmtId="0" fontId="20" fillId="0" borderId="6" xfId="0" applyFont="1" applyBorder="1" applyAlignment="1">
      <alignment vertical="top" wrapText="1"/>
    </xf>
    <xf numFmtId="0" fontId="23" fillId="0" borderId="6" xfId="0" applyFont="1" applyBorder="1" applyAlignment="1">
      <alignment horizontal="left" vertical="top" wrapText="1"/>
    </xf>
    <xf numFmtId="0" fontId="9" fillId="3" borderId="4" xfId="0" applyFont="1" applyFill="1" applyBorder="1" applyAlignment="1">
      <alignment horizontal="right"/>
    </xf>
    <xf numFmtId="0" fontId="9" fillId="3" borderId="7" xfId="0" applyFont="1" applyFill="1" applyBorder="1" applyAlignment="1">
      <alignment horizontal="right"/>
    </xf>
    <xf numFmtId="0" fontId="20" fillId="0" borderId="7" xfId="0" applyFont="1" applyBorder="1" applyAlignment="1">
      <alignment horizontal="right"/>
    </xf>
    <xf numFmtId="0" fontId="20" fillId="6" borderId="7" xfId="0" applyFont="1" applyFill="1" applyBorder="1" applyAlignment="1">
      <alignment horizontal="right"/>
    </xf>
    <xf numFmtId="0" fontId="9" fillId="0" borderId="7" xfId="0" applyFont="1" applyBorder="1" applyAlignment="1"/>
    <xf numFmtId="0" fontId="0" fillId="0" borderId="7" xfId="0" applyFont="1" applyBorder="1" applyAlignment="1">
      <alignment horizontal="center" vertical="center"/>
    </xf>
    <xf numFmtId="0" fontId="9" fillId="10" borderId="7" xfId="0" applyFont="1" applyFill="1" applyBorder="1" applyAlignment="1">
      <alignment horizontal="center" vertical="center"/>
    </xf>
    <xf numFmtId="0" fontId="9" fillId="0" borderId="7" xfId="0" applyFont="1" applyBorder="1"/>
    <xf numFmtId="0" fontId="9" fillId="17" borderId="7" xfId="0" applyFont="1" applyFill="1" applyBorder="1" applyAlignment="1">
      <alignment horizontal="center" vertical="center"/>
    </xf>
    <xf numFmtId="0" fontId="27" fillId="0" borderId="0" xfId="0" applyFont="1" applyAlignment="1">
      <alignment horizontal="left"/>
    </xf>
    <xf numFmtId="0" fontId="3" fillId="0" borderId="8" xfId="0" applyFont="1" applyBorder="1" applyAlignment="1">
      <alignment vertical="top"/>
    </xf>
    <xf numFmtId="0" fontId="0" fillId="0" borderId="8" xfId="0" applyFont="1" applyBorder="1" applyAlignment="1">
      <alignment horizontal="center" vertical="center"/>
    </xf>
    <xf numFmtId="0" fontId="20" fillId="0" borderId="8" xfId="0" applyFont="1" applyBorder="1" applyAlignment="1">
      <alignment vertical="top"/>
    </xf>
    <xf numFmtId="0" fontId="9" fillId="0" borderId="7" xfId="0" applyFont="1" applyBorder="1" applyAlignment="1"/>
    <xf numFmtId="0" fontId="23" fillId="17" borderId="14" xfId="0" applyFont="1" applyFill="1" applyBorder="1" applyAlignment="1">
      <alignment horizontal="left" vertical="top"/>
    </xf>
    <xf numFmtId="0" fontId="23" fillId="17" borderId="1" xfId="0" applyFont="1" applyFill="1" applyBorder="1" applyAlignment="1">
      <alignment horizontal="left" vertical="top"/>
    </xf>
    <xf numFmtId="0" fontId="23" fillId="17" borderId="7" xfId="0" applyFont="1" applyFill="1" applyBorder="1" applyAlignment="1">
      <alignment horizontal="left" vertical="top"/>
    </xf>
    <xf numFmtId="0" fontId="28" fillId="0" borderId="0" xfId="0" applyFont="1" applyAlignment="1">
      <alignment horizontal="right"/>
    </xf>
    <xf numFmtId="0" fontId="4" fillId="2" borderId="3" xfId="0" applyFont="1" applyFill="1" applyBorder="1" applyAlignment="1">
      <alignment horizontal="center" wrapText="1"/>
    </xf>
    <xf numFmtId="0" fontId="5" fillId="0" borderId="4" xfId="0" applyFont="1" applyBorder="1"/>
    <xf numFmtId="0" fontId="6" fillId="0" borderId="9" xfId="0" applyFont="1" applyBorder="1" applyAlignment="1">
      <alignment vertical="top" wrapText="1"/>
    </xf>
    <xf numFmtId="0" fontId="5" fillId="0" borderId="10" xfId="0" applyFont="1" applyBorder="1"/>
    <xf numFmtId="0" fontId="5" fillId="0" borderId="6" xfId="0" applyFont="1" applyBorder="1"/>
    <xf numFmtId="0" fontId="4" fillId="2" borderId="3" xfId="0" applyFont="1" applyFill="1" applyBorder="1" applyAlignment="1">
      <alignment horizontal="center"/>
    </xf>
    <xf numFmtId="0" fontId="10" fillId="0" borderId="9" xfId="0" applyFont="1" applyBorder="1" applyAlignment="1">
      <alignment vertical="top"/>
    </xf>
    <xf numFmtId="0" fontId="12" fillId="5" borderId="0" xfId="0" applyFont="1" applyFill="1" applyAlignment="1"/>
    <xf numFmtId="0" fontId="0" fillId="0" borderId="0" xfId="0" applyFont="1" applyAlignment="1"/>
    <xf numFmtId="0" fontId="12" fillId="5" borderId="3" xfId="0" applyFont="1" applyFill="1" applyBorder="1" applyAlignment="1"/>
    <xf numFmtId="0" fontId="5" fillId="0" borderId="11" xfId="0" applyFont="1" applyBorder="1"/>
    <xf numFmtId="0" fontId="12" fillId="5" borderId="1" xfId="0" applyFont="1" applyFill="1" applyBorder="1"/>
    <xf numFmtId="0" fontId="5" fillId="0" borderId="1" xfId="0" applyFont="1" applyBorder="1"/>
    <xf numFmtId="0" fontId="5" fillId="0" borderId="7" xfId="0" applyFont="1" applyBorder="1"/>
    <xf numFmtId="0" fontId="9" fillId="0" borderId="0" xfId="0" applyFont="1" applyAlignment="1">
      <alignment horizontal="center" vertical="center" textRotation="90"/>
    </xf>
    <xf numFmtId="0" fontId="13" fillId="0" borderId="9" xfId="0" applyFont="1" applyBorder="1" applyAlignment="1">
      <alignment horizontal="center"/>
    </xf>
    <xf numFmtId="0" fontId="18" fillId="5" borderId="3" xfId="0" applyFont="1" applyFill="1" applyBorder="1" applyAlignment="1"/>
    <xf numFmtId="0" fontId="11" fillId="7" borderId="12" xfId="0" applyFont="1" applyFill="1" applyBorder="1" applyAlignment="1"/>
    <xf numFmtId="0" fontId="5" fillId="0" borderId="15" xfId="0" applyFont="1" applyBorder="1"/>
    <xf numFmtId="0" fontId="5" fillId="0" borderId="13" xfId="0" applyFont="1" applyBorder="1"/>
    <xf numFmtId="0" fontId="11" fillId="8" borderId="12" xfId="0" applyFont="1" applyFill="1" applyBorder="1" applyAlignment="1"/>
    <xf numFmtId="0" fontId="20" fillId="0" borderId="3" xfId="0" applyFont="1" applyBorder="1" applyAlignment="1">
      <alignment vertical="top" wrapText="1"/>
    </xf>
    <xf numFmtId="0" fontId="23" fillId="0" borderId="9" xfId="0" applyFont="1" applyBorder="1" applyAlignment="1">
      <alignment vertical="top" wrapText="1"/>
    </xf>
    <xf numFmtId="0" fontId="10" fillId="0" borderId="9" xfId="0" applyFont="1" applyBorder="1" applyAlignment="1">
      <alignment vertical="top" wrapText="1"/>
    </xf>
    <xf numFmtId="0" fontId="23" fillId="12" borderId="14" xfId="0" applyFont="1" applyFill="1" applyBorder="1" applyAlignment="1">
      <alignment vertical="top"/>
    </xf>
    <xf numFmtId="0" fontId="23" fillId="12" borderId="14" xfId="0" applyFont="1" applyFill="1" applyBorder="1" applyAlignment="1">
      <alignment horizontal="left" vertical="top"/>
    </xf>
    <xf numFmtId="0" fontId="13" fillId="3" borderId="12" xfId="0" applyFont="1" applyFill="1" applyBorder="1" applyAlignment="1">
      <alignment horizontal="center" vertical="center" wrapText="1"/>
    </xf>
    <xf numFmtId="0" fontId="5" fillId="0" borderId="14" xfId="0" applyFont="1" applyBorder="1"/>
    <xf numFmtId="0" fontId="9" fillId="3" borderId="9" xfId="0" applyFont="1" applyFill="1" applyBorder="1"/>
    <xf numFmtId="0" fontId="13" fillId="3" borderId="9" xfId="0" applyFont="1" applyFill="1" applyBorder="1" applyAlignment="1">
      <alignment horizontal="center"/>
    </xf>
    <xf numFmtId="0" fontId="9" fillId="3" borderId="3" xfId="0" applyFont="1" applyFill="1" applyBorder="1"/>
    <xf numFmtId="0" fontId="14" fillId="0" borderId="3" xfId="0" applyFont="1" applyBorder="1" applyAlignment="1">
      <alignment horizontal="center"/>
    </xf>
    <xf numFmtId="0" fontId="13" fillId="3" borderId="9" xfId="0" applyFont="1" applyFill="1" applyBorder="1" applyAlignment="1">
      <alignment horizontal="center" vertical="center" wrapText="1"/>
    </xf>
    <xf numFmtId="0" fontId="12" fillId="14" borderId="0" xfId="0" applyFont="1" applyFill="1" applyAlignment="1"/>
    <xf numFmtId="0" fontId="12" fillId="14" borderId="3" xfId="0" applyFont="1" applyFill="1" applyBorder="1" applyAlignment="1"/>
    <xf numFmtId="0" fontId="12" fillId="14" borderId="1" xfId="0" applyFont="1" applyFill="1" applyBorder="1"/>
    <xf numFmtId="0" fontId="24" fillId="15" borderId="3" xfId="0" applyFont="1" applyFill="1" applyBorder="1" applyAlignment="1">
      <alignment horizontal="left" wrapText="1"/>
    </xf>
    <xf numFmtId="0" fontId="4" fillId="15" borderId="3" xfId="0" applyFont="1" applyFill="1" applyBorder="1" applyAlignment="1">
      <alignment horizontal="left"/>
    </xf>
    <xf numFmtId="0" fontId="11" fillId="16" borderId="3" xfId="0" applyFont="1" applyFill="1" applyBorder="1" applyAlignment="1"/>
    <xf numFmtId="0" fontId="23" fillId="17" borderId="14" xfId="0" applyFont="1" applyFill="1" applyBorder="1" applyAlignment="1">
      <alignment vertical="top"/>
    </xf>
    <xf numFmtId="0" fontId="20" fillId="0" borderId="9" xfId="0" applyFont="1" applyBorder="1" applyAlignment="1">
      <alignment vertical="top" wrapText="1"/>
    </xf>
    <xf numFmtId="0" fontId="23" fillId="13" borderId="9" xfId="0" applyFont="1" applyFill="1" applyBorder="1" applyAlignment="1">
      <alignment vertical="top"/>
    </xf>
    <xf numFmtId="0" fontId="27" fillId="0" borderId="0" xfId="0" applyFont="1" applyAlignment="1"/>
    <xf numFmtId="0" fontId="0" fillId="0" borderId="16" xfId="0" applyFill="1" applyBorder="1"/>
  </cellXfs>
  <cellStyles count="1">
    <cellStyle name="Обычный" xfId="0" builtinId="0"/>
  </cellStyles>
  <dxfs count="67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1C232"/>
          <bgColor rgb="FFF1C232"/>
        </patternFill>
      </fill>
    </dxf>
    <dxf>
      <font>
        <color rgb="FF666666"/>
      </font>
      <fill>
        <patternFill patternType="solid">
          <fgColor rgb="FFCCCCCC"/>
          <bgColor rgb="FFCCCCCC"/>
        </patternFill>
      </fill>
    </dxf>
    <dxf>
      <font>
        <color rgb="FF666666"/>
      </font>
      <fill>
        <patternFill patternType="solid">
          <fgColor rgb="FFCCCCCC"/>
          <bgColor rgb="FFCCCC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E599"/>
          <bgColor rgb="FFFFE599"/>
        </patternFill>
      </fill>
    </dxf>
    <dxf>
      <font>
        <b/>
        <color rgb="FF000000"/>
      </font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solid">
          <fgColor rgb="FFFFFF99"/>
          <bgColor rgb="FFFFFF99"/>
        </patternFill>
      </fill>
    </dxf>
    <dxf>
      <font>
        <color rgb="FF000000"/>
      </font>
      <fill>
        <patternFill patternType="solid">
          <fgColor rgb="FFFFD966"/>
          <bgColor rgb="FFFFD966"/>
        </patternFill>
      </fill>
    </dxf>
    <dxf>
      <font>
        <b/>
        <color rgb="FF000000"/>
      </font>
      <fill>
        <patternFill patternType="solid">
          <fgColor rgb="FFF6B26B"/>
          <bgColor rgb="FFF6B26B"/>
        </patternFill>
      </fill>
    </dxf>
    <dxf>
      <font>
        <b/>
        <color rgb="FF000000"/>
      </font>
      <fill>
        <patternFill patternType="solid">
          <fgColor rgb="FFFF6600"/>
          <bgColor rgb="FFFF6600"/>
        </patternFill>
      </fill>
    </dxf>
    <dxf>
      <font>
        <b/>
        <color rgb="FF000000"/>
      </font>
      <fill>
        <patternFill patternType="solid">
          <fgColor rgb="FFFF0000"/>
          <bgColor rgb="FFFF0000"/>
        </patternFill>
      </fill>
    </dxf>
    <dxf>
      <font>
        <b/>
        <color rgb="FFFFFF00"/>
      </font>
      <fill>
        <patternFill patternType="solid">
          <fgColor rgb="FF000000"/>
          <bgColor rgb="FF000000"/>
        </patternFill>
      </fill>
    </dxf>
    <dxf>
      <font>
        <b/>
        <color rgb="FF000000"/>
      </font>
      <fill>
        <patternFill patternType="solid">
          <fgColor rgb="FFFF00FF"/>
          <bgColor rgb="FFFF00FF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00FF"/>
      </font>
      <fill>
        <patternFill patternType="solid">
          <fgColor rgb="FFFFFFFF"/>
          <bgColor rgb="FFFFFFFF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1C232"/>
          <bgColor rgb="FFF1C232"/>
        </patternFill>
      </fill>
    </dxf>
    <dxf>
      <fill>
        <patternFill patternType="solid">
          <fgColor rgb="FFBF9000"/>
          <bgColor rgb="FFBF9000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1C232"/>
          <bgColor rgb="FFF1C232"/>
        </patternFill>
      </fill>
    </dxf>
    <dxf>
      <fill>
        <patternFill patternType="solid">
          <fgColor rgb="FFBF9000"/>
          <bgColor rgb="FFBF9000"/>
        </patternFill>
      </fill>
    </dxf>
    <dxf>
      <font>
        <color rgb="FF666666"/>
      </font>
      <fill>
        <patternFill patternType="solid">
          <fgColor rgb="FFCCCCCC"/>
          <bgColor rgb="FFCCCCCC"/>
        </patternFill>
      </fill>
    </dxf>
    <dxf>
      <font>
        <b/>
        <color rgb="FF000000"/>
      </font>
      <fill>
        <patternFill patternType="solid">
          <fgColor rgb="FF5AE15A"/>
          <bgColor rgb="FF5AE15A"/>
        </patternFill>
      </fill>
    </dxf>
    <dxf>
      <font>
        <color rgb="FF000000"/>
      </font>
      <fill>
        <patternFill patternType="solid">
          <fgColor rgb="FFFFFF99"/>
          <bgColor rgb="FFFFFF99"/>
        </patternFill>
      </fill>
    </dxf>
    <dxf>
      <font>
        <color rgb="FF000000"/>
      </font>
      <fill>
        <patternFill patternType="solid">
          <fgColor rgb="FFFFD966"/>
          <bgColor rgb="FFFFD966"/>
        </patternFill>
      </fill>
    </dxf>
    <dxf>
      <font>
        <b/>
        <color rgb="FF000000"/>
      </font>
      <fill>
        <patternFill patternType="solid">
          <fgColor rgb="FFF6B26B"/>
          <bgColor rgb="FFF6B26B"/>
        </patternFill>
      </fill>
    </dxf>
    <dxf>
      <font>
        <b/>
        <color rgb="FF000000"/>
      </font>
      <fill>
        <patternFill patternType="solid">
          <fgColor rgb="FFF88A41"/>
          <bgColor rgb="FFF88A41"/>
        </patternFill>
      </fill>
    </dxf>
    <dxf>
      <font>
        <b/>
        <color rgb="FF000000"/>
      </font>
      <fill>
        <patternFill patternType="solid">
          <fgColor rgb="FFFF3737"/>
          <bgColor rgb="FFFF3737"/>
        </patternFill>
      </fill>
    </dxf>
    <dxf>
      <font>
        <b/>
        <color rgb="FF000000"/>
      </font>
      <fill>
        <patternFill patternType="solid">
          <fgColor rgb="FFCCCCCC"/>
          <bgColor rgb="FFCCCCCC"/>
        </patternFill>
      </fill>
    </dxf>
    <dxf>
      <font>
        <b/>
        <color rgb="FF000000"/>
      </font>
      <fill>
        <patternFill patternType="solid">
          <fgColor rgb="FFE94DE9"/>
          <bgColor rgb="FFE94DE9"/>
        </patternFill>
      </fill>
    </dxf>
    <dxf>
      <font>
        <color rgb="FF0000FF"/>
      </font>
      <fill>
        <patternFill patternType="solid">
          <fgColor rgb="FFFFFFFF"/>
          <bgColor rgb="FFFFFFFF"/>
        </patternFill>
      </fill>
    </dxf>
    <dxf>
      <font>
        <b/>
        <color rgb="FFFFFF00"/>
      </font>
      <fill>
        <patternFill patternType="solid">
          <fgColor rgb="FF000000"/>
          <bgColor rgb="FF00000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F1C232"/>
          <bgColor rgb="FFF1C232"/>
        </patternFill>
      </fill>
    </dxf>
    <dxf>
      <font>
        <color rgb="FF666666"/>
      </font>
      <fill>
        <patternFill patternType="solid">
          <fgColor rgb="FFCCCCCC"/>
          <bgColor rgb="FFCCCCCC"/>
        </patternFill>
      </fill>
    </dxf>
    <dxf>
      <font>
        <color rgb="FF666666"/>
      </font>
      <fill>
        <patternFill patternType="solid">
          <fgColor rgb="FFCCCCCC"/>
          <bgColor rgb="FFCCCC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E599"/>
          <bgColor rgb="FFFFE599"/>
        </patternFill>
      </fill>
    </dxf>
    <dxf>
      <font>
        <b/>
        <color rgb="FF000000"/>
      </font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solid">
          <fgColor rgb="FFFFFF99"/>
          <bgColor rgb="FFFFFF99"/>
        </patternFill>
      </fill>
    </dxf>
    <dxf>
      <font>
        <color rgb="FF000000"/>
      </font>
      <fill>
        <patternFill patternType="solid">
          <fgColor rgb="FFFFD966"/>
          <bgColor rgb="FFFFD966"/>
        </patternFill>
      </fill>
    </dxf>
    <dxf>
      <font>
        <b/>
        <color rgb="FF000000"/>
      </font>
      <fill>
        <patternFill patternType="solid">
          <fgColor rgb="FFF6B26B"/>
          <bgColor rgb="FFF6B26B"/>
        </patternFill>
      </fill>
    </dxf>
    <dxf>
      <font>
        <b/>
        <color rgb="FF000000"/>
      </font>
      <fill>
        <patternFill patternType="solid">
          <fgColor rgb="FFFF6600"/>
          <bgColor rgb="FFFF6600"/>
        </patternFill>
      </fill>
    </dxf>
    <dxf>
      <font>
        <b/>
        <color rgb="FF000000"/>
      </font>
      <fill>
        <patternFill patternType="solid">
          <fgColor rgb="FFFF0000"/>
          <bgColor rgb="FFFF0000"/>
        </patternFill>
      </fill>
    </dxf>
    <dxf>
      <font>
        <b/>
        <color rgb="FF000000"/>
      </font>
      <fill>
        <patternFill patternType="solid">
          <fgColor rgb="FFFF00FF"/>
          <bgColor rgb="FFFF00FF"/>
        </patternFill>
      </fill>
    </dxf>
    <dxf>
      <font>
        <color rgb="FF0000FF"/>
      </font>
      <fill>
        <patternFill patternType="solid">
          <fgColor rgb="FFFFFFFF"/>
          <bgColor rgb="FFFFFFFF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solid">
          <fgColor rgb="FFCCFFCC"/>
          <bgColor rgb="FFCCFFCC"/>
        </patternFill>
      </fill>
    </dxf>
    <dxf>
      <font>
        <color rgb="FF000000"/>
      </font>
      <fill>
        <patternFill patternType="solid">
          <fgColor rgb="FFFFFF99"/>
          <bgColor rgb="FFFFFF99"/>
        </patternFill>
      </fill>
    </dxf>
    <dxf>
      <font>
        <color rgb="FF000000"/>
      </font>
      <fill>
        <patternFill patternType="solid">
          <fgColor rgb="FFFFCC99"/>
          <bgColor rgb="FFFFCC99"/>
        </patternFill>
      </fill>
    </dxf>
    <dxf>
      <font>
        <color rgb="FF000000"/>
      </font>
      <fill>
        <patternFill patternType="solid">
          <fgColor rgb="FFFFCC00"/>
          <bgColor rgb="FFFFCC00"/>
        </patternFill>
      </fill>
    </dxf>
    <dxf>
      <font>
        <color rgb="FF000000"/>
      </font>
      <fill>
        <patternFill patternType="solid">
          <fgColor rgb="FFFF6600"/>
          <bgColor rgb="FFFF6600"/>
        </patternFill>
      </fill>
    </dxf>
    <dxf>
      <font>
        <color rgb="FF000000"/>
      </font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969696"/>
          <bgColor rgb="FF969696"/>
        </patternFill>
      </fill>
    </dxf>
    <dxf>
      <font>
        <color rgb="FF000000"/>
      </font>
      <fill>
        <patternFill patternType="solid">
          <fgColor rgb="FFFF00FF"/>
          <bgColor rgb="FFFF00FF"/>
        </patternFill>
      </fill>
    </dxf>
    <dxf>
      <font>
        <color rgb="FF0000FF"/>
      </font>
      <fill>
        <patternFill patternType="solid">
          <fgColor rgb="FFFFFFFF"/>
          <bgColor rgb="FFFFFFFF"/>
        </patternFill>
      </fill>
    </dxf>
    <dxf>
      <font>
        <color rgb="FF000000"/>
      </font>
      <fill>
        <patternFill patternType="solid">
          <fgColor rgb="FFF1C232"/>
          <bgColor rgb="FFF1C232"/>
        </patternFill>
      </fill>
    </dxf>
    <dxf>
      <font>
        <color rgb="FF000000"/>
      </font>
      <fill>
        <patternFill patternType="solid">
          <fgColor rgb="FFF6B26B"/>
          <bgColor rgb="FFF6B26B"/>
        </patternFill>
      </fill>
    </dxf>
    <dxf>
      <font>
        <color rgb="FF000000"/>
      </font>
      <fill>
        <patternFill patternType="solid">
          <fgColor rgb="FF969696"/>
          <bgColor rgb="FF969696"/>
        </patternFill>
      </fill>
    </dxf>
    <dxf>
      <font>
        <color rgb="FF666666"/>
      </font>
      <fill>
        <patternFill patternType="solid">
          <fgColor rgb="FFCCCCCC"/>
          <bgColor rgb="FFCCCC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12</xdr:row>
      <xdr:rowOff>0</xdr:rowOff>
    </xdr:from>
    <xdr:ext cx="0" cy="0"/>
    <xdr:pic>
      <xdr:nvPicPr>
        <xdr:cNvPr id="2" name="image1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</xdr:row>
      <xdr:rowOff>0</xdr:rowOff>
    </xdr:from>
    <xdr:ext cx="0" cy="0"/>
    <xdr:pic>
      <xdr:nvPicPr>
        <xdr:cNvPr id="3" name="image1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238125</xdr:colOff>
      <xdr:row>5</xdr:row>
      <xdr:rowOff>238125</xdr:rowOff>
    </xdr:from>
    <xdr:ext cx="0" cy="0"/>
    <xdr:pic>
      <xdr:nvPicPr>
        <xdr:cNvPr id="4" name="image1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p.lanit.ru/eis/Shared%20Documents/01.%20%D0%A1%D0%BF%D0%B5%D1%86%D0%B8%D1%84%D0%B8%D0%BA%D0%B0%D1%86%D0%B8%D0%B8/21.%20%D0%A1%D0%B2%D0%B5%D0%B4%D0%B5%D0%BD%D0%B8%D1%8F%20%D0%BE%20%D0%94%D0%9E/12.1/FCSNF-14915%20%D0%94%D0%9E%20%D0%94%D0%BE%D1%80%D0%B0%D0%B1%D0%BE%D1%82%D0%BA%D0%B8%20%D0%B0%D0%BD%D0%BD%D1%83%D0%BB%D0%B8%D1%80%D0%BE%D0%B2%D0%B0%D0%BD%D0%B8%D1%8F.docx?d=w7eaa3bdb44c14eba803c11f09553267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p.lanit.ru/eis/Shared%20Documents/01.%20%D0%A1%D0%BF%D0%B5%D1%86%D0%B8%D1%84%D0%B8%D0%BA%D0%B0%D1%86%D0%B8%D0%B8/21.%20%D0%A1%D0%B2%D0%B5%D0%B4%D0%B5%D0%BD%D0%B8%D1%8F%20%D0%BE%20%D0%94%D0%9E/12.1/FCSNF-14915%20%D0%94%D0%9E%20%D0%94%D0%BE%D1%80%D0%B0%D0%B1%D0%BE%D1%82%D0%BA%D0%B8%20%D0%B0%D0%BD%D0%BD%D1%83%D0%BB%D0%B8%D1%80%D0%BE%D0%B2%D0%B0%D0%BD%D0%B8%D1%8F.docx?d=w7eaa3bdb44c14eba803c11f0955326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5"/>
  <sheetViews>
    <sheetView tabSelected="1" topLeftCell="A10" workbookViewId="0">
      <selection activeCell="C6" sqref="C6"/>
    </sheetView>
  </sheetViews>
  <sheetFormatPr defaultColWidth="14.44140625" defaultRowHeight="15.75" customHeight="1"/>
  <cols>
    <col min="1" max="1" width="4.88671875" customWidth="1"/>
    <col min="2" max="2" width="29.88671875" customWidth="1"/>
    <col min="3" max="3" width="70" customWidth="1"/>
    <col min="4" max="4" width="8.88671875" customWidth="1"/>
    <col min="5" max="5" width="37.44140625" customWidth="1"/>
    <col min="6" max="6" width="19.88671875" customWidth="1"/>
    <col min="7" max="7" width="4.109375" customWidth="1"/>
  </cols>
  <sheetData>
    <row r="1" spans="1:6" ht="15.75" customHeight="1">
      <c r="A1" s="1"/>
      <c r="B1" s="2"/>
      <c r="C1" s="2"/>
      <c r="D1" s="1"/>
      <c r="E1" s="3"/>
      <c r="F1" s="3"/>
    </row>
    <row r="2" spans="1:6" ht="15.75" customHeight="1">
      <c r="A2" s="4"/>
      <c r="B2" s="179" t="s">
        <v>0</v>
      </c>
      <c r="C2" s="180"/>
      <c r="D2" s="5"/>
      <c r="E2" s="179" t="s">
        <v>1</v>
      </c>
      <c r="F2" s="180"/>
    </row>
    <row r="3" spans="1:6" ht="15.75" customHeight="1">
      <c r="A3" s="1"/>
      <c r="B3" s="6"/>
      <c r="C3" s="6"/>
      <c r="D3" s="1"/>
      <c r="E3" s="7"/>
      <c r="F3" s="8"/>
    </row>
    <row r="4" spans="1:6" ht="15.75" customHeight="1">
      <c r="A4" s="4"/>
      <c r="B4" s="9" t="s">
        <v>2</v>
      </c>
      <c r="C4" s="10" t="s">
        <v>3</v>
      </c>
      <c r="D4" s="5"/>
      <c r="E4" s="11" t="s">
        <v>4</v>
      </c>
      <c r="F4" s="12">
        <f>'ЭФ ДО'!P2+АК!P2</f>
        <v>0</v>
      </c>
    </row>
    <row r="5" spans="1:6" ht="15.75" customHeight="1">
      <c r="A5" s="4"/>
      <c r="B5" s="9" t="s">
        <v>5</v>
      </c>
      <c r="C5" s="10" t="s">
        <v>146</v>
      </c>
      <c r="D5" s="5"/>
      <c r="E5" s="11" t="s">
        <v>6</v>
      </c>
      <c r="F5" s="12">
        <f>'ЭФ ДО'!P3+АК!P3</f>
        <v>0</v>
      </c>
    </row>
    <row r="6" spans="1:6" ht="15.75" customHeight="1">
      <c r="A6" s="4"/>
      <c r="B6" s="181" t="s">
        <v>7</v>
      </c>
      <c r="C6" s="222" t="s">
        <v>147</v>
      </c>
      <c r="D6" s="1"/>
      <c r="E6" s="11" t="s">
        <v>8</v>
      </c>
      <c r="F6" s="12">
        <f>'ЭФ ДО'!P4+АК!P4</f>
        <v>0</v>
      </c>
    </row>
    <row r="7" spans="1:6" ht="15.75" customHeight="1">
      <c r="A7" s="4"/>
      <c r="B7" s="182"/>
      <c r="C7" s="13"/>
      <c r="D7" s="1"/>
      <c r="E7" s="11" t="s">
        <v>9</v>
      </c>
      <c r="F7" s="12">
        <f>'ЭФ ДО'!P5+АК!P5</f>
        <v>0</v>
      </c>
    </row>
    <row r="8" spans="1:6" ht="15.75" customHeight="1">
      <c r="A8" s="4"/>
      <c r="B8" s="182"/>
      <c r="C8" s="13"/>
      <c r="D8" s="1"/>
      <c r="E8" s="11" t="s">
        <v>10</v>
      </c>
      <c r="F8" s="12">
        <f>'ЭФ ДО'!P6+АК!P6</f>
        <v>0</v>
      </c>
    </row>
    <row r="9" spans="1:6" ht="15.75" customHeight="1">
      <c r="A9" s="4"/>
      <c r="B9" s="182"/>
      <c r="C9" s="13"/>
      <c r="D9" s="1"/>
    </row>
    <row r="10" spans="1:6" ht="15.75" customHeight="1">
      <c r="A10" s="4"/>
      <c r="B10" s="183"/>
      <c r="C10" s="13"/>
      <c r="D10" s="1"/>
      <c r="E10" s="179" t="s">
        <v>11</v>
      </c>
      <c r="F10" s="180"/>
    </row>
    <row r="11" spans="1:6" ht="15.75" customHeight="1">
      <c r="A11" s="4"/>
      <c r="B11" s="14" t="s">
        <v>12</v>
      </c>
      <c r="C11" s="15" t="s">
        <v>145</v>
      </c>
      <c r="D11" s="1"/>
      <c r="E11" s="16"/>
      <c r="F11" s="16"/>
    </row>
    <row r="12" spans="1:6" ht="15.75" customHeight="1">
      <c r="A12" s="4"/>
      <c r="B12" s="14" t="s">
        <v>13</v>
      </c>
      <c r="C12" s="17" t="s">
        <v>14</v>
      </c>
      <c r="D12" s="1"/>
      <c r="E12" s="18" t="s">
        <v>15</v>
      </c>
      <c r="F12" s="12">
        <f>'ЭФ ДО'!N2+АК!N2</f>
        <v>2</v>
      </c>
    </row>
    <row r="13" spans="1:6" ht="15.75" customHeight="1">
      <c r="A13" s="4"/>
      <c r="B13" s="14" t="s">
        <v>16</v>
      </c>
      <c r="C13" s="19" t="s">
        <v>17</v>
      </c>
      <c r="D13" s="5"/>
      <c r="E13" s="18" t="s">
        <v>18</v>
      </c>
      <c r="F13" s="12">
        <f>'ЭФ ДО'!N3+АК!N3</f>
        <v>34</v>
      </c>
    </row>
    <row r="14" spans="1:6" ht="15.75" customHeight="1">
      <c r="A14" s="4"/>
      <c r="B14" s="9" t="s">
        <v>19</v>
      </c>
      <c r="C14" s="20"/>
      <c r="D14" s="5"/>
      <c r="E14" s="18" t="s">
        <v>20</v>
      </c>
      <c r="F14" s="12">
        <f>'ЭФ ДО'!N4+АК!N4</f>
        <v>0</v>
      </c>
    </row>
    <row r="15" spans="1:6" ht="15.75" customHeight="1">
      <c r="A15" s="4"/>
      <c r="B15" s="21" t="s">
        <v>21</v>
      </c>
      <c r="C15" s="22"/>
      <c r="D15" s="5"/>
      <c r="E15" s="18" t="s">
        <v>22</v>
      </c>
      <c r="F15" s="12">
        <f>'ЭФ ДО'!N5+АК!N5</f>
        <v>0</v>
      </c>
    </row>
    <row r="16" spans="1:6" ht="15.75" customHeight="1">
      <c r="A16" s="1"/>
      <c r="B16" s="7"/>
      <c r="C16" s="7"/>
      <c r="D16" s="1"/>
      <c r="E16" s="23" t="s">
        <v>23</v>
      </c>
      <c r="F16" s="12">
        <f>'ЭФ ДО'!N6+АК!N6</f>
        <v>36</v>
      </c>
    </row>
    <row r="17" spans="1:7" ht="15.75" customHeight="1">
      <c r="A17" s="1"/>
      <c r="B17" s="24"/>
      <c r="C17" s="24"/>
      <c r="D17" s="1"/>
      <c r="E17" s="24"/>
      <c r="F17" s="24"/>
      <c r="G17" s="16"/>
    </row>
    <row r="18" spans="1:7" ht="15.75" customHeight="1">
      <c r="A18" s="4"/>
      <c r="B18" s="184" t="s">
        <v>24</v>
      </c>
      <c r="C18" s="180"/>
      <c r="D18" s="5"/>
      <c r="E18" s="179" t="s">
        <v>25</v>
      </c>
      <c r="F18" s="180"/>
      <c r="G18" s="16"/>
    </row>
    <row r="19" spans="1:7" ht="15.75" customHeight="1">
      <c r="A19" s="1"/>
      <c r="B19" s="25"/>
      <c r="C19" s="25"/>
      <c r="D19" s="1"/>
      <c r="E19" s="7"/>
      <c r="F19" s="8"/>
    </row>
    <row r="20" spans="1:7" ht="15.75" customHeight="1">
      <c r="A20" s="4"/>
      <c r="B20" s="181" t="s">
        <v>26</v>
      </c>
      <c r="C20" s="26" t="s">
        <v>27</v>
      </c>
      <c r="D20" s="5"/>
      <c r="E20" s="27" t="s">
        <v>28</v>
      </c>
      <c r="F20" s="12">
        <f>'ЭФ ДО'!E4+АК!E4</f>
        <v>12.540000000000001</v>
      </c>
    </row>
    <row r="21" spans="1:7" ht="15.75" customHeight="1">
      <c r="A21" s="1"/>
      <c r="B21" s="182"/>
      <c r="C21" s="26" t="s">
        <v>29</v>
      </c>
      <c r="D21" s="1"/>
      <c r="E21" s="27" t="s">
        <v>30</v>
      </c>
      <c r="F21" s="12">
        <f>'ЭФ ДО'!F4+АК!F4</f>
        <v>11.843333333333334</v>
      </c>
    </row>
    <row r="22" spans="1:7" ht="15.75" customHeight="1">
      <c r="A22" s="4"/>
      <c r="B22" s="183"/>
      <c r="C22" s="26" t="s">
        <v>31</v>
      </c>
      <c r="D22" s="5"/>
      <c r="E22" s="23" t="s">
        <v>32</v>
      </c>
      <c r="F22" s="28">
        <f t="shared" ref="F22:F23" si="0">(F20/8)*0.5</f>
        <v>0.78375000000000006</v>
      </c>
    </row>
    <row r="23" spans="1:7" ht="15.75" customHeight="1">
      <c r="A23" s="1"/>
      <c r="B23" s="29"/>
      <c r="C23" s="29"/>
      <c r="D23" s="1"/>
      <c r="E23" s="23" t="s">
        <v>33</v>
      </c>
      <c r="F23" s="28">
        <f t="shared" si="0"/>
        <v>0.74020833333333336</v>
      </c>
    </row>
    <row r="24" spans="1:7" ht="15.75" customHeight="1">
      <c r="A24" s="4"/>
      <c r="B24" s="185" t="s">
        <v>34</v>
      </c>
      <c r="C24" s="30" t="s">
        <v>35</v>
      </c>
      <c r="D24" s="5"/>
      <c r="E24" s="31" t="s">
        <v>36</v>
      </c>
      <c r="F24" s="28">
        <f t="shared" ref="F24:F25" si="1">F20+F22</f>
        <v>13.32375</v>
      </c>
    </row>
    <row r="25" spans="1:7" ht="15.75" customHeight="1">
      <c r="A25" s="1"/>
      <c r="B25" s="182"/>
      <c r="C25" s="30" t="s">
        <v>37</v>
      </c>
      <c r="D25" s="1"/>
      <c r="E25" s="32" t="s">
        <v>38</v>
      </c>
      <c r="F25" s="33">
        <f t="shared" si="1"/>
        <v>12.583541666666667</v>
      </c>
    </row>
    <row r="26" spans="1:7" ht="15.75" customHeight="1">
      <c r="A26" s="4"/>
      <c r="B26" s="182"/>
      <c r="C26" s="30" t="s">
        <v>39</v>
      </c>
      <c r="D26" s="5"/>
      <c r="E26" s="32" t="s">
        <v>40</v>
      </c>
      <c r="F26" s="34">
        <f>(F4+F5+F6+F7+F8+F12+F14)/F16</f>
        <v>5.5555555555555552E-2</v>
      </c>
    </row>
    <row r="27" spans="1:7" ht="15.75" customHeight="1">
      <c r="A27" s="4"/>
      <c r="B27" s="182"/>
      <c r="C27" s="30" t="s">
        <v>4</v>
      </c>
      <c r="D27" s="5"/>
      <c r="E27" s="35"/>
    </row>
    <row r="28" spans="1:7" ht="14.4">
      <c r="A28" s="4"/>
      <c r="B28" s="182"/>
      <c r="C28" s="30" t="s">
        <v>6</v>
      </c>
      <c r="D28" s="5"/>
      <c r="E28" s="36" t="s">
        <v>41</v>
      </c>
      <c r="F28" s="37">
        <v>8</v>
      </c>
    </row>
    <row r="29" spans="1:7" ht="14.4">
      <c r="A29" s="4"/>
      <c r="B29" s="182"/>
      <c r="C29" s="30" t="s">
        <v>8</v>
      </c>
      <c r="D29" s="5"/>
      <c r="E29" s="31" t="s">
        <v>42</v>
      </c>
      <c r="F29" s="38">
        <f>F24+F28</f>
        <v>21.32375</v>
      </c>
    </row>
    <row r="30" spans="1:7" ht="14.4">
      <c r="A30" s="4"/>
      <c r="B30" s="182"/>
      <c r="C30" s="30" t="s">
        <v>9</v>
      </c>
      <c r="D30" s="5"/>
      <c r="E30" s="32" t="s">
        <v>43</v>
      </c>
      <c r="F30" s="39">
        <f>(F29-F25)/F29</f>
        <v>0.4098813920315767</v>
      </c>
    </row>
    <row r="31" spans="1:7" ht="14.4">
      <c r="A31" s="4"/>
      <c r="B31" s="182"/>
      <c r="C31" s="30" t="s">
        <v>10</v>
      </c>
      <c r="D31" s="5"/>
    </row>
    <row r="32" spans="1:7" ht="14.4">
      <c r="A32" s="4"/>
      <c r="B32" s="182"/>
      <c r="C32" s="30" t="s">
        <v>44</v>
      </c>
      <c r="D32" s="5"/>
      <c r="E32" s="36" t="s">
        <v>45</v>
      </c>
      <c r="F32" s="40">
        <f>'ЭФ ДО'!E5 + АК!E5</f>
        <v>2</v>
      </c>
    </row>
    <row r="33" spans="1:6" ht="14.4">
      <c r="A33" s="1"/>
      <c r="B33" s="183"/>
      <c r="C33" s="41" t="s">
        <v>46</v>
      </c>
      <c r="D33" s="1"/>
      <c r="E33" s="36" t="s">
        <v>47</v>
      </c>
      <c r="F33" s="40">
        <f>F32+F24</f>
        <v>15.32375</v>
      </c>
    </row>
    <row r="34" spans="1:6" ht="13.2">
      <c r="A34" s="16"/>
      <c r="B34" s="42"/>
      <c r="C34" s="16"/>
      <c r="D34" s="16"/>
      <c r="E34" s="43"/>
      <c r="F34" s="43"/>
    </row>
    <row r="35" spans="1:6" ht="14.4">
      <c r="A35" s="1"/>
      <c r="B35" s="42"/>
      <c r="C35" s="16"/>
      <c r="D35" s="1"/>
      <c r="E35" s="43"/>
      <c r="F35" s="43"/>
    </row>
  </sheetData>
  <mergeCells count="8">
    <mergeCell ref="B20:B22"/>
    <mergeCell ref="B24:B33"/>
    <mergeCell ref="B2:C2"/>
    <mergeCell ref="E2:F2"/>
    <mergeCell ref="B6:B10"/>
    <mergeCell ref="E10:F10"/>
    <mergeCell ref="B18:C18"/>
    <mergeCell ref="E18:F18"/>
  </mergeCells>
  <conditionalFormatting sqref="E3:F8 F12:F16 F19:F25">
    <cfRule type="cellIs" dxfId="66" priority="1" operator="equal">
      <formula>"Версия 1.1"</formula>
    </cfRule>
  </conditionalFormatting>
  <conditionalFormatting sqref="B20:B24">
    <cfRule type="containsText" dxfId="65" priority="2" operator="containsText" text="1">
      <formula>NOT(ISERROR(SEARCH(("1"),(B20))))</formula>
    </cfRule>
  </conditionalFormatting>
  <conditionalFormatting sqref="B20:B24">
    <cfRule type="containsText" dxfId="64" priority="3" operator="containsText" text="2">
      <formula>NOT(ISERROR(SEARCH(("2"),(B20))))</formula>
    </cfRule>
  </conditionalFormatting>
  <conditionalFormatting sqref="B20:B24">
    <cfRule type="containsText" dxfId="63" priority="4" operator="containsText" text="3">
      <formula>NOT(ISERROR(SEARCH(("3"),(B20))))</formula>
    </cfRule>
  </conditionalFormatting>
  <conditionalFormatting sqref="E4:E8">
    <cfRule type="cellIs" dxfId="62" priority="5" operator="equal">
      <formula>"Блокирован"</formula>
    </cfRule>
  </conditionalFormatting>
  <conditionalFormatting sqref="E6:E8">
    <cfRule type="cellIs" dxfId="61" priority="6" operator="equal">
      <formula>"Major"</formula>
    </cfRule>
  </conditionalFormatting>
  <conditionalFormatting sqref="E6:E8">
    <cfRule type="cellIs" dxfId="60" priority="7" operator="equal">
      <formula>"Minor"</formula>
    </cfRule>
  </conditionalFormatting>
  <conditionalFormatting sqref="E4:E8">
    <cfRule type="cellIs" dxfId="59" priority="8" operator="equal">
      <formula>"Not tested"</formula>
    </cfRule>
  </conditionalFormatting>
  <conditionalFormatting sqref="E4:E8">
    <cfRule type="cellIs" dxfId="58" priority="9" operator="equal">
      <formula>"Not implemented"</formula>
    </cfRule>
  </conditionalFormatting>
  <conditionalFormatting sqref="E6:E8">
    <cfRule type="cellIs" dxfId="57" priority="10" operator="equal">
      <formula>"Not available"</formula>
    </cfRule>
  </conditionalFormatting>
  <conditionalFormatting sqref="E4:E8">
    <cfRule type="cellIs" dxfId="56" priority="11" operator="equal">
      <formula>"Blocker"</formula>
    </cfRule>
  </conditionalFormatting>
  <conditionalFormatting sqref="E4:E8">
    <cfRule type="cellIs" dxfId="55" priority="12" operator="equal">
      <formula>"Critical"</formula>
    </cfRule>
  </conditionalFormatting>
  <conditionalFormatting sqref="E4:E8">
    <cfRule type="cellIs" dxfId="54" priority="13" operator="equal">
      <formula>"Major"</formula>
    </cfRule>
  </conditionalFormatting>
  <conditionalFormatting sqref="E4:E8">
    <cfRule type="cellIs" dxfId="53" priority="14" operator="equal">
      <formula>"Minor"</formula>
    </cfRule>
  </conditionalFormatting>
  <conditionalFormatting sqref="E4:E8">
    <cfRule type="cellIs" dxfId="52" priority="15" operator="equal">
      <formula>"Trivial"</formula>
    </cfRule>
  </conditionalFormatting>
  <conditionalFormatting sqref="E4:E8">
    <cfRule type="cellIs" dxfId="51" priority="16" operator="equal">
      <formula>"Partially tested"</formula>
    </cfRule>
  </conditionalFormatting>
  <conditionalFormatting sqref="E4:E8">
    <cfRule type="cellIs" dxfId="50" priority="17" operator="equal">
      <formula>"OK"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32"/>
  <sheetViews>
    <sheetView zoomScale="70" zoomScaleNormal="70" workbookViewId="0">
      <pane ySplit="9" topLeftCell="A10" activePane="bottomLeft" state="frozen"/>
      <selection pane="bottomLeft" activeCell="M14" sqref="M14"/>
    </sheetView>
  </sheetViews>
  <sheetFormatPr defaultColWidth="14.44140625" defaultRowHeight="15.75" customHeight="1"/>
  <cols>
    <col min="1" max="1" width="5" customWidth="1"/>
    <col min="2" max="2" width="8.6640625" customWidth="1"/>
    <col min="3" max="4" width="5" customWidth="1"/>
    <col min="5" max="5" width="38.88671875" customWidth="1"/>
    <col min="6" max="6" width="67.5546875" customWidth="1"/>
    <col min="7" max="7" width="7.5546875" customWidth="1"/>
    <col min="8" max="8" width="8.5546875" customWidth="1"/>
    <col min="9" max="9" width="8.33203125" customWidth="1"/>
    <col min="10" max="10" width="8.109375" customWidth="1"/>
    <col min="11" max="11" width="11.88671875" customWidth="1"/>
    <col min="12" max="12" width="14.88671875" customWidth="1"/>
    <col min="13" max="13" width="39.88671875" customWidth="1"/>
    <col min="14" max="14" width="12.5546875" customWidth="1"/>
    <col min="15" max="15" width="20.33203125" customWidth="1"/>
    <col min="16" max="16" width="19.44140625" customWidth="1"/>
    <col min="17" max="17" width="3.44140625" customWidth="1"/>
  </cols>
  <sheetData>
    <row r="1" spans="1:17" ht="13.5" customHeight="1">
      <c r="A1" s="186" t="s">
        <v>48</v>
      </c>
      <c r="B1" s="187"/>
      <c r="C1" s="187"/>
      <c r="D1" s="187"/>
      <c r="E1" s="44" t="s">
        <v>49</v>
      </c>
      <c r="F1" s="45" t="s">
        <v>50</v>
      </c>
      <c r="G1" s="46"/>
      <c r="H1" s="46"/>
      <c r="I1" s="47"/>
      <c r="J1" s="47"/>
      <c r="K1" s="48"/>
      <c r="L1" s="48"/>
      <c r="M1" s="49" t="s">
        <v>51</v>
      </c>
      <c r="N1" s="46"/>
      <c r="O1" s="50" t="s">
        <v>52</v>
      </c>
      <c r="P1" s="46"/>
      <c r="Q1" s="51"/>
    </row>
    <row r="2" spans="1:17" ht="13.5" customHeight="1">
      <c r="A2" s="188" t="s">
        <v>53</v>
      </c>
      <c r="B2" s="189"/>
      <c r="C2" s="189"/>
      <c r="D2" s="180"/>
      <c r="E2" s="52">
        <f t="shared" ref="E2:F2" si="0">SUM(I11:I32)</f>
        <v>240</v>
      </c>
      <c r="F2" s="53">
        <f t="shared" si="0"/>
        <v>215</v>
      </c>
      <c r="G2" s="46"/>
      <c r="H2" s="46"/>
      <c r="I2" s="47"/>
      <c r="J2" s="47"/>
      <c r="K2" s="48"/>
      <c r="L2" s="48"/>
      <c r="M2" s="49" t="s">
        <v>15</v>
      </c>
      <c r="N2" s="50">
        <f>COUNTIF(L11:L32,"OK")</f>
        <v>1</v>
      </c>
      <c r="O2" s="54" t="s">
        <v>4</v>
      </c>
      <c r="P2" s="50">
        <f>COUNTIF(L11:L32,"Blocker")</f>
        <v>0</v>
      </c>
      <c r="Q2" s="51"/>
    </row>
    <row r="3" spans="1:17" ht="13.5" customHeight="1">
      <c r="A3" s="188" t="s">
        <v>54</v>
      </c>
      <c r="B3" s="189"/>
      <c r="C3" s="189"/>
      <c r="D3" s="180"/>
      <c r="E3" s="44">
        <f>((N6/10)+5)*15</f>
        <v>93</v>
      </c>
      <c r="F3" s="45">
        <f>(((N3+N4+N5)/10)+5)*15</f>
        <v>91.5</v>
      </c>
      <c r="G3" s="46"/>
      <c r="H3" s="46"/>
      <c r="I3" s="47"/>
      <c r="J3" s="47"/>
      <c r="K3" s="48"/>
      <c r="L3" s="48"/>
      <c r="M3" s="49" t="s">
        <v>18</v>
      </c>
      <c r="N3" s="50">
        <f>COUNTIF(L11:L32,"Не тестировался")</f>
        <v>11</v>
      </c>
      <c r="O3" s="54" t="s">
        <v>6</v>
      </c>
      <c r="P3" s="50">
        <f>COUNTIF(L11:L32,"Critical")</f>
        <v>0</v>
      </c>
      <c r="Q3" s="51"/>
    </row>
    <row r="4" spans="1:17" ht="13.5" customHeight="1">
      <c r="A4" s="188" t="s">
        <v>55</v>
      </c>
      <c r="B4" s="189"/>
      <c r="C4" s="189"/>
      <c r="D4" s="180"/>
      <c r="E4" s="44">
        <f t="shared" ref="E4:F4" si="1">((SUM(E2,E3)/60)*1.1)</f>
        <v>6.1050000000000004</v>
      </c>
      <c r="F4" s="45">
        <f t="shared" si="1"/>
        <v>5.6191666666666675</v>
      </c>
      <c r="G4" s="46"/>
      <c r="H4" s="46"/>
      <c r="I4" s="47"/>
      <c r="J4" s="47"/>
      <c r="K4" s="48"/>
      <c r="L4" s="48"/>
      <c r="M4" s="49" t="s">
        <v>20</v>
      </c>
      <c r="N4" s="50">
        <f>COUNTIF(L11:L32,"Не реализован")</f>
        <v>0</v>
      </c>
      <c r="O4" s="54" t="s">
        <v>8</v>
      </c>
      <c r="P4" s="50">
        <f>COUNTIF(L11:L32,"Major")</f>
        <v>0</v>
      </c>
      <c r="Q4" s="51"/>
    </row>
    <row r="5" spans="1:17" ht="13.5" customHeight="1">
      <c r="A5" s="188" t="s">
        <v>56</v>
      </c>
      <c r="B5" s="189"/>
      <c r="C5" s="189"/>
      <c r="D5" s="180"/>
      <c r="E5" s="55">
        <f>(SUM(H11:H32)-E2)/60</f>
        <v>2</v>
      </c>
      <c r="F5" s="45"/>
      <c r="G5" s="56"/>
      <c r="H5" s="46"/>
      <c r="I5" s="47"/>
      <c r="J5" s="48"/>
      <c r="K5" s="48"/>
      <c r="L5" s="48"/>
      <c r="M5" s="49" t="s">
        <v>22</v>
      </c>
      <c r="N5" s="50">
        <f>COUNTIF(L11:L32,"Блокирован")</f>
        <v>0</v>
      </c>
      <c r="O5" s="54" t="s">
        <v>9</v>
      </c>
      <c r="P5" s="50">
        <f>COUNTIF(L11:L32,"Minor")</f>
        <v>0</v>
      </c>
      <c r="Q5" s="51"/>
    </row>
    <row r="6" spans="1:17" ht="13.5" customHeight="1">
      <c r="A6" s="188"/>
      <c r="B6" s="189"/>
      <c r="C6" s="189"/>
      <c r="D6" s="180"/>
      <c r="E6" s="56"/>
      <c r="F6" s="53"/>
      <c r="G6" s="56"/>
      <c r="H6" s="56"/>
      <c r="I6" s="48"/>
      <c r="J6" s="48"/>
      <c r="K6" s="48"/>
      <c r="L6" s="48"/>
      <c r="M6" s="49" t="s">
        <v>23</v>
      </c>
      <c r="N6" s="50">
        <f>N2+N3+N4+N5+P2+P3+P4+P5+P6</f>
        <v>12</v>
      </c>
      <c r="O6" s="54" t="s">
        <v>10</v>
      </c>
      <c r="P6" s="50">
        <f>COUNTIF(L11:L32,"Trivial")</f>
        <v>0</v>
      </c>
      <c r="Q6" s="51"/>
    </row>
    <row r="7" spans="1:17" ht="13.5" customHeight="1">
      <c r="A7" s="190"/>
      <c r="B7" s="191"/>
      <c r="C7" s="191"/>
      <c r="D7" s="192"/>
      <c r="E7" s="48"/>
      <c r="F7" s="57"/>
      <c r="G7" s="48"/>
      <c r="H7" s="56"/>
      <c r="I7" s="48"/>
      <c r="J7" s="48"/>
      <c r="K7" s="48"/>
      <c r="L7" s="48"/>
      <c r="M7" s="49" t="s">
        <v>57</v>
      </c>
      <c r="N7" s="58">
        <f>(N2+P2+P3+P4+P5+P6+P7)/N6</f>
        <v>8.3333333333333329E-2</v>
      </c>
      <c r="O7" s="59"/>
      <c r="P7" s="46"/>
      <c r="Q7" s="51"/>
    </row>
    <row r="8" spans="1:17" ht="14.4">
      <c r="A8" s="205"/>
      <c r="B8" s="198"/>
      <c r="C8" s="207"/>
      <c r="D8" s="208" t="s">
        <v>58</v>
      </c>
      <c r="E8" s="209" t="s">
        <v>59</v>
      </c>
      <c r="F8" s="180"/>
      <c r="G8" s="210" t="s">
        <v>60</v>
      </c>
      <c r="H8" s="189"/>
      <c r="I8" s="189"/>
      <c r="J8" s="180"/>
      <c r="K8" s="194" t="s">
        <v>61</v>
      </c>
      <c r="L8" s="60" t="s">
        <v>62</v>
      </c>
      <c r="M8" s="211" t="s">
        <v>63</v>
      </c>
      <c r="N8" s="194" t="s">
        <v>64</v>
      </c>
      <c r="O8" s="194" t="s">
        <v>65</v>
      </c>
      <c r="P8" s="194" t="s">
        <v>66</v>
      </c>
      <c r="Q8" s="16"/>
    </row>
    <row r="9" spans="1:17" ht="13.2">
      <c r="A9" s="206"/>
      <c r="B9" s="192"/>
      <c r="C9" s="183"/>
      <c r="D9" s="183"/>
      <c r="E9" s="61" t="s">
        <v>67</v>
      </c>
      <c r="F9" s="61" t="s">
        <v>68</v>
      </c>
      <c r="G9" s="62" t="s">
        <v>69</v>
      </c>
      <c r="H9" s="62" t="s">
        <v>70</v>
      </c>
      <c r="I9" s="63" t="s">
        <v>71</v>
      </c>
      <c r="J9" s="64" t="s">
        <v>72</v>
      </c>
      <c r="K9" s="183"/>
      <c r="L9" s="65"/>
      <c r="M9" s="183"/>
      <c r="N9" s="183"/>
      <c r="O9" s="183"/>
      <c r="P9" s="183"/>
      <c r="Q9" s="16"/>
    </row>
    <row r="10" spans="1:17" ht="13.2">
      <c r="A10" s="195" t="s">
        <v>73</v>
      </c>
      <c r="B10" s="189"/>
      <c r="C10" s="189"/>
      <c r="D10" s="189"/>
      <c r="E10" s="189"/>
      <c r="F10" s="180"/>
      <c r="G10" s="48"/>
      <c r="H10" s="48"/>
      <c r="I10" s="48"/>
      <c r="J10" s="48"/>
      <c r="K10" s="48"/>
      <c r="L10" s="48"/>
      <c r="M10" s="66"/>
      <c r="N10" s="48"/>
      <c r="O10" s="48"/>
      <c r="P10" s="48"/>
      <c r="Q10" s="67"/>
    </row>
    <row r="11" spans="1:17" ht="13.2">
      <c r="A11" s="68"/>
      <c r="B11" s="69">
        <f>B12/B14</f>
        <v>8.3333333333333329E-2</v>
      </c>
      <c r="C11" s="196" t="s">
        <v>74</v>
      </c>
      <c r="D11" s="197"/>
      <c r="E11" s="197"/>
      <c r="F11" s="198"/>
      <c r="G11" s="70"/>
      <c r="H11" s="70"/>
      <c r="I11" s="70"/>
      <c r="J11" s="70"/>
      <c r="K11" s="70"/>
      <c r="L11" s="70"/>
      <c r="M11" s="71"/>
      <c r="N11" s="70"/>
      <c r="O11" s="70"/>
      <c r="P11" s="70"/>
      <c r="Q11" s="51"/>
    </row>
    <row r="12" spans="1:17" ht="13.2">
      <c r="A12" s="51"/>
      <c r="B12" s="72">
        <f>COUNTIF(L12:L32,"OK")+COUNTIF(L12:L32,"Trivial")+COUNTIF(L12:L32,"Minor")+COUNTIF(L12:L32,"Major")+COUNTIF(L12:L32,"Critical")+COUNTIF(L12:L32,"Blocker")</f>
        <v>1</v>
      </c>
      <c r="C12" s="68"/>
      <c r="D12" s="199" t="s">
        <v>75</v>
      </c>
      <c r="E12" s="197"/>
      <c r="F12" s="197"/>
      <c r="G12" s="73"/>
      <c r="H12" s="74"/>
      <c r="I12" s="74"/>
      <c r="J12" s="74"/>
      <c r="K12" s="74"/>
      <c r="L12" s="74"/>
      <c r="M12" s="75"/>
      <c r="N12" s="74"/>
      <c r="O12" s="74"/>
      <c r="P12" s="74"/>
      <c r="Q12" s="51"/>
    </row>
    <row r="13" spans="1:17" ht="13.2">
      <c r="A13" s="51"/>
      <c r="B13" s="76">
        <f>COUNTIF(L12:L32,"Не тестировался")+COUNTIF(L12:L32,"Блокирован")+COUNTIF(L12:L32,"Не реализован")</f>
        <v>11</v>
      </c>
      <c r="C13" s="77"/>
      <c r="D13" s="51"/>
      <c r="E13" s="200" t="s">
        <v>76</v>
      </c>
      <c r="F13" s="180"/>
      <c r="G13" s="78">
        <v>25</v>
      </c>
      <c r="H13" s="79">
        <f t="shared" ref="H13:H16" si="2">COUNTA(L13)*G13</f>
        <v>25</v>
      </c>
      <c r="I13" s="79">
        <f t="shared" ref="I13:I16" si="3">(COUNTA(L13)-COUNTIF(L13,"Оптимизация"))*G13</f>
        <v>25</v>
      </c>
      <c r="J13" s="80">
        <f t="shared" ref="J13:J16" si="4">(COUNTIF(L13,"Не тестировался")+COUNTIF(L13,"Блокирован")+COUNTIF(L13,"Не реализован"))*G13</f>
        <v>0</v>
      </c>
      <c r="K13" s="81" t="s">
        <v>77</v>
      </c>
      <c r="L13" s="82" t="s">
        <v>44</v>
      </c>
      <c r="M13" s="83"/>
      <c r="N13" s="84"/>
      <c r="O13" s="85"/>
      <c r="P13" s="84"/>
      <c r="Q13" s="51"/>
    </row>
    <row r="14" spans="1:17" ht="79.2">
      <c r="A14" s="51"/>
      <c r="B14" s="76">
        <f>B12+B13</f>
        <v>12</v>
      </c>
      <c r="C14" s="68"/>
      <c r="D14" s="86"/>
      <c r="E14" s="87" t="s">
        <v>78</v>
      </c>
      <c r="F14" s="88" t="s">
        <v>79</v>
      </c>
      <c r="G14" s="78">
        <v>25</v>
      </c>
      <c r="H14" s="79">
        <f t="shared" si="2"/>
        <v>25</v>
      </c>
      <c r="I14" s="79">
        <f t="shared" si="3"/>
        <v>25</v>
      </c>
      <c r="J14" s="80">
        <f t="shared" si="4"/>
        <v>25</v>
      </c>
      <c r="K14" s="81">
        <v>1</v>
      </c>
      <c r="L14" s="89" t="s">
        <v>35</v>
      </c>
      <c r="M14" s="90" t="s">
        <v>80</v>
      </c>
      <c r="N14" s="91" t="s">
        <v>81</v>
      </c>
      <c r="O14" s="92" t="s">
        <v>82</v>
      </c>
      <c r="P14" s="84"/>
      <c r="Q14" s="51"/>
    </row>
    <row r="15" spans="1:17" ht="52.8">
      <c r="A15" s="51"/>
      <c r="B15" s="76"/>
      <c r="C15" s="68"/>
      <c r="D15" s="86"/>
      <c r="E15" s="87" t="s">
        <v>83</v>
      </c>
      <c r="F15" s="88" t="s">
        <v>79</v>
      </c>
      <c r="G15" s="78">
        <v>25</v>
      </c>
      <c r="H15" s="79">
        <f t="shared" si="2"/>
        <v>25</v>
      </c>
      <c r="I15" s="79">
        <f t="shared" si="3"/>
        <v>25</v>
      </c>
      <c r="J15" s="80">
        <f t="shared" si="4"/>
        <v>25</v>
      </c>
      <c r="K15" s="81">
        <v>1</v>
      </c>
      <c r="L15" s="89" t="s">
        <v>35</v>
      </c>
      <c r="M15" s="83"/>
      <c r="N15" s="91" t="s">
        <v>81</v>
      </c>
      <c r="O15" s="92" t="s">
        <v>82</v>
      </c>
      <c r="P15" s="84"/>
      <c r="Q15" s="51"/>
    </row>
    <row r="16" spans="1:17" ht="13.2">
      <c r="A16" s="51"/>
      <c r="B16" s="76"/>
      <c r="C16" s="68"/>
      <c r="D16" s="193" t="s">
        <v>84</v>
      </c>
      <c r="E16" s="201" t="s">
        <v>85</v>
      </c>
      <c r="F16" s="88" t="s">
        <v>86</v>
      </c>
      <c r="G16" s="78">
        <v>10</v>
      </c>
      <c r="H16" s="79">
        <f t="shared" si="2"/>
        <v>10</v>
      </c>
      <c r="I16" s="79">
        <f t="shared" si="3"/>
        <v>10</v>
      </c>
      <c r="J16" s="80">
        <f t="shared" si="4"/>
        <v>10</v>
      </c>
      <c r="K16" s="81">
        <v>1</v>
      </c>
      <c r="L16" s="82" t="s">
        <v>35</v>
      </c>
      <c r="M16" s="83"/>
      <c r="N16" s="91" t="s">
        <v>81</v>
      </c>
      <c r="O16" s="92" t="s">
        <v>82</v>
      </c>
      <c r="P16" s="84"/>
      <c r="Q16" s="51"/>
    </row>
    <row r="17" spans="1:17" ht="13.2">
      <c r="A17" s="51"/>
      <c r="B17" s="76"/>
      <c r="C17" s="68"/>
      <c r="D17" s="187"/>
      <c r="E17" s="182"/>
      <c r="F17" s="88" t="s">
        <v>87</v>
      </c>
      <c r="G17" s="78">
        <v>10</v>
      </c>
      <c r="H17" s="79">
        <f t="shared" ref="H17:H18" si="5">COUNTA(L17)*G17</f>
        <v>10</v>
      </c>
      <c r="I17" s="79">
        <f t="shared" ref="I17:I18" si="6">(COUNTA(L17)-COUNTIF(L17,"Оптимизация"))*G17</f>
        <v>10</v>
      </c>
      <c r="J17" s="80">
        <f t="shared" ref="J17:J18" si="7">(COUNTIF(L17,"Не тестировался")+COUNTIF(L17,"Блокирован")+COUNTIF(L17,"Не реализован"))*G17</f>
        <v>10</v>
      </c>
      <c r="K17" s="81">
        <v>1</v>
      </c>
      <c r="L17" s="82" t="s">
        <v>35</v>
      </c>
      <c r="M17" s="83"/>
      <c r="N17" s="91" t="s">
        <v>81</v>
      </c>
      <c r="O17" s="92" t="s">
        <v>82</v>
      </c>
      <c r="P17" s="84"/>
      <c r="Q17" s="51"/>
    </row>
    <row r="18" spans="1:17" ht="21" customHeight="1">
      <c r="A18" s="51"/>
      <c r="B18" s="76"/>
      <c r="C18" s="68"/>
      <c r="D18" s="187"/>
      <c r="E18" s="183"/>
      <c r="F18" s="88" t="s">
        <v>88</v>
      </c>
      <c r="G18" s="78">
        <v>10</v>
      </c>
      <c r="H18" s="79">
        <f t="shared" si="5"/>
        <v>10</v>
      </c>
      <c r="I18" s="79">
        <f t="shared" si="6"/>
        <v>10</v>
      </c>
      <c r="J18" s="80">
        <f t="shared" si="7"/>
        <v>10</v>
      </c>
      <c r="K18" s="81">
        <v>1</v>
      </c>
      <c r="L18" s="82" t="s">
        <v>35</v>
      </c>
      <c r="M18" s="83"/>
      <c r="N18" s="91" t="s">
        <v>81</v>
      </c>
      <c r="O18" s="92" t="s">
        <v>82</v>
      </c>
      <c r="P18" s="84"/>
      <c r="Q18" s="51"/>
    </row>
    <row r="19" spans="1:17" ht="13.2">
      <c r="A19" s="51"/>
      <c r="B19" s="76"/>
      <c r="C19" s="68"/>
      <c r="D19" s="187"/>
      <c r="E19" s="202" t="s">
        <v>89</v>
      </c>
      <c r="F19" s="88" t="s">
        <v>86</v>
      </c>
      <c r="G19" s="78">
        <v>15</v>
      </c>
      <c r="H19" s="79">
        <f t="shared" ref="H19:H22" si="8">COUNTA(L19)*G19</f>
        <v>15</v>
      </c>
      <c r="I19" s="79">
        <f t="shared" ref="I19:I22" si="9">(COUNTA(L19)-COUNTIF(L19,"Оптимизация"))*G19</f>
        <v>0</v>
      </c>
      <c r="J19" s="80">
        <f t="shared" ref="J19:J22" si="10">(COUNTIF(L19,"Не тестировался")+COUNTIF(L19,"Блокирован")+COUNTIF(L19,"Не реализован"))*G19</f>
        <v>0</v>
      </c>
      <c r="K19" s="81">
        <v>1</v>
      </c>
      <c r="L19" s="89" t="s">
        <v>90</v>
      </c>
      <c r="M19" s="83"/>
      <c r="N19" s="91" t="s">
        <v>81</v>
      </c>
      <c r="O19" s="92" t="s">
        <v>82</v>
      </c>
      <c r="P19" s="84"/>
      <c r="Q19" s="51"/>
    </row>
    <row r="20" spans="1:17" ht="13.2">
      <c r="A20" s="51"/>
      <c r="B20" s="76"/>
      <c r="C20" s="68"/>
      <c r="D20" s="187"/>
      <c r="E20" s="182"/>
      <c r="F20" s="88" t="s">
        <v>87</v>
      </c>
      <c r="G20" s="78">
        <v>15</v>
      </c>
      <c r="H20" s="79">
        <f t="shared" si="8"/>
        <v>15</v>
      </c>
      <c r="I20" s="79">
        <f t="shared" si="9"/>
        <v>0</v>
      </c>
      <c r="J20" s="80">
        <f t="shared" si="10"/>
        <v>0</v>
      </c>
      <c r="K20" s="81">
        <v>1</v>
      </c>
      <c r="L20" s="89" t="s">
        <v>90</v>
      </c>
      <c r="M20" s="83"/>
      <c r="N20" s="91" t="s">
        <v>81</v>
      </c>
      <c r="O20" s="92" t="s">
        <v>82</v>
      </c>
      <c r="P20" s="84"/>
      <c r="Q20" s="51"/>
    </row>
    <row r="21" spans="1:17" ht="23.25" customHeight="1">
      <c r="A21" s="51"/>
      <c r="B21" s="76"/>
      <c r="C21" s="68"/>
      <c r="D21" s="187"/>
      <c r="E21" s="183"/>
      <c r="F21" s="88" t="s">
        <v>88</v>
      </c>
      <c r="G21" s="78">
        <v>15</v>
      </c>
      <c r="H21" s="79">
        <f t="shared" si="8"/>
        <v>15</v>
      </c>
      <c r="I21" s="79">
        <f t="shared" si="9"/>
        <v>0</v>
      </c>
      <c r="J21" s="80">
        <f t="shared" si="10"/>
        <v>0</v>
      </c>
      <c r="K21" s="81">
        <v>1</v>
      </c>
      <c r="L21" s="89" t="s">
        <v>90</v>
      </c>
      <c r="M21" s="83"/>
      <c r="N21" s="91" t="s">
        <v>81</v>
      </c>
      <c r="O21" s="92" t="s">
        <v>82</v>
      </c>
      <c r="P21" s="84"/>
      <c r="Q21" s="51"/>
    </row>
    <row r="22" spans="1:17" ht="92.4">
      <c r="A22" s="51"/>
      <c r="B22" s="76"/>
      <c r="C22" s="68"/>
      <c r="D22" s="187"/>
      <c r="E22" s="87" t="s">
        <v>91</v>
      </c>
      <c r="F22" s="88" t="s">
        <v>92</v>
      </c>
      <c r="G22" s="78">
        <v>10</v>
      </c>
      <c r="H22" s="79">
        <f t="shared" si="8"/>
        <v>10</v>
      </c>
      <c r="I22" s="79">
        <f t="shared" si="9"/>
        <v>10</v>
      </c>
      <c r="J22" s="93">
        <f t="shared" si="10"/>
        <v>10</v>
      </c>
      <c r="K22" s="81">
        <v>1</v>
      </c>
      <c r="L22" s="89" t="s">
        <v>35</v>
      </c>
      <c r="M22" s="83"/>
      <c r="N22" s="91" t="s">
        <v>81</v>
      </c>
      <c r="O22" s="92" t="s">
        <v>82</v>
      </c>
      <c r="P22" s="84"/>
      <c r="Q22" s="51"/>
    </row>
    <row r="23" spans="1:17" ht="13.2">
      <c r="A23" s="51"/>
      <c r="B23" s="76"/>
      <c r="C23" s="68"/>
      <c r="D23" s="187"/>
      <c r="E23" s="203" t="s">
        <v>93</v>
      </c>
      <c r="F23" s="192"/>
      <c r="G23" s="94"/>
      <c r="H23" s="95"/>
      <c r="I23" s="96"/>
      <c r="J23" s="96"/>
      <c r="K23" s="97"/>
      <c r="L23" s="98"/>
      <c r="M23" s="99"/>
      <c r="N23" s="100"/>
      <c r="O23" s="96"/>
      <c r="P23" s="96"/>
      <c r="Q23" s="51"/>
    </row>
    <row r="24" spans="1:17" ht="211.2">
      <c r="A24" s="51"/>
      <c r="B24" s="76"/>
      <c r="C24" s="68"/>
      <c r="D24" s="187"/>
      <c r="E24" s="87" t="s">
        <v>94</v>
      </c>
      <c r="F24" s="88" t="s">
        <v>95</v>
      </c>
      <c r="G24" s="78">
        <v>25</v>
      </c>
      <c r="H24" s="79">
        <f t="shared" ref="H24:H29" si="11">COUNTA(L24)*G24</f>
        <v>25</v>
      </c>
      <c r="I24" s="79">
        <f t="shared" ref="I24:I29" si="12">(COUNTA(L24)-COUNTIF(L24,"Оптимизация"))*G24</f>
        <v>25</v>
      </c>
      <c r="J24" s="93">
        <f t="shared" ref="J24:J29" si="13">(COUNTIF(L24,"Не тестировался")+COUNTIF(L24,"Блокирован")+COUNTIF(L24,"Не реализован"))*G24</f>
        <v>25</v>
      </c>
      <c r="K24" s="81">
        <v>1</v>
      </c>
      <c r="L24" s="89" t="s">
        <v>35</v>
      </c>
      <c r="M24" s="90"/>
      <c r="N24" s="91" t="s">
        <v>81</v>
      </c>
      <c r="O24" s="92" t="s">
        <v>82</v>
      </c>
      <c r="P24" s="101"/>
      <c r="Q24" s="51"/>
    </row>
    <row r="25" spans="1:17" ht="277.2">
      <c r="A25" s="51"/>
      <c r="B25" s="76"/>
      <c r="C25" s="68"/>
      <c r="D25" s="187"/>
      <c r="E25" s="102" t="s">
        <v>96</v>
      </c>
      <c r="F25" s="88" t="s">
        <v>97</v>
      </c>
      <c r="G25" s="78">
        <v>25</v>
      </c>
      <c r="H25" s="79">
        <f t="shared" si="11"/>
        <v>25</v>
      </c>
      <c r="I25" s="79">
        <f t="shared" si="12"/>
        <v>25</v>
      </c>
      <c r="J25" s="103">
        <f t="shared" si="13"/>
        <v>25</v>
      </c>
      <c r="K25" s="81">
        <v>1</v>
      </c>
      <c r="L25" s="89" t="s">
        <v>35</v>
      </c>
      <c r="M25" s="83"/>
      <c r="N25" s="91" t="s">
        <v>81</v>
      </c>
      <c r="O25" s="92" t="s">
        <v>82</v>
      </c>
      <c r="P25" s="84"/>
      <c r="Q25" s="51"/>
    </row>
    <row r="26" spans="1:17" ht="13.2">
      <c r="A26" s="51"/>
      <c r="B26" s="76"/>
      <c r="C26" s="68"/>
      <c r="D26" s="187"/>
      <c r="E26" s="87" t="s">
        <v>98</v>
      </c>
      <c r="F26" s="88" t="s">
        <v>99</v>
      </c>
      <c r="G26" s="78">
        <v>25</v>
      </c>
      <c r="H26" s="79">
        <f t="shared" si="11"/>
        <v>25</v>
      </c>
      <c r="I26" s="79">
        <f t="shared" si="12"/>
        <v>25</v>
      </c>
      <c r="J26" s="93">
        <f t="shared" si="13"/>
        <v>25</v>
      </c>
      <c r="K26" s="81">
        <v>1</v>
      </c>
      <c r="L26" s="89" t="s">
        <v>35</v>
      </c>
      <c r="M26" s="83"/>
      <c r="N26" s="91" t="s">
        <v>81</v>
      </c>
      <c r="O26" s="92" t="s">
        <v>82</v>
      </c>
      <c r="P26" s="84"/>
      <c r="Q26" s="51"/>
    </row>
    <row r="27" spans="1:17" ht="39.6">
      <c r="A27" s="51"/>
      <c r="B27" s="76"/>
      <c r="C27" s="68"/>
      <c r="D27" s="187"/>
      <c r="E27" s="87" t="s">
        <v>98</v>
      </c>
      <c r="F27" s="88" t="s">
        <v>100</v>
      </c>
      <c r="G27" s="78">
        <v>25</v>
      </c>
      <c r="H27" s="79">
        <f t="shared" si="11"/>
        <v>25</v>
      </c>
      <c r="I27" s="79">
        <f t="shared" si="12"/>
        <v>0</v>
      </c>
      <c r="J27" s="93">
        <f t="shared" si="13"/>
        <v>0</v>
      </c>
      <c r="K27" s="81">
        <v>2</v>
      </c>
      <c r="L27" s="89" t="s">
        <v>90</v>
      </c>
      <c r="M27" s="83"/>
      <c r="N27" s="91" t="s">
        <v>81</v>
      </c>
      <c r="O27" s="92" t="s">
        <v>82</v>
      </c>
      <c r="P27" s="84"/>
      <c r="Q27" s="51"/>
    </row>
    <row r="28" spans="1:17" ht="39.6">
      <c r="A28" s="51"/>
      <c r="B28" s="76"/>
      <c r="C28" s="68"/>
      <c r="D28" s="187"/>
      <c r="E28" s="87" t="s">
        <v>101</v>
      </c>
      <c r="F28" s="88" t="s">
        <v>102</v>
      </c>
      <c r="G28" s="78">
        <v>25</v>
      </c>
      <c r="H28" s="79">
        <f t="shared" si="11"/>
        <v>25</v>
      </c>
      <c r="I28" s="79">
        <f t="shared" si="12"/>
        <v>0</v>
      </c>
      <c r="J28" s="93">
        <f t="shared" si="13"/>
        <v>0</v>
      </c>
      <c r="K28" s="81">
        <v>2</v>
      </c>
      <c r="L28" s="89" t="s">
        <v>90</v>
      </c>
      <c r="M28" s="83"/>
      <c r="N28" s="91" t="s">
        <v>81</v>
      </c>
      <c r="O28" s="92" t="s">
        <v>82</v>
      </c>
      <c r="P28" s="84"/>
      <c r="Q28" s="51"/>
    </row>
    <row r="29" spans="1:17" ht="79.2">
      <c r="A29" s="51"/>
      <c r="B29" s="76"/>
      <c r="C29" s="68"/>
      <c r="D29" s="187"/>
      <c r="E29" s="87" t="s">
        <v>103</v>
      </c>
      <c r="F29" s="88" t="s">
        <v>104</v>
      </c>
      <c r="G29" s="78">
        <v>25</v>
      </c>
      <c r="H29" s="79">
        <f t="shared" si="11"/>
        <v>25</v>
      </c>
      <c r="I29" s="79">
        <f t="shared" si="12"/>
        <v>0</v>
      </c>
      <c r="J29" s="93">
        <f t="shared" si="13"/>
        <v>0</v>
      </c>
      <c r="K29" s="81">
        <v>2</v>
      </c>
      <c r="L29" s="89" t="s">
        <v>90</v>
      </c>
      <c r="M29" s="83"/>
      <c r="N29" s="91" t="s">
        <v>81</v>
      </c>
      <c r="O29" s="92" t="s">
        <v>82</v>
      </c>
      <c r="P29" s="101"/>
      <c r="Q29" s="51"/>
    </row>
    <row r="30" spans="1:17" ht="13.2">
      <c r="A30" s="51"/>
      <c r="B30" s="76"/>
      <c r="C30" s="68"/>
      <c r="D30" s="187"/>
      <c r="E30" s="204" t="s">
        <v>105</v>
      </c>
      <c r="F30" s="192"/>
      <c r="G30" s="94"/>
      <c r="H30" s="95"/>
      <c r="I30" s="96"/>
      <c r="J30" s="96"/>
      <c r="K30" s="97"/>
      <c r="L30" s="98"/>
      <c r="M30" s="99"/>
      <c r="N30" s="100"/>
      <c r="O30" s="96"/>
      <c r="P30" s="96"/>
      <c r="Q30" s="51"/>
    </row>
    <row r="31" spans="1:17" ht="79.2">
      <c r="A31" s="51"/>
      <c r="B31" s="76"/>
      <c r="C31" s="68"/>
      <c r="D31" s="187"/>
      <c r="E31" s="87" t="s">
        <v>106</v>
      </c>
      <c r="F31" s="88" t="s">
        <v>107</v>
      </c>
      <c r="G31" s="78">
        <v>25</v>
      </c>
      <c r="H31" s="79">
        <f t="shared" ref="H31:H32" si="14">COUNTA(L31)*G31</f>
        <v>25</v>
      </c>
      <c r="I31" s="79">
        <f t="shared" ref="I31:I32" si="15">(COUNTA(L31)-COUNTIF(L31,"Оптимизация"))*G31</f>
        <v>25</v>
      </c>
      <c r="J31" s="80">
        <f t="shared" ref="J31:J32" si="16">(COUNTIF(L31,"Не тестировался")+COUNTIF(L31,"Блокирован")+COUNTIF(L31,"Не реализован"))*G31</f>
        <v>25</v>
      </c>
      <c r="K31" s="81">
        <v>1</v>
      </c>
      <c r="L31" s="89" t="s">
        <v>35</v>
      </c>
      <c r="M31" s="222" t="s">
        <v>148</v>
      </c>
      <c r="N31" s="104">
        <v>44562</v>
      </c>
      <c r="O31" s="92" t="s">
        <v>82</v>
      </c>
      <c r="P31" s="84"/>
      <c r="Q31" s="51"/>
    </row>
    <row r="32" spans="1:17" ht="105.6">
      <c r="A32" s="51"/>
      <c r="B32" s="76"/>
      <c r="C32" s="68"/>
      <c r="D32" s="187"/>
      <c r="E32" s="87" t="s">
        <v>108</v>
      </c>
      <c r="F32" s="88" t="s">
        <v>109</v>
      </c>
      <c r="G32" s="78">
        <v>25</v>
      </c>
      <c r="H32" s="79">
        <f t="shared" si="14"/>
        <v>25</v>
      </c>
      <c r="I32" s="79">
        <f t="shared" si="15"/>
        <v>25</v>
      </c>
      <c r="J32" s="80">
        <f t="shared" si="16"/>
        <v>25</v>
      </c>
      <c r="K32" s="81">
        <v>1</v>
      </c>
      <c r="L32" s="89" t="s">
        <v>35</v>
      </c>
      <c r="M32" s="105"/>
      <c r="N32" s="104">
        <v>44562</v>
      </c>
      <c r="O32" s="92" t="s">
        <v>82</v>
      </c>
      <c r="P32" s="84"/>
      <c r="Q32" s="51"/>
    </row>
  </sheetData>
  <mergeCells count="26">
    <mergeCell ref="P8:P9"/>
    <mergeCell ref="A10:F10"/>
    <mergeCell ref="C11:F11"/>
    <mergeCell ref="D12:F12"/>
    <mergeCell ref="E13:F13"/>
    <mergeCell ref="A8:B9"/>
    <mergeCell ref="C8:C9"/>
    <mergeCell ref="D8:D9"/>
    <mergeCell ref="E8:F8"/>
    <mergeCell ref="G8:J8"/>
    <mergeCell ref="K8:K9"/>
    <mergeCell ref="M8:M9"/>
    <mergeCell ref="A6:D6"/>
    <mergeCell ref="A7:D7"/>
    <mergeCell ref="D16:D32"/>
    <mergeCell ref="N8:N9"/>
    <mergeCell ref="O8:O9"/>
    <mergeCell ref="E16:E18"/>
    <mergeCell ref="E19:E21"/>
    <mergeCell ref="E23:F23"/>
    <mergeCell ref="E30:F30"/>
    <mergeCell ref="A1:D1"/>
    <mergeCell ref="A2:D2"/>
    <mergeCell ref="A3:D3"/>
    <mergeCell ref="A4:D4"/>
    <mergeCell ref="A5:D5"/>
  </mergeCells>
  <conditionalFormatting sqref="G23:P23 G30:P30">
    <cfRule type="cellIs" dxfId="49" priority="1" operator="equal">
      <formula>"Не тестировался"</formula>
    </cfRule>
  </conditionalFormatting>
  <conditionalFormatting sqref="G23:P23 G30:P30">
    <cfRule type="cellIs" dxfId="48" priority="2" operator="equal">
      <formula>"Не реализован"</formula>
    </cfRule>
  </conditionalFormatting>
  <conditionalFormatting sqref="G23:P23 G30:P30">
    <cfRule type="cellIs" dxfId="47" priority="3" operator="equal">
      <formula>"Blocker"</formula>
    </cfRule>
  </conditionalFormatting>
  <conditionalFormatting sqref="G23:P23 G30:P30">
    <cfRule type="cellIs" dxfId="46" priority="4" operator="equal">
      <formula>"Critical"</formula>
    </cfRule>
  </conditionalFormatting>
  <conditionalFormatting sqref="G23:P23 G30:P30">
    <cfRule type="cellIs" dxfId="45" priority="5" operator="equal">
      <formula>"Major"</formula>
    </cfRule>
  </conditionalFormatting>
  <conditionalFormatting sqref="G23:P23 G30:P30">
    <cfRule type="cellIs" dxfId="44" priority="6" operator="equal">
      <formula>"Minor"</formula>
    </cfRule>
  </conditionalFormatting>
  <conditionalFormatting sqref="G23:P23 G30:P30">
    <cfRule type="cellIs" dxfId="43" priority="7" operator="equal">
      <formula>"Trivial"</formula>
    </cfRule>
  </conditionalFormatting>
  <conditionalFormatting sqref="G23:P23 G30:P30">
    <cfRule type="cellIs" dxfId="42" priority="8" operator="equal">
      <formula>"OK"</formula>
    </cfRule>
  </conditionalFormatting>
  <conditionalFormatting sqref="K23 K30">
    <cfRule type="containsText" dxfId="41" priority="9" operator="containsText" text="1">
      <formula>NOT(ISERROR(SEARCH(("1"),(K23))))</formula>
    </cfRule>
  </conditionalFormatting>
  <conditionalFormatting sqref="K23 K30">
    <cfRule type="containsText" dxfId="40" priority="10" operator="containsText" text="2">
      <formula>NOT(ISERROR(SEARCH(("2"),(K23))))</formula>
    </cfRule>
  </conditionalFormatting>
  <conditionalFormatting sqref="K23 K30">
    <cfRule type="containsText" dxfId="39" priority="11" operator="containsText" text="3">
      <formula>NOT(ISERROR(SEARCH(("3"),(K23))))</formula>
    </cfRule>
  </conditionalFormatting>
  <conditionalFormatting sqref="L23 L30">
    <cfRule type="containsText" dxfId="38" priority="12" operator="containsText" text="Оптимизация">
      <formula>NOT(ISERROR(SEARCH(("Оптимизация"),(L23))))</formula>
    </cfRule>
  </conditionalFormatting>
  <conditionalFormatting sqref="K23 K30">
    <cfRule type="containsText" dxfId="37" priority="13" operator="containsText" text="smoke">
      <formula>NOT(ISERROR(SEARCH(("smoke"),(K23))))</formula>
    </cfRule>
  </conditionalFormatting>
  <conditionalFormatting sqref="L14:L15 L19:L32 N23:P23 N30:P30">
    <cfRule type="cellIs" dxfId="36" priority="14" operator="equal">
      <formula>"Версия 1.1"</formula>
    </cfRule>
  </conditionalFormatting>
  <conditionalFormatting sqref="J11:L32 G23:I23 M23:P23 G30:I30 M30:P30">
    <cfRule type="cellIs" dxfId="35" priority="15" operator="equal">
      <formula>"Блокирован"</formula>
    </cfRule>
  </conditionalFormatting>
  <conditionalFormatting sqref="J11:L32">
    <cfRule type="cellIs" dxfId="34" priority="16" operator="equal">
      <formula>"Не тестировался"</formula>
    </cfRule>
  </conditionalFormatting>
  <conditionalFormatting sqref="J11:L32">
    <cfRule type="cellIs" dxfId="33" priority="17" operator="equal">
      <formula>"Не реализован"</formula>
    </cfRule>
  </conditionalFormatting>
  <conditionalFormatting sqref="J11:L32">
    <cfRule type="cellIs" dxfId="32" priority="18" operator="equal">
      <formula>"Оптимизация"</formula>
    </cfRule>
  </conditionalFormatting>
  <conditionalFormatting sqref="J11:L32">
    <cfRule type="cellIs" dxfId="31" priority="19" operator="equal">
      <formula>"Blocker"</formula>
    </cfRule>
  </conditionalFormatting>
  <conditionalFormatting sqref="J11:L32">
    <cfRule type="cellIs" dxfId="30" priority="20" operator="equal">
      <formula>"Critical"</formula>
    </cfRule>
  </conditionalFormatting>
  <conditionalFormatting sqref="J11:L32">
    <cfRule type="cellIs" dxfId="29" priority="21" operator="equal">
      <formula>"Major"</formula>
    </cfRule>
  </conditionalFormatting>
  <conditionalFormatting sqref="J11:L32">
    <cfRule type="cellIs" dxfId="28" priority="22" operator="equal">
      <formula>"Minor"</formula>
    </cfRule>
  </conditionalFormatting>
  <conditionalFormatting sqref="J11:L32">
    <cfRule type="cellIs" dxfId="27" priority="23" operator="equal">
      <formula>"Trivial"</formula>
    </cfRule>
  </conditionalFormatting>
  <conditionalFormatting sqref="J11:L32">
    <cfRule type="cellIs" dxfId="26" priority="24" operator="equal">
      <formula>"OK"</formula>
    </cfRule>
  </conditionalFormatting>
  <conditionalFormatting sqref="L10:L32">
    <cfRule type="cellIs" dxfId="25" priority="25" operator="equal">
      <formula>"Оптимизация"</formula>
    </cfRule>
  </conditionalFormatting>
  <conditionalFormatting sqref="K10:K32">
    <cfRule type="cellIs" dxfId="24" priority="26" operator="equal">
      <formula>"smoke"</formula>
    </cfRule>
  </conditionalFormatting>
  <conditionalFormatting sqref="K10:K32">
    <cfRule type="cellIs" dxfId="23" priority="27" operator="equal">
      <formula>1</formula>
    </cfRule>
  </conditionalFormatting>
  <conditionalFormatting sqref="K10:K32">
    <cfRule type="cellIs" dxfId="22" priority="28" operator="equal">
      <formula>2</formula>
    </cfRule>
  </conditionalFormatting>
  <conditionalFormatting sqref="K10:K32">
    <cfRule type="cellIs" dxfId="21" priority="29" operator="equal">
      <formula>3</formula>
    </cfRule>
  </conditionalFormatting>
  <dataValidations count="2">
    <dataValidation type="list" allowBlank="1" sqref="L13:L22 L24:L29 L31:L32" xr:uid="{00000000-0002-0000-0100-000000000000}">
      <formula1>"OK,Trivial,Minor,Major,Critical,Blocker,Не реализован,Не тестировался,Блокирован,Оптимизация"</formula1>
    </dataValidation>
    <dataValidation type="list" allowBlank="1" sqref="K13:K22 K24:K29 K31:K32" xr:uid="{00000000-0002-0000-0100-000001000000}">
      <formula1>"smoke,1,2,3"</formula1>
    </dataValidation>
  </dataValidations>
  <hyperlinks>
    <hyperlink ref="A10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42"/>
  <sheetViews>
    <sheetView zoomScale="85" zoomScaleNormal="85" workbookViewId="0">
      <pane ySplit="9" topLeftCell="A19" activePane="bottomLeft" state="frozen"/>
      <selection pane="bottomLeft" activeCell="L15" sqref="L15"/>
    </sheetView>
  </sheetViews>
  <sheetFormatPr defaultColWidth="14.44140625" defaultRowHeight="15.75" customHeight="1"/>
  <cols>
    <col min="1" max="1" width="5" customWidth="1"/>
    <col min="2" max="2" width="8.6640625" customWidth="1"/>
    <col min="3" max="4" width="5" customWidth="1"/>
    <col min="5" max="5" width="62.44140625" customWidth="1"/>
    <col min="6" max="6" width="42.109375" customWidth="1"/>
    <col min="7" max="7" width="10" customWidth="1"/>
    <col min="8" max="8" width="6.6640625" customWidth="1"/>
    <col min="9" max="9" width="10" customWidth="1"/>
    <col min="10" max="10" width="8.44140625" customWidth="1"/>
    <col min="11" max="11" width="9.33203125" customWidth="1"/>
    <col min="12" max="12" width="19.33203125" customWidth="1"/>
    <col min="13" max="13" width="17.5546875" customWidth="1"/>
    <col min="14" max="14" width="11.5546875" customWidth="1"/>
    <col min="15" max="15" width="19.6640625" customWidth="1"/>
    <col min="16" max="16" width="20.33203125" customWidth="1"/>
    <col min="17" max="17" width="2.44140625" customWidth="1"/>
  </cols>
  <sheetData>
    <row r="1" spans="1:17" ht="13.5" customHeight="1">
      <c r="A1" s="212" t="s">
        <v>48</v>
      </c>
      <c r="B1" s="187"/>
      <c r="C1" s="187"/>
      <c r="D1" s="187"/>
      <c r="E1" s="106" t="s">
        <v>49</v>
      </c>
      <c r="F1" s="107" t="s">
        <v>50</v>
      </c>
      <c r="G1" s="108"/>
      <c r="H1" s="108"/>
      <c r="I1" s="109"/>
      <c r="J1" s="109"/>
      <c r="K1" s="110"/>
      <c r="L1" s="110"/>
      <c r="M1" s="111" t="s">
        <v>51</v>
      </c>
      <c r="N1" s="108"/>
      <c r="O1" s="111" t="s">
        <v>52</v>
      </c>
      <c r="P1" s="108"/>
      <c r="Q1" s="112"/>
    </row>
    <row r="2" spans="1:17" ht="13.5" customHeight="1">
      <c r="A2" s="213" t="s">
        <v>53</v>
      </c>
      <c r="B2" s="189"/>
      <c r="C2" s="189"/>
      <c r="D2" s="180"/>
      <c r="E2" s="113">
        <f t="shared" ref="E2:F2" si="0">SUM(I12:I42)</f>
        <v>240</v>
      </c>
      <c r="F2" s="114">
        <f t="shared" si="0"/>
        <v>230</v>
      </c>
      <c r="G2" s="108"/>
      <c r="H2" s="108"/>
      <c r="I2" s="109"/>
      <c r="J2" s="109"/>
      <c r="K2" s="110"/>
      <c r="L2" s="110"/>
      <c r="M2" s="111" t="s">
        <v>15</v>
      </c>
      <c r="N2" s="111">
        <f>COUNTIF(L14:L42,"OK")</f>
        <v>1</v>
      </c>
      <c r="O2" s="115" t="s">
        <v>4</v>
      </c>
      <c r="P2" s="111">
        <f>COUNTIF(L14:L42,"Blocker")</f>
        <v>0</v>
      </c>
      <c r="Q2" s="116"/>
    </row>
    <row r="3" spans="1:17" ht="13.5" customHeight="1">
      <c r="A3" s="213" t="s">
        <v>54</v>
      </c>
      <c r="B3" s="189"/>
      <c r="C3" s="189"/>
      <c r="D3" s="180"/>
      <c r="E3" s="117">
        <f>((N6/10)+5)*15</f>
        <v>111</v>
      </c>
      <c r="F3" s="118">
        <f>(((N3+N4+N5)/10)+5)*15</f>
        <v>109.5</v>
      </c>
      <c r="G3" s="108"/>
      <c r="H3" s="108"/>
      <c r="I3" s="109"/>
      <c r="J3" s="109"/>
      <c r="K3" s="110"/>
      <c r="L3" s="110"/>
      <c r="M3" s="111" t="s">
        <v>18</v>
      </c>
      <c r="N3" s="111">
        <f>COUNTIF(L14:L42,"Не тестировался")</f>
        <v>23</v>
      </c>
      <c r="O3" s="115" t="s">
        <v>6</v>
      </c>
      <c r="P3" s="111">
        <f>COUNTIF(L14:L42,"Critical")</f>
        <v>0</v>
      </c>
      <c r="Q3" s="116"/>
    </row>
    <row r="4" spans="1:17" ht="13.5" customHeight="1">
      <c r="A4" s="213" t="s">
        <v>55</v>
      </c>
      <c r="B4" s="189"/>
      <c r="C4" s="189"/>
      <c r="D4" s="180"/>
      <c r="E4" s="117">
        <f t="shared" ref="E4:F4" si="1">((SUM(E2,E3)/60)*1.1)</f>
        <v>6.4350000000000005</v>
      </c>
      <c r="F4" s="118">
        <f t="shared" si="1"/>
        <v>6.2241666666666671</v>
      </c>
      <c r="G4" s="108"/>
      <c r="H4" s="108"/>
      <c r="I4" s="109"/>
      <c r="J4" s="109"/>
      <c r="K4" s="110"/>
      <c r="L4" s="110"/>
      <c r="M4" s="111" t="s">
        <v>20</v>
      </c>
      <c r="N4" s="111">
        <f>COUNTIF(L14:L42,"Не реализован")</f>
        <v>0</v>
      </c>
      <c r="O4" s="115" t="s">
        <v>8</v>
      </c>
      <c r="P4" s="111">
        <f>COUNTIF(L14:L42,"Major")</f>
        <v>0</v>
      </c>
      <c r="Q4" s="116"/>
    </row>
    <row r="5" spans="1:17" ht="13.5" customHeight="1">
      <c r="A5" s="213" t="s">
        <v>56</v>
      </c>
      <c r="B5" s="189"/>
      <c r="C5" s="189"/>
      <c r="D5" s="180"/>
      <c r="E5" s="119">
        <f>(SUM(H12:H42)-E2)/60</f>
        <v>0</v>
      </c>
      <c r="F5" s="120"/>
      <c r="G5" s="120"/>
      <c r="H5" s="108"/>
      <c r="I5" s="109"/>
      <c r="J5" s="110"/>
      <c r="K5" s="110"/>
      <c r="L5" s="110"/>
      <c r="M5" s="111" t="s">
        <v>22</v>
      </c>
      <c r="N5" s="111">
        <f>COUNTIF(L14:L42,"Блокирован")</f>
        <v>0</v>
      </c>
      <c r="O5" s="115" t="s">
        <v>9</v>
      </c>
      <c r="P5" s="111">
        <f>COUNTIF(L14:L42,"Minor")</f>
        <v>0</v>
      </c>
      <c r="Q5" s="116"/>
    </row>
    <row r="6" spans="1:17" ht="13.5" customHeight="1">
      <c r="A6" s="213"/>
      <c r="B6" s="189"/>
      <c r="C6" s="189"/>
      <c r="D6" s="180"/>
      <c r="E6" s="120"/>
      <c r="F6" s="121"/>
      <c r="G6" s="120"/>
      <c r="H6" s="120"/>
      <c r="I6" s="110"/>
      <c r="J6" s="110"/>
      <c r="K6" s="110"/>
      <c r="L6" s="110"/>
      <c r="M6" s="111" t="s">
        <v>23</v>
      </c>
      <c r="N6" s="111">
        <f>N2+N3+N4+N5+P2+P3+P4+P5+P6</f>
        <v>24</v>
      </c>
      <c r="O6" s="115" t="s">
        <v>10</v>
      </c>
      <c r="P6" s="111">
        <f>COUNTIF(L14:L42,"Trivial")</f>
        <v>0</v>
      </c>
      <c r="Q6" s="116"/>
    </row>
    <row r="7" spans="1:17" ht="13.5" customHeight="1">
      <c r="A7" s="214"/>
      <c r="B7" s="191"/>
      <c r="C7" s="191"/>
      <c r="D7" s="192"/>
      <c r="E7" s="110"/>
      <c r="F7" s="122"/>
      <c r="G7" s="110"/>
      <c r="H7" s="120"/>
      <c r="I7" s="110"/>
      <c r="J7" s="110"/>
      <c r="K7" s="110"/>
      <c r="L7" s="110"/>
      <c r="M7" s="111" t="s">
        <v>57</v>
      </c>
      <c r="N7" s="123">
        <f>(N2+P2+P3+P4+P5+P6+P7)/N6</f>
        <v>4.1666666666666664E-2</v>
      </c>
      <c r="O7" s="124"/>
      <c r="P7" s="108"/>
      <c r="Q7" s="112"/>
    </row>
    <row r="8" spans="1:17" ht="14.4">
      <c r="A8" s="205"/>
      <c r="B8" s="198"/>
      <c r="C8" s="207"/>
      <c r="D8" s="208" t="s">
        <v>58</v>
      </c>
      <c r="E8" s="209" t="s">
        <v>59</v>
      </c>
      <c r="F8" s="180"/>
      <c r="G8" s="210" t="s">
        <v>60</v>
      </c>
      <c r="H8" s="189"/>
      <c r="I8" s="189"/>
      <c r="J8" s="180"/>
      <c r="K8" s="194" t="s">
        <v>61</v>
      </c>
      <c r="L8" s="60"/>
      <c r="M8" s="208" t="s">
        <v>63</v>
      </c>
      <c r="N8" s="194" t="s">
        <v>64</v>
      </c>
      <c r="O8" s="194" t="s">
        <v>110</v>
      </c>
      <c r="P8" s="194" t="s">
        <v>111</v>
      </c>
      <c r="Q8" s="125"/>
    </row>
    <row r="9" spans="1:17" ht="13.2">
      <c r="A9" s="206"/>
      <c r="B9" s="192"/>
      <c r="C9" s="183"/>
      <c r="D9" s="183"/>
      <c r="E9" s="61" t="s">
        <v>67</v>
      </c>
      <c r="F9" s="61" t="s">
        <v>68</v>
      </c>
      <c r="G9" s="62" t="s">
        <v>69</v>
      </c>
      <c r="H9" s="62" t="s">
        <v>70</v>
      </c>
      <c r="I9" s="63" t="s">
        <v>71</v>
      </c>
      <c r="J9" s="64" t="s">
        <v>72</v>
      </c>
      <c r="K9" s="183"/>
      <c r="L9" s="65" t="s">
        <v>112</v>
      </c>
      <c r="M9" s="183"/>
      <c r="N9" s="183"/>
      <c r="O9" s="183"/>
      <c r="P9" s="183"/>
      <c r="Q9" s="125"/>
    </row>
    <row r="10" spans="1:17" ht="13.2">
      <c r="A10" s="215" t="s">
        <v>113</v>
      </c>
      <c r="B10" s="189"/>
      <c r="C10" s="189"/>
      <c r="D10" s="189"/>
      <c r="E10" s="189"/>
      <c r="F10" s="189"/>
      <c r="G10" s="126"/>
      <c r="H10" s="126"/>
      <c r="I10" s="126"/>
      <c r="J10" s="127"/>
      <c r="K10" s="128"/>
      <c r="L10" s="127"/>
      <c r="M10" s="126"/>
      <c r="N10" s="129"/>
      <c r="O10" s="129"/>
      <c r="P10" s="129"/>
      <c r="Q10" s="43"/>
    </row>
    <row r="11" spans="1:17" ht="13.2">
      <c r="A11" s="43"/>
      <c r="B11" s="216" t="s">
        <v>74</v>
      </c>
      <c r="C11" s="189"/>
      <c r="D11" s="189"/>
      <c r="E11" s="189"/>
      <c r="F11" s="189"/>
      <c r="G11" s="130"/>
      <c r="H11" s="130"/>
      <c r="I11" s="131"/>
      <c r="J11" s="132"/>
      <c r="K11" s="133"/>
      <c r="L11" s="132"/>
      <c r="M11" s="134"/>
      <c r="N11" s="135"/>
      <c r="O11" s="136"/>
      <c r="P11" s="136"/>
      <c r="Q11" s="137"/>
    </row>
    <row r="12" spans="1:17" ht="13.2">
      <c r="A12" s="138"/>
      <c r="B12" s="139">
        <f>B13/B15</f>
        <v>0.1</v>
      </c>
      <c r="C12" s="217" t="s">
        <v>114</v>
      </c>
      <c r="D12" s="189"/>
      <c r="E12" s="189"/>
      <c r="F12" s="189"/>
      <c r="G12" s="189"/>
      <c r="H12" s="189"/>
      <c r="I12" s="189"/>
      <c r="J12" s="189"/>
      <c r="K12" s="189"/>
      <c r="L12" s="180"/>
      <c r="M12" s="140"/>
      <c r="N12" s="141"/>
      <c r="O12" s="141"/>
      <c r="P12" s="141"/>
      <c r="Q12" s="68"/>
    </row>
    <row r="13" spans="1:17" ht="22.5" customHeight="1">
      <c r="A13" s="142"/>
      <c r="B13" s="72">
        <f>COUNTIF(L14:L25,"OK")+COUNTIF(L14:L25,"Trivial")+COUNTIF(L14:L25,"Minor")+COUNTIF(L14:L25,"Major")+COUNTIF(L14:L25,"Critical")+COUNTIF(L14:L25,"Blocker")</f>
        <v>1</v>
      </c>
      <c r="C13" s="68"/>
      <c r="D13" s="143"/>
      <c r="E13" s="218" t="s">
        <v>115</v>
      </c>
      <c r="F13" s="192"/>
      <c r="G13" s="144"/>
      <c r="H13" s="145"/>
      <c r="I13" s="146"/>
      <c r="J13" s="146"/>
      <c r="K13" s="147"/>
      <c r="L13" s="148"/>
      <c r="M13" s="149"/>
      <c r="N13" s="146"/>
      <c r="O13" s="146"/>
      <c r="P13" s="146"/>
      <c r="Q13" s="68"/>
    </row>
    <row r="14" spans="1:17" ht="69" customHeight="1">
      <c r="A14" s="142"/>
      <c r="B14" s="76">
        <f>COUNTIF(L14:L25,"Не тестировался")+COUNTIF(L14:L25,"Блокирован")+COUNTIF(L14:L25,"Не реализован")</f>
        <v>9</v>
      </c>
      <c r="C14" s="68"/>
      <c r="D14" s="150"/>
      <c r="E14" s="219" t="s">
        <v>116</v>
      </c>
      <c r="F14" s="151" t="s">
        <v>117</v>
      </c>
      <c r="G14" s="78">
        <v>10</v>
      </c>
      <c r="H14" s="79">
        <f t="shared" ref="H14:H15" si="2">COUNTA(L14)*G14</f>
        <v>10</v>
      </c>
      <c r="I14" s="79">
        <f t="shared" ref="I14:I15" si="3">(COUNTA(L14)-COUNTIF(L14,"Оптимизация"))*G14</f>
        <v>10</v>
      </c>
      <c r="J14" s="80">
        <f t="shared" ref="J14:J15" si="4">(COUNTIF(L14,"Не тестировался")+COUNTIF(L14,"Блокирован")+COUNTIF(L14,"Не реализован"))*G14</f>
        <v>0</v>
      </c>
      <c r="K14" s="152">
        <v>1</v>
      </c>
      <c r="L14" s="153" t="s">
        <v>44</v>
      </c>
      <c r="M14" s="154"/>
      <c r="N14" s="155" t="s">
        <v>81</v>
      </c>
      <c r="O14" s="156" t="s">
        <v>118</v>
      </c>
      <c r="P14" s="157"/>
      <c r="Q14" s="68"/>
    </row>
    <row r="15" spans="1:17" ht="71.25" customHeight="1">
      <c r="A15" s="142"/>
      <c r="B15" s="76">
        <f>B13+B14</f>
        <v>10</v>
      </c>
      <c r="C15" s="68"/>
      <c r="D15" s="150"/>
      <c r="E15" s="183"/>
      <c r="F15" s="158" t="s">
        <v>119</v>
      </c>
      <c r="G15" s="78">
        <v>10</v>
      </c>
      <c r="H15" s="79">
        <f t="shared" si="2"/>
        <v>10</v>
      </c>
      <c r="I15" s="79">
        <f t="shared" si="3"/>
        <v>10</v>
      </c>
      <c r="J15" s="80">
        <f t="shared" si="4"/>
        <v>10</v>
      </c>
      <c r="K15" s="152">
        <v>1</v>
      </c>
      <c r="L15" s="153" t="s">
        <v>35</v>
      </c>
      <c r="M15" s="154"/>
      <c r="N15" s="155" t="s">
        <v>81</v>
      </c>
      <c r="O15" s="156" t="s">
        <v>118</v>
      </c>
      <c r="P15" s="157"/>
      <c r="Q15" s="68"/>
    </row>
    <row r="16" spans="1:17" ht="53.25" customHeight="1">
      <c r="A16" s="142"/>
      <c r="B16" s="76"/>
      <c r="C16" s="68"/>
      <c r="D16" s="150"/>
      <c r="E16" s="159" t="s">
        <v>120</v>
      </c>
      <c r="F16" s="160" t="s">
        <v>121</v>
      </c>
      <c r="G16" s="78">
        <v>15</v>
      </c>
      <c r="H16" s="161">
        <f t="shared" ref="H16:H17" si="5">COUNTA(L16)*G16</f>
        <v>15</v>
      </c>
      <c r="I16" s="162">
        <f t="shared" ref="I16:I17" si="6">(COUNTA(L16)-COUNTIF(L16,"Оптимизация"))*G16</f>
        <v>15</v>
      </c>
      <c r="J16" s="163">
        <f t="shared" ref="J16:J17" si="7">(COUNTIF(L16,"Не тестировался")+COUNTIF(L16,"Блокирован")+COUNTIF(L16,"Не реализован"))*G16</f>
        <v>15</v>
      </c>
      <c r="K16" s="164">
        <v>3</v>
      </c>
      <c r="L16" s="153" t="s">
        <v>35</v>
      </c>
      <c r="M16" s="165"/>
      <c r="N16" s="166" t="s">
        <v>81</v>
      </c>
      <c r="O16" s="167" t="s">
        <v>118</v>
      </c>
      <c r="P16" s="168"/>
      <c r="Q16" s="68"/>
    </row>
    <row r="17" spans="1:17" ht="53.25" customHeight="1">
      <c r="A17" s="142"/>
      <c r="B17" s="76"/>
      <c r="C17" s="68"/>
      <c r="D17" s="150"/>
      <c r="E17" s="159" t="s">
        <v>122</v>
      </c>
      <c r="F17" s="160">
        <v>1</v>
      </c>
      <c r="G17" s="78">
        <v>5</v>
      </c>
      <c r="H17" s="161">
        <f t="shared" si="5"/>
        <v>5</v>
      </c>
      <c r="I17" s="162">
        <f t="shared" si="6"/>
        <v>5</v>
      </c>
      <c r="J17" s="163">
        <f t="shared" si="7"/>
        <v>5</v>
      </c>
      <c r="K17" s="164">
        <v>1</v>
      </c>
      <c r="L17" s="153" t="s">
        <v>35</v>
      </c>
      <c r="M17" s="165"/>
      <c r="N17" s="166" t="s">
        <v>81</v>
      </c>
      <c r="O17" s="167" t="s">
        <v>118</v>
      </c>
      <c r="P17" s="168"/>
      <c r="Q17" s="68"/>
    </row>
    <row r="18" spans="1:17" ht="18.75" customHeight="1">
      <c r="A18" s="221"/>
      <c r="B18" s="187"/>
      <c r="C18" s="68"/>
      <c r="D18" s="150"/>
      <c r="E18" s="218" t="s">
        <v>123</v>
      </c>
      <c r="F18" s="192"/>
      <c r="G18" s="144"/>
      <c r="H18" s="145"/>
      <c r="I18" s="146"/>
      <c r="J18" s="146"/>
      <c r="K18" s="147"/>
      <c r="L18" s="148"/>
      <c r="M18" s="149"/>
      <c r="N18" s="169"/>
      <c r="O18" s="146"/>
      <c r="P18" s="146"/>
      <c r="Q18" s="68"/>
    </row>
    <row r="19" spans="1:17" ht="74.25" customHeight="1">
      <c r="A19" s="142"/>
      <c r="B19" s="170"/>
      <c r="C19" s="68"/>
      <c r="D19" s="150"/>
      <c r="E19" s="219" t="s">
        <v>124</v>
      </c>
      <c r="F19" s="171" t="s">
        <v>117</v>
      </c>
      <c r="G19" s="78">
        <v>10</v>
      </c>
      <c r="H19" s="79">
        <f t="shared" ref="H19:H20" si="8">COUNTA(L19)*G19</f>
        <v>10</v>
      </c>
      <c r="I19" s="79">
        <f t="shared" ref="I19:I20" si="9">(COUNTA(L19)-COUNTIF(L19,"Оптимизация"))*G19</f>
        <v>10</v>
      </c>
      <c r="J19" s="80">
        <f t="shared" ref="J19:J20" si="10">(COUNTIF(L19,"Не тестировался")+COUNTIF(L19,"Блокирован")+COUNTIF(L19,"Не реализован"))*G19</f>
        <v>10</v>
      </c>
      <c r="K19" s="152">
        <v>1</v>
      </c>
      <c r="L19" s="153" t="s">
        <v>35</v>
      </c>
      <c r="M19" s="154"/>
      <c r="N19" s="172" t="s">
        <v>81</v>
      </c>
      <c r="O19" s="156" t="s">
        <v>118</v>
      </c>
      <c r="P19" s="157"/>
      <c r="Q19" s="68"/>
    </row>
    <row r="20" spans="1:17" ht="57.75" customHeight="1">
      <c r="A20" s="142"/>
      <c r="B20" s="170"/>
      <c r="C20" s="68"/>
      <c r="D20" s="150"/>
      <c r="E20" s="183"/>
      <c r="F20" s="173" t="s">
        <v>119</v>
      </c>
      <c r="G20" s="78">
        <v>10</v>
      </c>
      <c r="H20" s="79">
        <f t="shared" si="8"/>
        <v>10</v>
      </c>
      <c r="I20" s="79">
        <f t="shared" si="9"/>
        <v>10</v>
      </c>
      <c r="J20" s="80">
        <f t="shared" si="10"/>
        <v>10</v>
      </c>
      <c r="K20" s="152">
        <v>1</v>
      </c>
      <c r="L20" s="153" t="s">
        <v>35</v>
      </c>
      <c r="M20" s="154"/>
      <c r="N20" s="172" t="s">
        <v>81</v>
      </c>
      <c r="O20" s="156" t="s">
        <v>118</v>
      </c>
      <c r="P20" s="157"/>
      <c r="Q20" s="68"/>
    </row>
    <row r="21" spans="1:17" ht="294" customHeight="1">
      <c r="A21" s="142"/>
      <c r="B21" s="76"/>
      <c r="C21" s="68"/>
      <c r="D21" s="150"/>
      <c r="E21" s="159" t="s">
        <v>120</v>
      </c>
      <c r="F21" s="160" t="s">
        <v>125</v>
      </c>
      <c r="G21" s="78">
        <v>15</v>
      </c>
      <c r="H21" s="161">
        <f t="shared" ref="H21:H22" si="11">COUNTA(L21)*G21</f>
        <v>15</v>
      </c>
      <c r="I21" s="162">
        <f t="shared" ref="I21:I22" si="12">(COUNTA(L21)-COUNTIF(L21,"Оптимизация"))*G21</f>
        <v>15</v>
      </c>
      <c r="J21" s="163">
        <f t="shared" ref="J21:J22" si="13">(COUNTIF(L21,"Не тестировался")+COUNTIF(L21,"Блокирован")+COUNTIF(L21,"Не реализован"))*G21</f>
        <v>15</v>
      </c>
      <c r="K21" s="164">
        <v>3</v>
      </c>
      <c r="L21" s="153" t="s">
        <v>35</v>
      </c>
      <c r="M21" s="165"/>
      <c r="N21" s="166" t="s">
        <v>81</v>
      </c>
      <c r="O21" s="167" t="s">
        <v>118</v>
      </c>
      <c r="P21" s="174" t="s">
        <v>126</v>
      </c>
      <c r="Q21" s="68"/>
    </row>
    <row r="22" spans="1:17" ht="53.25" customHeight="1">
      <c r="A22" s="142"/>
      <c r="B22" s="76"/>
      <c r="C22" s="68"/>
      <c r="D22" s="150"/>
      <c r="E22" s="159" t="s">
        <v>127</v>
      </c>
      <c r="F22" s="160">
        <v>1</v>
      </c>
      <c r="G22" s="78">
        <v>5</v>
      </c>
      <c r="H22" s="161">
        <f t="shared" si="11"/>
        <v>5</v>
      </c>
      <c r="I22" s="162">
        <f t="shared" si="12"/>
        <v>5</v>
      </c>
      <c r="J22" s="163">
        <f t="shared" si="13"/>
        <v>5</v>
      </c>
      <c r="K22" s="164">
        <v>1</v>
      </c>
      <c r="L22" s="153" t="s">
        <v>35</v>
      </c>
      <c r="M22" s="165"/>
      <c r="N22" s="166" t="s">
        <v>81</v>
      </c>
      <c r="O22" s="167" t="s">
        <v>118</v>
      </c>
      <c r="P22" s="168"/>
      <c r="Q22" s="68"/>
    </row>
    <row r="23" spans="1:17" ht="13.2">
      <c r="A23" s="221"/>
      <c r="B23" s="187"/>
      <c r="C23" s="68"/>
      <c r="D23" s="143" t="s">
        <v>128</v>
      </c>
      <c r="E23" s="175" t="s">
        <v>129</v>
      </c>
      <c r="F23" s="176"/>
      <c r="G23" s="176"/>
      <c r="H23" s="176"/>
      <c r="I23" s="176"/>
      <c r="J23" s="177"/>
      <c r="K23" s="147"/>
      <c r="L23" s="148"/>
      <c r="M23" s="149"/>
      <c r="N23" s="169"/>
      <c r="O23" s="146"/>
      <c r="P23" s="146"/>
      <c r="Q23" s="68"/>
    </row>
    <row r="24" spans="1:17" ht="60.75" customHeight="1">
      <c r="A24" s="142"/>
      <c r="B24" s="68"/>
      <c r="C24" s="68"/>
      <c r="D24" s="178"/>
      <c r="E24" s="219" t="s">
        <v>130</v>
      </c>
      <c r="F24" s="171" t="s">
        <v>117</v>
      </c>
      <c r="G24" s="78">
        <v>10</v>
      </c>
      <c r="H24" s="79">
        <f t="shared" ref="H24:H25" si="14">COUNTA(L24)*G24</f>
        <v>10</v>
      </c>
      <c r="I24" s="79">
        <f t="shared" ref="I24:I25" si="15">(COUNTA(L24)-COUNTIF(L24,"Оптимизация"))*G24</f>
        <v>10</v>
      </c>
      <c r="J24" s="80">
        <f t="shared" ref="J24:J25" si="16">(COUNTIF(L24,"Не тестировался")+COUNTIF(L24,"Блокирован")+COUNTIF(L24,"Не реализован"))*G24</f>
        <v>10</v>
      </c>
      <c r="K24" s="152">
        <v>1</v>
      </c>
      <c r="L24" s="153" t="s">
        <v>35</v>
      </c>
      <c r="M24" s="101"/>
      <c r="N24" s="172" t="s">
        <v>81</v>
      </c>
      <c r="O24" s="156" t="s">
        <v>118</v>
      </c>
      <c r="P24" s="157"/>
      <c r="Q24" s="68"/>
    </row>
    <row r="25" spans="1:17" ht="50.25" customHeight="1">
      <c r="A25" s="142"/>
      <c r="B25" s="68"/>
      <c r="C25" s="68"/>
      <c r="D25" s="178"/>
      <c r="E25" s="183"/>
      <c r="F25" s="173" t="s">
        <v>119</v>
      </c>
      <c r="G25" s="78">
        <v>10</v>
      </c>
      <c r="H25" s="79">
        <f t="shared" si="14"/>
        <v>10</v>
      </c>
      <c r="I25" s="79">
        <f t="shared" si="15"/>
        <v>10</v>
      </c>
      <c r="J25" s="80">
        <f t="shared" si="16"/>
        <v>10</v>
      </c>
      <c r="K25" s="152">
        <v>1</v>
      </c>
      <c r="L25" s="153" t="s">
        <v>35</v>
      </c>
      <c r="M25" s="101"/>
      <c r="N25" s="172" t="s">
        <v>81</v>
      </c>
      <c r="O25" s="156" t="s">
        <v>118</v>
      </c>
      <c r="P25" s="157"/>
      <c r="Q25" s="68"/>
    </row>
    <row r="26" spans="1:17" ht="63" customHeight="1">
      <c r="A26" s="142"/>
      <c r="B26" s="76"/>
      <c r="C26" s="68"/>
      <c r="D26" s="150"/>
      <c r="E26" s="159" t="s">
        <v>120</v>
      </c>
      <c r="F26" s="160" t="s">
        <v>131</v>
      </c>
      <c r="G26" s="78">
        <v>15</v>
      </c>
      <c r="H26" s="161">
        <f t="shared" ref="H26:H27" si="17">COUNTA(L26)*G26</f>
        <v>15</v>
      </c>
      <c r="I26" s="162">
        <f t="shared" ref="I26:I27" si="18">(COUNTA(L26)-COUNTIF(L26,"Оптимизация"))*G26</f>
        <v>15</v>
      </c>
      <c r="J26" s="163">
        <f t="shared" ref="J26:J27" si="19">(COUNTIF(L26,"Не тестировался")+COUNTIF(L26,"Блокирован")+COUNTIF(L26,"Не реализован"))*G26</f>
        <v>15</v>
      </c>
      <c r="K26" s="164">
        <v>3</v>
      </c>
      <c r="L26" s="153" t="s">
        <v>35</v>
      </c>
      <c r="M26" s="165"/>
      <c r="N26" s="166" t="s">
        <v>81</v>
      </c>
      <c r="O26" s="167" t="s">
        <v>118</v>
      </c>
      <c r="P26" s="168"/>
      <c r="Q26" s="68"/>
    </row>
    <row r="27" spans="1:17" ht="53.25" customHeight="1">
      <c r="A27" s="142"/>
      <c r="B27" s="76"/>
      <c r="C27" s="68"/>
      <c r="D27" s="150"/>
      <c r="E27" s="159" t="s">
        <v>132</v>
      </c>
      <c r="F27" s="160">
        <v>1</v>
      </c>
      <c r="G27" s="78">
        <v>5</v>
      </c>
      <c r="H27" s="161">
        <f t="shared" si="17"/>
        <v>5</v>
      </c>
      <c r="I27" s="162">
        <f t="shared" si="18"/>
        <v>5</v>
      </c>
      <c r="J27" s="163">
        <f t="shared" si="19"/>
        <v>5</v>
      </c>
      <c r="K27" s="164">
        <v>1</v>
      </c>
      <c r="L27" s="153" t="s">
        <v>35</v>
      </c>
      <c r="M27" s="165"/>
      <c r="N27" s="166" t="s">
        <v>81</v>
      </c>
      <c r="O27" s="167" t="s">
        <v>118</v>
      </c>
      <c r="P27" s="168"/>
      <c r="Q27" s="68"/>
    </row>
    <row r="28" spans="1:17" ht="13.2">
      <c r="A28" s="221"/>
      <c r="B28" s="187"/>
      <c r="C28" s="68"/>
      <c r="D28" s="143" t="s">
        <v>128</v>
      </c>
      <c r="E28" s="175" t="s">
        <v>133</v>
      </c>
      <c r="F28" s="176"/>
      <c r="G28" s="176"/>
      <c r="H28" s="176"/>
      <c r="I28" s="176"/>
      <c r="J28" s="177"/>
      <c r="K28" s="147"/>
      <c r="L28" s="148"/>
      <c r="M28" s="149"/>
      <c r="N28" s="169"/>
      <c r="O28" s="146"/>
      <c r="P28" s="146"/>
      <c r="Q28" s="68"/>
    </row>
    <row r="29" spans="1:17" ht="49.5" customHeight="1">
      <c r="A29" s="142"/>
      <c r="B29" s="68"/>
      <c r="C29" s="68"/>
      <c r="D29" s="178"/>
      <c r="E29" s="219" t="s">
        <v>134</v>
      </c>
      <c r="F29" s="171" t="s">
        <v>117</v>
      </c>
      <c r="G29" s="78">
        <v>10</v>
      </c>
      <c r="H29" s="79">
        <f t="shared" ref="H29:H30" si="20">COUNTA(L29)*G29</f>
        <v>10</v>
      </c>
      <c r="I29" s="79">
        <f t="shared" ref="I29:I30" si="21">(COUNTA(L29)-COUNTIF(L29,"Оптимизация"))*G29</f>
        <v>10</v>
      </c>
      <c r="J29" s="80">
        <f t="shared" ref="J29:J30" si="22">(COUNTIF(L29,"Не тестировался")+COUNTIF(L29,"Блокирован")+COUNTIF(L29,"Не реализован"))*G29</f>
        <v>10</v>
      </c>
      <c r="K29" s="152">
        <v>1</v>
      </c>
      <c r="L29" s="153" t="s">
        <v>35</v>
      </c>
      <c r="M29" s="101"/>
      <c r="N29" s="172" t="s">
        <v>81</v>
      </c>
      <c r="O29" s="156" t="s">
        <v>118</v>
      </c>
      <c r="P29" s="157"/>
      <c r="Q29" s="68"/>
    </row>
    <row r="30" spans="1:17" ht="57.75" customHeight="1">
      <c r="A30" s="142"/>
      <c r="B30" s="68"/>
      <c r="C30" s="68"/>
      <c r="D30" s="178"/>
      <c r="E30" s="183"/>
      <c r="F30" s="173" t="s">
        <v>119</v>
      </c>
      <c r="G30" s="78">
        <v>10</v>
      </c>
      <c r="H30" s="79">
        <f t="shared" si="20"/>
        <v>10</v>
      </c>
      <c r="I30" s="79">
        <f t="shared" si="21"/>
        <v>10</v>
      </c>
      <c r="J30" s="80">
        <f t="shared" si="22"/>
        <v>10</v>
      </c>
      <c r="K30" s="152">
        <v>1</v>
      </c>
      <c r="L30" s="153" t="s">
        <v>35</v>
      </c>
      <c r="M30" s="101"/>
      <c r="N30" s="172" t="s">
        <v>81</v>
      </c>
      <c r="O30" s="156" t="s">
        <v>118</v>
      </c>
      <c r="P30" s="157"/>
      <c r="Q30" s="68"/>
    </row>
    <row r="31" spans="1:17" ht="99.75" customHeight="1">
      <c r="A31" s="142"/>
      <c r="B31" s="76"/>
      <c r="C31" s="68"/>
      <c r="D31" s="150"/>
      <c r="E31" s="159" t="s">
        <v>120</v>
      </c>
      <c r="F31" s="160" t="s">
        <v>135</v>
      </c>
      <c r="G31" s="78">
        <v>15</v>
      </c>
      <c r="H31" s="161">
        <f t="shared" ref="H31:H32" si="23">COUNTA(L31)*G31</f>
        <v>15</v>
      </c>
      <c r="I31" s="162">
        <f t="shared" ref="I31:I32" si="24">(COUNTA(L31)-COUNTIF(L31,"Оптимизация"))*G31</f>
        <v>15</v>
      </c>
      <c r="J31" s="163">
        <f t="shared" ref="J31:J32" si="25">(COUNTIF(L31,"Не тестировался")+COUNTIF(L31,"Блокирован")+COUNTIF(L31,"Не реализован"))*G31</f>
        <v>15</v>
      </c>
      <c r="K31" s="164">
        <v>3</v>
      </c>
      <c r="L31" s="153" t="s">
        <v>35</v>
      </c>
      <c r="M31" s="165"/>
      <c r="N31" s="166" t="s">
        <v>81</v>
      </c>
      <c r="O31" s="167" t="s">
        <v>118</v>
      </c>
      <c r="P31" s="168"/>
      <c r="Q31" s="68"/>
    </row>
    <row r="32" spans="1:17" ht="53.25" customHeight="1">
      <c r="A32" s="142"/>
      <c r="B32" s="76"/>
      <c r="C32" s="68"/>
      <c r="D32" s="150"/>
      <c r="E32" s="159" t="s">
        <v>136</v>
      </c>
      <c r="F32" s="160">
        <v>3</v>
      </c>
      <c r="G32" s="78">
        <v>5</v>
      </c>
      <c r="H32" s="161">
        <f t="shared" si="23"/>
        <v>5</v>
      </c>
      <c r="I32" s="162">
        <f t="shared" si="24"/>
        <v>5</v>
      </c>
      <c r="J32" s="163">
        <f t="shared" si="25"/>
        <v>5</v>
      </c>
      <c r="K32" s="164">
        <v>1</v>
      </c>
      <c r="L32" s="153" t="s">
        <v>35</v>
      </c>
      <c r="M32" s="165"/>
      <c r="N32" s="166" t="s">
        <v>81</v>
      </c>
      <c r="O32" s="167" t="s">
        <v>118</v>
      </c>
      <c r="P32" s="168"/>
      <c r="Q32" s="68"/>
    </row>
    <row r="33" spans="1:17" ht="13.2">
      <c r="A33" s="221"/>
      <c r="B33" s="187"/>
      <c r="C33" s="68"/>
      <c r="D33" s="143" t="s">
        <v>128</v>
      </c>
      <c r="E33" s="175" t="s">
        <v>137</v>
      </c>
      <c r="F33" s="176"/>
      <c r="G33" s="176"/>
      <c r="H33" s="176"/>
      <c r="I33" s="176"/>
      <c r="J33" s="177"/>
      <c r="K33" s="147"/>
      <c r="L33" s="148"/>
      <c r="M33" s="149"/>
      <c r="N33" s="169"/>
      <c r="O33" s="146"/>
      <c r="P33" s="146"/>
      <c r="Q33" s="68"/>
    </row>
    <row r="34" spans="1:17" ht="49.5" customHeight="1">
      <c r="A34" s="142"/>
      <c r="B34" s="68"/>
      <c r="C34" s="68"/>
      <c r="D34" s="178"/>
      <c r="E34" s="220" t="s">
        <v>138</v>
      </c>
      <c r="F34" s="171" t="s">
        <v>117</v>
      </c>
      <c r="G34" s="78">
        <v>10</v>
      </c>
      <c r="H34" s="79">
        <f t="shared" ref="H34:H35" si="26">COUNTA(L34)*G34</f>
        <v>10</v>
      </c>
      <c r="I34" s="79">
        <f t="shared" ref="I34:I35" si="27">(COUNTA(L34)-COUNTIF(L34,"Оптимизация"))*G34</f>
        <v>10</v>
      </c>
      <c r="J34" s="80">
        <f t="shared" ref="J34:J35" si="28">(COUNTIF(L34,"Не тестировался")+COUNTIF(L34,"Блокирован")+COUNTIF(L34,"Не реализован"))*G34</f>
        <v>10</v>
      </c>
      <c r="K34" s="152">
        <v>1</v>
      </c>
      <c r="L34" s="153" t="s">
        <v>35</v>
      </c>
      <c r="M34" s="101"/>
      <c r="N34" s="172" t="s">
        <v>81</v>
      </c>
      <c r="O34" s="156" t="s">
        <v>118</v>
      </c>
      <c r="P34" s="41"/>
      <c r="Q34" s="68"/>
    </row>
    <row r="35" spans="1:17" ht="49.5" customHeight="1">
      <c r="A35" s="142"/>
      <c r="B35" s="68"/>
      <c r="C35" s="68"/>
      <c r="D35" s="178"/>
      <c r="E35" s="183"/>
      <c r="F35" s="173" t="s">
        <v>119</v>
      </c>
      <c r="G35" s="78">
        <v>10</v>
      </c>
      <c r="H35" s="79">
        <f t="shared" si="26"/>
        <v>10</v>
      </c>
      <c r="I35" s="79">
        <f t="shared" si="27"/>
        <v>10</v>
      </c>
      <c r="J35" s="80">
        <f t="shared" si="28"/>
        <v>10</v>
      </c>
      <c r="K35" s="152">
        <v>1</v>
      </c>
      <c r="L35" s="153" t="s">
        <v>35</v>
      </c>
      <c r="M35" s="101"/>
      <c r="N35" s="172" t="s">
        <v>81</v>
      </c>
      <c r="O35" s="156" t="s">
        <v>118</v>
      </c>
      <c r="P35" s="157"/>
      <c r="Q35" s="68"/>
    </row>
    <row r="36" spans="1:17" ht="63" customHeight="1">
      <c r="A36" s="142"/>
      <c r="B36" s="76"/>
      <c r="C36" s="68"/>
      <c r="D36" s="150"/>
      <c r="E36" s="159" t="s">
        <v>120</v>
      </c>
      <c r="F36" s="160" t="s">
        <v>139</v>
      </c>
      <c r="G36" s="78">
        <v>15</v>
      </c>
      <c r="H36" s="161">
        <f t="shared" ref="H36:H37" si="29">COUNTA(L36)*G36</f>
        <v>15</v>
      </c>
      <c r="I36" s="162">
        <f t="shared" ref="I36:I37" si="30">(COUNTA(L36)-COUNTIF(L36,"Оптимизация"))*G36</f>
        <v>15</v>
      </c>
      <c r="J36" s="163">
        <f t="shared" ref="J36:J37" si="31">(COUNTIF(L36,"Не тестировался")+COUNTIF(L36,"Блокирован")+COUNTIF(L36,"Не реализован"))*G36</f>
        <v>15</v>
      </c>
      <c r="K36" s="164">
        <v>3</v>
      </c>
      <c r="L36" s="153" t="s">
        <v>35</v>
      </c>
      <c r="M36" s="165"/>
      <c r="N36" s="166" t="s">
        <v>81</v>
      </c>
      <c r="O36" s="167" t="s">
        <v>118</v>
      </c>
      <c r="P36" s="168"/>
      <c r="Q36" s="68"/>
    </row>
    <row r="37" spans="1:17" ht="53.25" customHeight="1">
      <c r="A37" s="142"/>
      <c r="B37" s="76"/>
      <c r="C37" s="68"/>
      <c r="D37" s="150"/>
      <c r="E37" s="159" t="s">
        <v>140</v>
      </c>
      <c r="F37" s="160">
        <v>1</v>
      </c>
      <c r="G37" s="78">
        <v>5</v>
      </c>
      <c r="H37" s="161">
        <f t="shared" si="29"/>
        <v>5</v>
      </c>
      <c r="I37" s="162">
        <f t="shared" si="30"/>
        <v>5</v>
      </c>
      <c r="J37" s="163">
        <f t="shared" si="31"/>
        <v>5</v>
      </c>
      <c r="K37" s="164">
        <v>1</v>
      </c>
      <c r="L37" s="153" t="s">
        <v>35</v>
      </c>
      <c r="M37" s="165"/>
      <c r="N37" s="166" t="s">
        <v>81</v>
      </c>
      <c r="O37" s="167" t="s">
        <v>118</v>
      </c>
      <c r="P37" s="168"/>
      <c r="Q37" s="68"/>
    </row>
    <row r="38" spans="1:17" ht="13.2">
      <c r="A38" s="221"/>
      <c r="B38" s="187"/>
      <c r="C38" s="68"/>
      <c r="D38" s="143" t="s">
        <v>128</v>
      </c>
      <c r="E38" s="175" t="s">
        <v>141</v>
      </c>
      <c r="F38" s="176"/>
      <c r="G38" s="176"/>
      <c r="H38" s="176"/>
      <c r="I38" s="176"/>
      <c r="J38" s="177"/>
      <c r="K38" s="147"/>
      <c r="L38" s="148"/>
      <c r="M38" s="149"/>
      <c r="N38" s="169"/>
      <c r="O38" s="146"/>
      <c r="P38" s="146"/>
      <c r="Q38" s="68"/>
    </row>
    <row r="39" spans="1:17" ht="49.5" customHeight="1">
      <c r="A39" s="142"/>
      <c r="B39" s="68"/>
      <c r="C39" s="68"/>
      <c r="D39" s="178"/>
      <c r="E39" s="219" t="s">
        <v>142</v>
      </c>
      <c r="F39" s="171" t="s">
        <v>117</v>
      </c>
      <c r="G39" s="78">
        <v>10</v>
      </c>
      <c r="H39" s="79">
        <f t="shared" ref="H39:H40" si="32">COUNTA(L39)*G39</f>
        <v>10</v>
      </c>
      <c r="I39" s="79">
        <f t="shared" ref="I39:I40" si="33">(COUNTA(L39)-COUNTIF(L39,"Оптимизация"))*G39</f>
        <v>10</v>
      </c>
      <c r="J39" s="80">
        <f t="shared" ref="J39:J40" si="34">(COUNTIF(L39,"Не тестировался")+COUNTIF(L39,"Блокирован")+COUNTIF(L39,"Не реализован"))*G39</f>
        <v>10</v>
      </c>
      <c r="K39" s="152">
        <v>1</v>
      </c>
      <c r="L39" s="153" t="s">
        <v>35</v>
      </c>
      <c r="M39" s="101"/>
      <c r="N39" s="172" t="s">
        <v>81</v>
      </c>
      <c r="O39" s="156" t="s">
        <v>118</v>
      </c>
      <c r="P39" s="41"/>
      <c r="Q39" s="68"/>
    </row>
    <row r="40" spans="1:17" ht="49.5" customHeight="1">
      <c r="A40" s="142"/>
      <c r="B40" s="68"/>
      <c r="C40" s="68"/>
      <c r="D40" s="178"/>
      <c r="E40" s="183"/>
      <c r="F40" s="173" t="s">
        <v>119</v>
      </c>
      <c r="G40" s="78">
        <v>10</v>
      </c>
      <c r="H40" s="79">
        <f t="shared" si="32"/>
        <v>10</v>
      </c>
      <c r="I40" s="79">
        <f t="shared" si="33"/>
        <v>10</v>
      </c>
      <c r="J40" s="80">
        <f t="shared" si="34"/>
        <v>10</v>
      </c>
      <c r="K40" s="152">
        <v>1</v>
      </c>
      <c r="L40" s="153" t="s">
        <v>35</v>
      </c>
      <c r="M40" s="101"/>
      <c r="N40" s="172" t="s">
        <v>81</v>
      </c>
      <c r="O40" s="156" t="s">
        <v>118</v>
      </c>
      <c r="P40" s="157"/>
      <c r="Q40" s="68"/>
    </row>
    <row r="41" spans="1:17" ht="75.75" customHeight="1">
      <c r="A41" s="142"/>
      <c r="B41" s="76"/>
      <c r="C41" s="68"/>
      <c r="D41" s="150"/>
      <c r="E41" s="159" t="s">
        <v>120</v>
      </c>
      <c r="F41" s="160" t="s">
        <v>143</v>
      </c>
      <c r="G41" s="78">
        <v>15</v>
      </c>
      <c r="H41" s="161">
        <f t="shared" ref="H41:H42" si="35">COUNTA(L41)*G41</f>
        <v>15</v>
      </c>
      <c r="I41" s="162">
        <f t="shared" ref="I41:I42" si="36">(COUNTA(L41)-COUNTIF(L41,"Оптимизация"))*G41</f>
        <v>15</v>
      </c>
      <c r="J41" s="163">
        <f t="shared" ref="J41:J42" si="37">(COUNTIF(L41,"Не тестировался")+COUNTIF(L41,"Блокирован")+COUNTIF(L41,"Не реализован"))*G41</f>
        <v>15</v>
      </c>
      <c r="K41" s="164">
        <v>3</v>
      </c>
      <c r="L41" s="153" t="s">
        <v>35</v>
      </c>
      <c r="M41" s="165"/>
      <c r="N41" s="166" t="s">
        <v>81</v>
      </c>
      <c r="O41" s="167" t="s">
        <v>118</v>
      </c>
      <c r="P41" s="168"/>
      <c r="Q41" s="68"/>
    </row>
    <row r="42" spans="1:17" ht="53.25" customHeight="1">
      <c r="A42" s="142"/>
      <c r="B42" s="76"/>
      <c r="C42" s="68"/>
      <c r="D42" s="150"/>
      <c r="E42" s="159" t="s">
        <v>144</v>
      </c>
      <c r="F42" s="160">
        <v>1</v>
      </c>
      <c r="G42" s="78">
        <v>5</v>
      </c>
      <c r="H42" s="161">
        <f t="shared" si="35"/>
        <v>5</v>
      </c>
      <c r="I42" s="162">
        <f t="shared" si="36"/>
        <v>5</v>
      </c>
      <c r="J42" s="163">
        <f t="shared" si="37"/>
        <v>5</v>
      </c>
      <c r="K42" s="164">
        <v>1</v>
      </c>
      <c r="L42" s="153" t="s">
        <v>35</v>
      </c>
      <c r="M42" s="165"/>
      <c r="N42" s="166" t="s">
        <v>81</v>
      </c>
      <c r="O42" s="167" t="s">
        <v>118</v>
      </c>
      <c r="P42" s="168"/>
      <c r="Q42" s="68"/>
    </row>
  </sheetData>
  <mergeCells count="33">
    <mergeCell ref="E18:F18"/>
    <mergeCell ref="E19:E20"/>
    <mergeCell ref="E34:E35"/>
    <mergeCell ref="E39:E40"/>
    <mergeCell ref="A18:B18"/>
    <mergeCell ref="A23:B23"/>
    <mergeCell ref="E24:E25"/>
    <mergeCell ref="A28:B28"/>
    <mergeCell ref="E29:E30"/>
    <mergeCell ref="A33:B33"/>
    <mergeCell ref="A38:B38"/>
    <mergeCell ref="A10:F10"/>
    <mergeCell ref="B11:F11"/>
    <mergeCell ref="C12:L12"/>
    <mergeCell ref="E13:F13"/>
    <mergeCell ref="E14:E15"/>
    <mergeCell ref="A6:D6"/>
    <mergeCell ref="A7:D7"/>
    <mergeCell ref="N8:N9"/>
    <mergeCell ref="O8:O9"/>
    <mergeCell ref="P8:P9"/>
    <mergeCell ref="A8:B9"/>
    <mergeCell ref="C8:C9"/>
    <mergeCell ref="D8:D9"/>
    <mergeCell ref="E8:F8"/>
    <mergeCell ref="G8:J8"/>
    <mergeCell ref="K8:K9"/>
    <mergeCell ref="M8:M9"/>
    <mergeCell ref="A1:D1"/>
    <mergeCell ref="A2:D2"/>
    <mergeCell ref="A3:D3"/>
    <mergeCell ref="A4:D4"/>
    <mergeCell ref="A5:D5"/>
  </mergeCells>
  <conditionalFormatting sqref="K1:K9">
    <cfRule type="cellIs" dxfId="20" priority="1" operator="equal">
      <formula>"smoke"</formula>
    </cfRule>
  </conditionalFormatting>
  <conditionalFormatting sqref="K1:K9">
    <cfRule type="cellIs" dxfId="19" priority="2" operator="equal">
      <formula>1</formula>
    </cfRule>
  </conditionalFormatting>
  <conditionalFormatting sqref="K1:K9">
    <cfRule type="cellIs" dxfId="18" priority="3" operator="equal">
      <formula>2</formula>
    </cfRule>
  </conditionalFormatting>
  <conditionalFormatting sqref="K1:K9">
    <cfRule type="cellIs" dxfId="17" priority="4" operator="equal">
      <formula>3</formula>
    </cfRule>
  </conditionalFormatting>
  <conditionalFormatting sqref="J10:L11 I11 G13:J22 K13:L42 M13:M14 N13:N42 O13:P14 M18:M19 O18:P19 M23:M42 O23:P42 G24:J42">
    <cfRule type="cellIs" dxfId="16" priority="5" operator="equal">
      <formula>"Не тестировался"</formula>
    </cfRule>
  </conditionalFormatting>
  <conditionalFormatting sqref="L1:L10 J10:K10 N10:P42">
    <cfRule type="cellIs" dxfId="15" priority="6" operator="equal">
      <formula>"Версия 1.1"</formula>
    </cfRule>
  </conditionalFormatting>
  <conditionalFormatting sqref="J10:L10 N10:P42">
    <cfRule type="cellIs" dxfId="14" priority="7" operator="equal">
      <formula>"Версия 1.1"</formula>
    </cfRule>
  </conditionalFormatting>
  <conditionalFormatting sqref="J10:L11 I11 G13:J22 K13:L42 M13:M14 N13:N42 O13:P14 M18:M19 O18:P19 M23:M42 O23:P42 G24:J42">
    <cfRule type="cellIs" dxfId="13" priority="8" operator="equal">
      <formula>"Не реализован"</formula>
    </cfRule>
  </conditionalFormatting>
  <conditionalFormatting sqref="J10:L11 I11 G13:J22 K13:L42 M13:M14 N13:N42 O13:P14 M18:M19 O18:P19 M23:M42 O23:P42 G24:J42">
    <cfRule type="cellIs" dxfId="12" priority="9" operator="equal">
      <formula>"Блокирован"</formula>
    </cfRule>
  </conditionalFormatting>
  <conditionalFormatting sqref="J10:L11 I11 G13:J22 K13:L42 M13:M14 N13:N42 O13:P14 M18:M19 O18:P19 M23:M42 O23:P42 G24:J42">
    <cfRule type="cellIs" dxfId="11" priority="10" operator="equal">
      <formula>"Blocker"</formula>
    </cfRule>
  </conditionalFormatting>
  <conditionalFormatting sqref="J10:L11 I11 G13:J22 K13:L42 M13:M14 N13:N42 O13:P14 M18:M19 O18:P19 M23:M42 O23:P42 G24:J42">
    <cfRule type="cellIs" dxfId="10" priority="11" operator="equal">
      <formula>"Critical"</formula>
    </cfRule>
  </conditionalFormatting>
  <conditionalFormatting sqref="J10:L11 I11 G13:J22 K13:L42 M13:M14 N13:N42 O13:P14 M18:M19 O18:P19 M23:M42 O23:P42 G24:J42">
    <cfRule type="cellIs" dxfId="9" priority="12" operator="equal">
      <formula>"Major"</formula>
    </cfRule>
  </conditionalFormatting>
  <conditionalFormatting sqref="J10:L11 I11 G13:J22 K13:L42 M13:M14 N13:N42 O13:P14 M18:M19 O18:P19 M23:M42 O23:P42 G24:J42">
    <cfRule type="cellIs" dxfId="8" priority="13" operator="equal">
      <formula>"Minor"</formula>
    </cfRule>
  </conditionalFormatting>
  <conditionalFormatting sqref="J10:L11 I11 G13:J22 K13:L42 M13:M14 N13:N42 O13:P14 M18:M19 O18:P19 M23:M42 O23:P42 G24:J42">
    <cfRule type="cellIs" dxfId="7" priority="14" operator="equal">
      <formula>"Trivial"</formula>
    </cfRule>
  </conditionalFormatting>
  <conditionalFormatting sqref="J10:L11 I11 G13:J22 K13:L42 M13:M14 N13:N42 O13:P14 M18:M19 O18:P19 M23:M42 O23:P42 G24:J42">
    <cfRule type="cellIs" dxfId="6" priority="15" operator="equal">
      <formula>"OK"</formula>
    </cfRule>
  </conditionalFormatting>
  <conditionalFormatting sqref="I10:I11 K13:K42">
    <cfRule type="containsText" dxfId="5" priority="16" operator="containsText" text="1">
      <formula>NOT(ISERROR(SEARCH(("1"),(I10))))</formula>
    </cfRule>
  </conditionalFormatting>
  <conditionalFormatting sqref="I10:I11 K13:K42">
    <cfRule type="containsText" dxfId="4" priority="17" operator="containsText" text="2">
      <formula>NOT(ISERROR(SEARCH(("2"),(I10))))</formula>
    </cfRule>
  </conditionalFormatting>
  <conditionalFormatting sqref="I10:I11 K13:K42">
    <cfRule type="containsText" dxfId="3" priority="18" operator="containsText" text="3">
      <formula>NOT(ISERROR(SEARCH(("3"),(I10))))</formula>
    </cfRule>
  </conditionalFormatting>
  <conditionalFormatting sqref="L13:L42 K23 K28:K42">
    <cfRule type="containsText" dxfId="2" priority="19" operator="containsText" text="Оптимизация">
      <formula>NOT(ISERROR(SEARCH(("Оптимизация"),(L13))))</formula>
    </cfRule>
  </conditionalFormatting>
  <conditionalFormatting sqref="I1:J7 I9:I11 J9 K13:K42">
    <cfRule type="containsText" dxfId="1" priority="20" operator="containsText" text="smoke">
      <formula>NOT(ISERROR(SEARCH(("smoke"),(I1))))</formula>
    </cfRule>
  </conditionalFormatting>
  <conditionalFormatting sqref="E34:E35">
    <cfRule type="notContainsBlanks" dxfId="0" priority="21">
      <formula>LEN(TRIM(E34))&gt;0</formula>
    </cfRule>
  </conditionalFormatting>
  <dataValidations count="3">
    <dataValidation type="list" allowBlank="1" sqref="O14:O17 O19:O22 O24:O27 O29:O32 O34:O37 O39:O42" xr:uid="{00000000-0002-0000-0200-000000000000}">
      <formula1>"Да,Нет,Частично"</formula1>
    </dataValidation>
    <dataValidation type="list" allowBlank="1" sqref="K14:K17 K19:K22 K24:K27 K29:K32 K34:K37 K39:K42" xr:uid="{00000000-0002-0000-0200-000001000000}">
      <formula1>"smoke,1,2,3"</formula1>
    </dataValidation>
    <dataValidation type="list" allowBlank="1" showErrorMessage="1" sqref="L14:L17 L19:L22 L24:L27 L29:L32 L34:L37 L39:L42" xr:uid="{00000000-0002-0000-0200-000002000000}">
      <formula1>"OK,Trivial,Minor,Major,Critical,Blocker,Не реализован,Не тестировался,Блокирован,Оптимизация"</formula1>
    </dataValidation>
  </dataValidations>
  <hyperlinks>
    <hyperlink ref="A10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Описание</vt:lpstr>
      <vt:lpstr>ЭФ ДО</vt:lpstr>
      <vt:lpstr>АК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Никита Слюсарев</cp:lastModifiedBy>
  <dcterms:modified xsi:type="dcterms:W3CDTF">2023-05-25T20:38:17Z</dcterms:modified>
</cp:coreProperties>
</file>