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01926780\Downloads\"/>
    </mc:Choice>
  </mc:AlternateContent>
  <bookViews>
    <workbookView xWindow="0" yWindow="0" windowWidth="28800" windowHeight="12585" activeTab="3"/>
  </bookViews>
  <sheets>
    <sheet name="ABC" sheetId="1" r:id="rId1"/>
    <sheet name="CBS" sheetId="2" r:id="rId2"/>
    <sheet name="NBC" sheetId="3" r:id="rId3"/>
    <sheet name="FOX" sheetId="4" r:id="rId4"/>
  </sheets>
  <calcPr calcId="152511"/>
</workbook>
</file>

<file path=xl/calcChain.xml><?xml version="1.0" encoding="utf-8"?>
<calcChain xmlns="http://schemas.openxmlformats.org/spreadsheetml/2006/main">
  <c r="D1182" i="4" l="1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<sst xmlns="http://schemas.openxmlformats.org/spreadsheetml/2006/main" count="35356" uniqueCount="5443">
  <si>
    <t>Non Program Time Report</t>
  </si>
  <si>
    <t>Region</t>
  </si>
  <si>
    <t>East Coast</t>
  </si>
  <si>
    <t>Time Window</t>
  </si>
  <si>
    <t>Prime Time</t>
  </si>
  <si>
    <t>Logged Program Segments from 06/15/2017 - 07/15/2017</t>
  </si>
  <si>
    <t>Date</t>
  </si>
  <si>
    <t>Network</t>
  </si>
  <si>
    <t>SegmentType</t>
  </si>
  <si>
    <t>DESCRIPTION</t>
  </si>
  <si>
    <t>DURATION</t>
  </si>
  <si>
    <t>StartTime</t>
  </si>
  <si>
    <t>EndTime</t>
  </si>
  <si>
    <t>ABC</t>
  </si>
  <si>
    <t>PROMO</t>
  </si>
  <si>
    <t>00:06</t>
  </si>
  <si>
    <t>8:00:00</t>
  </si>
  <si>
    <t>8:00:06</t>
  </si>
  <si>
    <t>PROGRAM</t>
  </si>
  <si>
    <t>10:51</t>
  </si>
  <si>
    <t>8:10:57</t>
  </si>
  <si>
    <t>COMMERCIAL</t>
  </si>
  <si>
    <t>03:00</t>
  </si>
  <si>
    <t>8:13:57</t>
  </si>
  <si>
    <t>00:29</t>
  </si>
  <si>
    <t>8:14:26</t>
  </si>
  <si>
    <t>07:00</t>
  </si>
  <si>
    <t>8:21:26</t>
  </si>
  <si>
    <t>02:30</t>
  </si>
  <si>
    <t>8:23:56</t>
  </si>
  <si>
    <t>00:15</t>
  </si>
  <si>
    <t>8:24:11</t>
  </si>
  <si>
    <t>LOCAL</t>
  </si>
  <si>
    <t>01:01</t>
  </si>
  <si>
    <t>8:25:12</t>
  </si>
  <si>
    <t>04:30</t>
  </si>
  <si>
    <t>8:29:42</t>
  </si>
  <si>
    <t>8:32:12</t>
  </si>
  <si>
    <t>00:30</t>
  </si>
  <si>
    <t>8:32:42</t>
  </si>
  <si>
    <t>8:33:12</t>
  </si>
  <si>
    <t>09:09</t>
  </si>
  <si>
    <t>8:42:21</t>
  </si>
  <si>
    <t>02:00</t>
  </si>
  <si>
    <t>8:44:21</t>
  </si>
  <si>
    <t>8:44:36</t>
  </si>
  <si>
    <t>01:30</t>
  </si>
  <si>
    <t>8:46:06</t>
  </si>
  <si>
    <t>06:02</t>
  </si>
  <si>
    <t>8:52:08</t>
  </si>
  <si>
    <t>8:55:08</t>
  </si>
  <si>
    <t>8:55:23</t>
  </si>
  <si>
    <t>04:38</t>
  </si>
  <si>
    <t>9:00:01</t>
  </si>
  <si>
    <t>00:05</t>
  </si>
  <si>
    <t>9:00:06</t>
  </si>
  <si>
    <t>08:49</t>
  </si>
  <si>
    <t>9:08:55</t>
  </si>
  <si>
    <t>9:11:25</t>
  </si>
  <si>
    <t>9:11:55</t>
  </si>
  <si>
    <t>9:12:24</t>
  </si>
  <si>
    <t>07:08</t>
  </si>
  <si>
    <t>9:19:32</t>
  </si>
  <si>
    <t>9:22:02</t>
  </si>
  <si>
    <t>00:16</t>
  </si>
  <si>
    <t>9:22:18</t>
  </si>
  <si>
    <t>01:00</t>
  </si>
  <si>
    <t>9:23:18</t>
  </si>
  <si>
    <t>07:47</t>
  </si>
  <si>
    <t>9:31:05</t>
  </si>
  <si>
    <t>9:34:05</t>
  </si>
  <si>
    <t>9:34:35</t>
  </si>
  <si>
    <t>9:34:50</t>
  </si>
  <si>
    <t>08:04</t>
  </si>
  <si>
    <t>9:42:54</t>
  </si>
  <si>
    <t>9:44:54</t>
  </si>
  <si>
    <t>9:45:24</t>
  </si>
  <si>
    <t>01:31</t>
  </si>
  <si>
    <t>9:46:55</t>
  </si>
  <si>
    <t>06:16</t>
  </si>
  <si>
    <t>9:53:11</t>
  </si>
  <si>
    <t>9:55:41</t>
  </si>
  <si>
    <t>9:55:57</t>
  </si>
  <si>
    <t>9:56:12</t>
  </si>
  <si>
    <t>00:04</t>
  </si>
  <si>
    <t>9:56:16</t>
  </si>
  <si>
    <t>03:45</t>
  </si>
  <si>
    <t>10:00:01</t>
  </si>
  <si>
    <t>10:00:06</t>
  </si>
  <si>
    <t>09:35</t>
  </si>
  <si>
    <t>10:09:41</t>
  </si>
  <si>
    <t>02:31</t>
  </si>
  <si>
    <t>10:12:12</t>
  </si>
  <si>
    <t>10:12:27</t>
  </si>
  <si>
    <t>10:12:42</t>
  </si>
  <si>
    <t>02:28</t>
  </si>
  <si>
    <t>10:15:10</t>
  </si>
  <si>
    <t>10:17:10</t>
  </si>
  <si>
    <t>00:31</t>
  </si>
  <si>
    <t>10:17:41</t>
  </si>
  <si>
    <t>06:51</t>
  </si>
  <si>
    <t>10:24:32</t>
  </si>
  <si>
    <t>10:26:03</t>
  </si>
  <si>
    <t>10:26:18</t>
  </si>
  <si>
    <t>01:47</t>
  </si>
  <si>
    <t>10:28:05</t>
  </si>
  <si>
    <t>10:57</t>
  </si>
  <si>
    <t>10:39:02</t>
  </si>
  <si>
    <t>03:01</t>
  </si>
  <si>
    <t>10:42:03</t>
  </si>
  <si>
    <t>10:42:18</t>
  </si>
  <si>
    <t>02:24</t>
  </si>
  <si>
    <t>10:44:42</t>
  </si>
  <si>
    <t>10:45:42</t>
  </si>
  <si>
    <t>10:45:48</t>
  </si>
  <si>
    <t>10:47:18</t>
  </si>
  <si>
    <t>07:17</t>
  </si>
  <si>
    <t>10:54:35</t>
  </si>
  <si>
    <t>10:54:51</t>
  </si>
  <si>
    <t>01:59</t>
  </si>
  <si>
    <t>10:56:50</t>
  </si>
  <si>
    <t>10:57:06</t>
  </si>
  <si>
    <t>02:39</t>
  </si>
  <si>
    <t>10:59:45</t>
  </si>
  <si>
    <t>11:00:00</t>
  </si>
  <si>
    <t>8:00:05</t>
  </si>
  <si>
    <t>11:28</t>
  </si>
  <si>
    <t>8:11:33</t>
  </si>
  <si>
    <t>02:32</t>
  </si>
  <si>
    <t>8:14:05</t>
  </si>
  <si>
    <t>8:14:35</t>
  </si>
  <si>
    <t>09:05</t>
  </si>
  <si>
    <t>8:23:40</t>
  </si>
  <si>
    <t>8:25:40</t>
  </si>
  <si>
    <t>8:25:55</t>
  </si>
  <si>
    <t>8:26:25</t>
  </si>
  <si>
    <t>8:27:26</t>
  </si>
  <si>
    <t>03:21</t>
  </si>
  <si>
    <t>8:30:47</t>
  </si>
  <si>
    <t>8:33:18</t>
  </si>
  <si>
    <t>8:33:48</t>
  </si>
  <si>
    <t>8:34:18</t>
  </si>
  <si>
    <t>05:40</t>
  </si>
  <si>
    <t>8:39:58</t>
  </si>
  <si>
    <t>02:46</t>
  </si>
  <si>
    <t>8:42:44</t>
  </si>
  <si>
    <t>8:43:14</t>
  </si>
  <si>
    <t>8:44:14</t>
  </si>
  <si>
    <t>09:03</t>
  </si>
  <si>
    <t>8:53:17</t>
  </si>
  <si>
    <t>03:30</t>
  </si>
  <si>
    <t>8:56:47</t>
  </si>
  <si>
    <t>8:57:17</t>
  </si>
  <si>
    <t>8:57:21</t>
  </si>
  <si>
    <t>03:03</t>
  </si>
  <si>
    <t>9:00:24</t>
  </si>
  <si>
    <t>9:00:54</t>
  </si>
  <si>
    <t>9:01:00</t>
  </si>
  <si>
    <t>12:02</t>
  </si>
  <si>
    <t>9:13:02</t>
  </si>
  <si>
    <t>9:16:03</t>
  </si>
  <si>
    <t>9:16:33</t>
  </si>
  <si>
    <t>9:16:48</t>
  </si>
  <si>
    <t>07:28</t>
  </si>
  <si>
    <t>9:24:16</t>
  </si>
  <si>
    <t>9:26:47</t>
  </si>
  <si>
    <t>9:27:17</t>
  </si>
  <si>
    <t>9:28:17</t>
  </si>
  <si>
    <t>06:37</t>
  </si>
  <si>
    <t>9:34:54</t>
  </si>
  <si>
    <t>9:37:55</t>
  </si>
  <si>
    <t>9:38:10</t>
  </si>
  <si>
    <t>9:38:25</t>
  </si>
  <si>
    <t>9:38:55</t>
  </si>
  <si>
    <t>9:46:59</t>
  </si>
  <si>
    <t>02:01</t>
  </si>
  <si>
    <t>9:49:00</t>
  </si>
  <si>
    <t>9:49:15</t>
  </si>
  <si>
    <t>9:50:45</t>
  </si>
  <si>
    <t>05:38</t>
  </si>
  <si>
    <t>9:56:23</t>
  </si>
  <si>
    <t>9:59:24</t>
  </si>
  <si>
    <t>9:59:39</t>
  </si>
  <si>
    <t>9:59:54</t>
  </si>
  <si>
    <t>9:59:58</t>
  </si>
  <si>
    <t>12:21</t>
  </si>
  <si>
    <t>10:12:19</t>
  </si>
  <si>
    <t>10:15:20</t>
  </si>
  <si>
    <t>10:15:50</t>
  </si>
  <si>
    <t>10:16:20</t>
  </si>
  <si>
    <t>06:00</t>
  </si>
  <si>
    <t>10:22:20</t>
  </si>
  <si>
    <t>10:25:21</t>
  </si>
  <si>
    <t>10:25:52</t>
  </si>
  <si>
    <t>07:32</t>
  </si>
  <si>
    <t>10:33:24</t>
  </si>
  <si>
    <t>10:34:55</t>
  </si>
  <si>
    <t>00:10</t>
  </si>
  <si>
    <t>10:35:05</t>
  </si>
  <si>
    <t>01:45</t>
  </si>
  <si>
    <t>10:36:50</t>
  </si>
  <si>
    <t>05:32</t>
  </si>
  <si>
    <t>10:42:22</t>
  </si>
  <si>
    <t>10:43:52</t>
  </si>
  <si>
    <t>10:44:22</t>
  </si>
  <si>
    <t>10:44:52</t>
  </si>
  <si>
    <t>10:46:22</t>
  </si>
  <si>
    <t>06:39</t>
  </si>
  <si>
    <t>10:53:01</t>
  </si>
  <si>
    <t>10:53:16</t>
  </si>
  <si>
    <t>00:02</t>
  </si>
  <si>
    <t>10:53:18</t>
  </si>
  <si>
    <t>10:55:17</t>
  </si>
  <si>
    <t>00:32</t>
  </si>
  <si>
    <t>10:55:49</t>
  </si>
  <si>
    <t>03:51</t>
  </si>
  <si>
    <t>10:59:40</t>
  </si>
  <si>
    <t>09:14</t>
  </si>
  <si>
    <t>8:09:19</t>
  </si>
  <si>
    <t>8:11:49</t>
  </si>
  <si>
    <t>8:12:19</t>
  </si>
  <si>
    <t>8:12:34</t>
  </si>
  <si>
    <t>06:01</t>
  </si>
  <si>
    <t>8:18:35</t>
  </si>
  <si>
    <t>8:20:35</t>
  </si>
  <si>
    <t>8:21:05</t>
  </si>
  <si>
    <t>8:22:06</t>
  </si>
  <si>
    <t>08:10</t>
  </si>
  <si>
    <t>8:30:16</t>
  </si>
  <si>
    <t>8:33:16</t>
  </si>
  <si>
    <t>8:33:46</t>
  </si>
  <si>
    <t>8:34:16</t>
  </si>
  <si>
    <t>07:43</t>
  </si>
  <si>
    <t>8:41:59</t>
  </si>
  <si>
    <t>8:43:44</t>
  </si>
  <si>
    <t>8:43:59</t>
  </si>
  <si>
    <t>8:45:44</t>
  </si>
  <si>
    <t>8:52:21</t>
  </si>
  <si>
    <t>8:55:21</t>
  </si>
  <si>
    <t>8:55:51</t>
  </si>
  <si>
    <t>8:55:56</t>
  </si>
  <si>
    <t>04:04</t>
  </si>
  <si>
    <t>9:00:00</t>
  </si>
  <si>
    <t>9:00:05</t>
  </si>
  <si>
    <t>07:24</t>
  </si>
  <si>
    <t>9:07:29</t>
  </si>
  <si>
    <t>9:09:59</t>
  </si>
  <si>
    <t>9:10:14</t>
  </si>
  <si>
    <t>9:10:44</t>
  </si>
  <si>
    <t>9:11:14</t>
  </si>
  <si>
    <t>07:55</t>
  </si>
  <si>
    <t>9:19:09</t>
  </si>
  <si>
    <t>02:02</t>
  </si>
  <si>
    <t>9:21:11</t>
  </si>
  <si>
    <t>9:21:41</t>
  </si>
  <si>
    <t>9:22:11</t>
  </si>
  <si>
    <t>9:22:26</t>
  </si>
  <si>
    <t>01:02</t>
  </si>
  <si>
    <t>9:23:28</t>
  </si>
  <si>
    <t>08:28</t>
  </si>
  <si>
    <t>9:31:56</t>
  </si>
  <si>
    <t>03:33</t>
  </si>
  <si>
    <t>9:35:29</t>
  </si>
  <si>
    <t>9:35:59</t>
  </si>
  <si>
    <t>9:36:29</t>
  </si>
  <si>
    <t>09:46</t>
  </si>
  <si>
    <t>9:46:15</t>
  </si>
  <si>
    <t>01:32</t>
  </si>
  <si>
    <t>9:47:47</t>
  </si>
  <si>
    <t>9:48:17</t>
  </si>
  <si>
    <t>9:48:32</t>
  </si>
  <si>
    <t>9:49:02</t>
  </si>
  <si>
    <t>9:50:33</t>
  </si>
  <si>
    <t>05:42</t>
  </si>
  <si>
    <t>9:56:15</t>
  </si>
  <si>
    <t>03:02</t>
  </si>
  <si>
    <t>9:59:17</t>
  </si>
  <si>
    <t>9:59:27</t>
  </si>
  <si>
    <t>9:59:57</t>
  </si>
  <si>
    <t>10:00:27</t>
  </si>
  <si>
    <t>10:00:32</t>
  </si>
  <si>
    <t>07:01</t>
  </si>
  <si>
    <t>10:07:33</t>
  </si>
  <si>
    <t>10:10:05</t>
  </si>
  <si>
    <t>10:10:35</t>
  </si>
  <si>
    <t>10:11:05</t>
  </si>
  <si>
    <t>10:11:35</t>
  </si>
  <si>
    <t>09:08</t>
  </si>
  <si>
    <t>10:20:43</t>
  </si>
  <si>
    <t>10:22:13</t>
  </si>
  <si>
    <t>10:22:43</t>
  </si>
  <si>
    <t>10:23:14</t>
  </si>
  <si>
    <t>10:23:43</t>
  </si>
  <si>
    <t>01:46</t>
  </si>
  <si>
    <t>10:25:29</t>
  </si>
  <si>
    <t>09:04</t>
  </si>
  <si>
    <t>10:34:33</t>
  </si>
  <si>
    <t>10:36:05</t>
  </si>
  <si>
    <t>10:36:20</t>
  </si>
  <si>
    <t>10:36:35</t>
  </si>
  <si>
    <t>10:37:20</t>
  </si>
  <si>
    <t>10:38:51</t>
  </si>
  <si>
    <t>09:20</t>
  </si>
  <si>
    <t>10:48:11</t>
  </si>
  <si>
    <t>10:48:27</t>
  </si>
  <si>
    <t>10:51:28</t>
  </si>
  <si>
    <t>10:51:58</t>
  </si>
  <si>
    <t>10:52:28</t>
  </si>
  <si>
    <t>10:52:58</t>
  </si>
  <si>
    <t>06:17</t>
  </si>
  <si>
    <t>10:59:15</t>
  </si>
  <si>
    <t>7:00:00</t>
  </si>
  <si>
    <t>7:00:05</t>
  </si>
  <si>
    <t>10:02</t>
  </si>
  <si>
    <t>7:10:07</t>
  </si>
  <si>
    <t>7:12:07</t>
  </si>
  <si>
    <t>7:12:22</t>
  </si>
  <si>
    <t>7:12:37</t>
  </si>
  <si>
    <t>07:21</t>
  </si>
  <si>
    <t>7:19:58</t>
  </si>
  <si>
    <t>7:21:28</t>
  </si>
  <si>
    <t>7:21:58</t>
  </si>
  <si>
    <t>7:23:28</t>
  </si>
  <si>
    <t>05:57</t>
  </si>
  <si>
    <t>7:29:25</t>
  </si>
  <si>
    <t>7:32:26</t>
  </si>
  <si>
    <t>7:32:56</t>
  </si>
  <si>
    <t>7:39:13</t>
  </si>
  <si>
    <t>7:41:13</t>
  </si>
  <si>
    <t>7:41:28</t>
  </si>
  <si>
    <t>7:41:43</t>
  </si>
  <si>
    <t>7:43:14</t>
  </si>
  <si>
    <t>07:11</t>
  </si>
  <si>
    <t>7:50:25</t>
  </si>
  <si>
    <t>03:31</t>
  </si>
  <si>
    <t>7:53:56</t>
  </si>
  <si>
    <t>7:54:26</t>
  </si>
  <si>
    <t>7:54:30</t>
  </si>
  <si>
    <t>05:30</t>
  </si>
  <si>
    <t>11:18</t>
  </si>
  <si>
    <t>8:11:23</t>
  </si>
  <si>
    <t>8:14:09</t>
  </si>
  <si>
    <t>00:14</t>
  </si>
  <si>
    <t>8:14:23</t>
  </si>
  <si>
    <t>8:14:53</t>
  </si>
  <si>
    <t>07:57</t>
  </si>
  <si>
    <t>8:22:50</t>
  </si>
  <si>
    <t>8:25:20</t>
  </si>
  <si>
    <t>8:25:35</t>
  </si>
  <si>
    <t>8:26:35</t>
  </si>
  <si>
    <t>04:05</t>
  </si>
  <si>
    <t>8:30:40</t>
  </si>
  <si>
    <t>8:33:10</t>
  </si>
  <si>
    <t>8:33:41</t>
  </si>
  <si>
    <t>07:31</t>
  </si>
  <si>
    <t>8:41:12</t>
  </si>
  <si>
    <t>8:43:12</t>
  </si>
  <si>
    <t>8:43:42</t>
  </si>
  <si>
    <t>8:45:13</t>
  </si>
  <si>
    <t>00:01</t>
  </si>
  <si>
    <t>8:45:14</t>
  </si>
  <si>
    <t>06:59</t>
  </si>
  <si>
    <t>8:52:13</t>
  </si>
  <si>
    <t>8:55:43</t>
  </si>
  <si>
    <t>8:55:58</t>
  </si>
  <si>
    <t>8:56:02</t>
  </si>
  <si>
    <t>03:58</t>
  </si>
  <si>
    <t>10:20</t>
  </si>
  <si>
    <t>9:10:25</t>
  </si>
  <si>
    <t>9:12:55</t>
  </si>
  <si>
    <t>9:13:10</t>
  </si>
  <si>
    <t>9:13:40</t>
  </si>
  <si>
    <t>9:18:10</t>
  </si>
  <si>
    <t>9:19:41</t>
  </si>
  <si>
    <t>9:19:56</t>
  </si>
  <si>
    <t>9:20:11</t>
  </si>
  <si>
    <t>08:52</t>
  </si>
  <si>
    <t>9:30:33</t>
  </si>
  <si>
    <t>9:33:33</t>
  </si>
  <si>
    <t>9:33:48</t>
  </si>
  <si>
    <t>9:34:18</t>
  </si>
  <si>
    <t>04:32</t>
  </si>
  <si>
    <t>9:38:50</t>
  </si>
  <si>
    <t>9:41:20</t>
  </si>
  <si>
    <t>9:41:50</t>
  </si>
  <si>
    <t>9:42:51</t>
  </si>
  <si>
    <t>08:14</t>
  </si>
  <si>
    <t>9:51:05</t>
  </si>
  <si>
    <t>03:15</t>
  </si>
  <si>
    <t>9:54:20</t>
  </si>
  <si>
    <t>9:54:35</t>
  </si>
  <si>
    <t>9:54:40</t>
  </si>
  <si>
    <t>04:47</t>
  </si>
  <si>
    <t>00:03</t>
  </si>
  <si>
    <t>10:00:00</t>
  </si>
  <si>
    <t>10:00:05</t>
  </si>
  <si>
    <t>08:29</t>
  </si>
  <si>
    <t>10:08:34</t>
  </si>
  <si>
    <t>10:10:34</t>
  </si>
  <si>
    <t>10:10:49</t>
  </si>
  <si>
    <t>10:11:19</t>
  </si>
  <si>
    <t>12:26</t>
  </si>
  <si>
    <t>10:23:45</t>
  </si>
  <si>
    <t>10:25:16</t>
  </si>
  <si>
    <t>10:25:46</t>
  </si>
  <si>
    <t>10:27:32</t>
  </si>
  <si>
    <t>10:29</t>
  </si>
  <si>
    <t>10:38:01</t>
  </si>
  <si>
    <t>10:41:02</t>
  </si>
  <si>
    <t>10:41:16</t>
  </si>
  <si>
    <t>02:54</t>
  </si>
  <si>
    <t>10:44:10</t>
  </si>
  <si>
    <t>10:45:10</t>
  </si>
  <si>
    <t>10:45:25</t>
  </si>
  <si>
    <t>10:46:56</t>
  </si>
  <si>
    <t>07:15</t>
  </si>
  <si>
    <t>10:54:11</t>
  </si>
  <si>
    <t>10:54:26</t>
  </si>
  <si>
    <t>10:56:26</t>
  </si>
  <si>
    <t>10:56:41</t>
  </si>
  <si>
    <t>03:04</t>
  </si>
  <si>
    <t>06:41</t>
  </si>
  <si>
    <t>8:06:46</t>
  </si>
  <si>
    <t>8:10:01</t>
  </si>
  <si>
    <t>8:10:16</t>
  </si>
  <si>
    <t>8:10:31</t>
  </si>
  <si>
    <t>07:25</t>
  </si>
  <si>
    <t>8:17:56</t>
  </si>
  <si>
    <t>02:45</t>
  </si>
  <si>
    <t>8:20:41</t>
  </si>
  <si>
    <t>8:20:56</t>
  </si>
  <si>
    <t>8:21:11</t>
  </si>
  <si>
    <t>8:22:12</t>
  </si>
  <si>
    <t>8:31:26</t>
  </si>
  <si>
    <t>8:34:56</t>
  </si>
  <si>
    <t>8:35:11</t>
  </si>
  <si>
    <t>8:35:41</t>
  </si>
  <si>
    <t>05:54</t>
  </si>
  <si>
    <t>8:41:35</t>
  </si>
  <si>
    <t>8:43:35</t>
  </si>
  <si>
    <t>8:44:05</t>
  </si>
  <si>
    <t>8:45:36</t>
  </si>
  <si>
    <t>05:48</t>
  </si>
  <si>
    <t>8:51:24</t>
  </si>
  <si>
    <t>8:54:54</t>
  </si>
  <si>
    <t>8:55:24</t>
  </si>
  <si>
    <t>8:55:30</t>
  </si>
  <si>
    <t>12:13</t>
  </si>
  <si>
    <t>9:07:43</t>
  </si>
  <si>
    <t>9:10:58</t>
  </si>
  <si>
    <t>9:11:28</t>
  </si>
  <si>
    <t>9:11:58</t>
  </si>
  <si>
    <t>9:17:46</t>
  </si>
  <si>
    <t>9:19:46</t>
  </si>
  <si>
    <t>9:20:01</t>
  </si>
  <si>
    <t>9:20:16</t>
  </si>
  <si>
    <t>9:20:46</t>
  </si>
  <si>
    <t>9:21:48</t>
  </si>
  <si>
    <t>08:45</t>
  </si>
  <si>
    <t>02:15</t>
  </si>
  <si>
    <t>9:32:48</t>
  </si>
  <si>
    <t>9:33:03</t>
  </si>
  <si>
    <t>9:33:18</t>
  </si>
  <si>
    <t>9:35:03</t>
  </si>
  <si>
    <t>13:03</t>
  </si>
  <si>
    <t>9:48:06</t>
  </si>
  <si>
    <t>9:51:36</t>
  </si>
  <si>
    <t>9:51:51</t>
  </si>
  <si>
    <t>9:52:21</t>
  </si>
  <si>
    <t>9:52:52</t>
  </si>
  <si>
    <t>9:52:57</t>
  </si>
  <si>
    <t>07:16</t>
  </si>
  <si>
    <t>10:00:13</t>
  </si>
  <si>
    <t>00:47</t>
  </si>
  <si>
    <t>10:01:00</t>
  </si>
  <si>
    <t>10:02:00</t>
  </si>
  <si>
    <t>10:02:05</t>
  </si>
  <si>
    <t>10:11:25</t>
  </si>
  <si>
    <t>10:14:26</t>
  </si>
  <si>
    <t>10:14:41</t>
  </si>
  <si>
    <t>05:09</t>
  </si>
  <si>
    <t>10:19:50</t>
  </si>
  <si>
    <t>10:22:51</t>
  </si>
  <si>
    <t>10:23:06</t>
  </si>
  <si>
    <t>08:00</t>
  </si>
  <si>
    <t>10:31:06</t>
  </si>
  <si>
    <t>10:32:36</t>
  </si>
  <si>
    <t>10:32:41</t>
  </si>
  <si>
    <t>02:17</t>
  </si>
  <si>
    <t>10:34:58</t>
  </si>
  <si>
    <t>04:46</t>
  </si>
  <si>
    <t>10:39:44</t>
  </si>
  <si>
    <t>10:41:15</t>
  </si>
  <si>
    <t>10:41:30</t>
  </si>
  <si>
    <t>10:42:30</t>
  </si>
  <si>
    <t>10:48:08</t>
  </si>
  <si>
    <t>10:48:24</t>
  </si>
  <si>
    <t>10:50:24</t>
  </si>
  <si>
    <t>10:50:39</t>
  </si>
  <si>
    <t>08:36</t>
  </si>
  <si>
    <t>06:12</t>
  </si>
  <si>
    <t>8:06:18</t>
  </si>
  <si>
    <t>8:08:18</t>
  </si>
  <si>
    <t>8:08:49</t>
  </si>
  <si>
    <t>8:15:06</t>
  </si>
  <si>
    <t>8:16:52</t>
  </si>
  <si>
    <t>8:17:22</t>
  </si>
  <si>
    <t>8:18:22</t>
  </si>
  <si>
    <t>8:26:17</t>
  </si>
  <si>
    <t>8:28:48</t>
  </si>
  <si>
    <t>8:29:03</t>
  </si>
  <si>
    <t>8:29:18</t>
  </si>
  <si>
    <t>00:42</t>
  </si>
  <si>
    <t>8:30:00</t>
  </si>
  <si>
    <t>8:30:06</t>
  </si>
  <si>
    <t>05:33</t>
  </si>
  <si>
    <t>8:35:39</t>
  </si>
  <si>
    <t>8:37:38</t>
  </si>
  <si>
    <t>8:38:09</t>
  </si>
  <si>
    <t>02:55</t>
  </si>
  <si>
    <t>8:41:04</t>
  </si>
  <si>
    <t>8:41:10</t>
  </si>
  <si>
    <t>8:42:10</t>
  </si>
  <si>
    <t>8:42:15</t>
  </si>
  <si>
    <t>8:42:30</t>
  </si>
  <si>
    <t>8:44:01</t>
  </si>
  <si>
    <t>11:24</t>
  </si>
  <si>
    <t>8:55:25</t>
  </si>
  <si>
    <t>8:58:25</t>
  </si>
  <si>
    <t>8:58:40</t>
  </si>
  <si>
    <t>8:58:45</t>
  </si>
  <si>
    <t>01:15</t>
  </si>
  <si>
    <t>08:48</t>
  </si>
  <si>
    <t>9:08:53</t>
  </si>
  <si>
    <t>9:10:54</t>
  </si>
  <si>
    <t>9:11:09</t>
  </si>
  <si>
    <t>9:11:39</t>
  </si>
  <si>
    <t>9:11:54</t>
  </si>
  <si>
    <t>06:10</t>
  </si>
  <si>
    <t>9:18:04</t>
  </si>
  <si>
    <t>9:19:35</t>
  </si>
  <si>
    <t>9:19:50</t>
  </si>
  <si>
    <t>9:20:20</t>
  </si>
  <si>
    <t>9:21:20</t>
  </si>
  <si>
    <t>05:23</t>
  </si>
  <si>
    <t>9:26:43</t>
  </si>
  <si>
    <t>9:28:44</t>
  </si>
  <si>
    <t>9:28:59</t>
  </si>
  <si>
    <t>9:29:14</t>
  </si>
  <si>
    <t>00:46</t>
  </si>
  <si>
    <t>9:30:00</t>
  </si>
  <si>
    <t>9:30:05</t>
  </si>
  <si>
    <t>09:32</t>
  </si>
  <si>
    <t>9:39:37</t>
  </si>
  <si>
    <t>9:41:08</t>
  </si>
  <si>
    <t>9:41:38</t>
  </si>
  <si>
    <t>9:42:08</t>
  </si>
  <si>
    <t>08:37</t>
  </si>
  <si>
    <t>01:50</t>
  </si>
  <si>
    <t>9:52:35</t>
  </si>
  <si>
    <t>9:52:51</t>
  </si>
  <si>
    <t>9:53:21</t>
  </si>
  <si>
    <t>9:54:22</t>
  </si>
  <si>
    <t>9:56:37</t>
  </si>
  <si>
    <t>9:58:37</t>
  </si>
  <si>
    <t>9:58:42</t>
  </si>
  <si>
    <t>9:59:12</t>
  </si>
  <si>
    <t>00:07</t>
  </si>
  <si>
    <t>9:59:19</t>
  </si>
  <si>
    <t>06:03</t>
  </si>
  <si>
    <t>10:06:08</t>
  </si>
  <si>
    <t>10:08:09</t>
  </si>
  <si>
    <t>10:08:24</t>
  </si>
  <si>
    <t>10:08:39</t>
  </si>
  <si>
    <t>10:17:07</t>
  </si>
  <si>
    <t>10:20:07</t>
  </si>
  <si>
    <t>00:17</t>
  </si>
  <si>
    <t>10:20:24</t>
  </si>
  <si>
    <t>05:46</t>
  </si>
  <si>
    <t>10:26:10</t>
  </si>
  <si>
    <t>01:05</t>
  </si>
  <si>
    <t>10:27:15</t>
  </si>
  <si>
    <t>00:25</t>
  </si>
  <si>
    <t>10:27:40</t>
  </si>
  <si>
    <t>10:29:26</t>
  </si>
  <si>
    <t>00:34</t>
  </si>
  <si>
    <t>10:30:00</t>
  </si>
  <si>
    <t>10:30:05</t>
  </si>
  <si>
    <t>08:06</t>
  </si>
  <si>
    <t>10:38:11</t>
  </si>
  <si>
    <t>10:41:11</t>
  </si>
  <si>
    <t>10:41:41</t>
  </si>
  <si>
    <t>05:19</t>
  </si>
  <si>
    <t>10:47:00</t>
  </si>
  <si>
    <t>01:16</t>
  </si>
  <si>
    <t>10:48:16</t>
  </si>
  <si>
    <t>10:48:31</t>
  </si>
  <si>
    <t>10:50:01</t>
  </si>
  <si>
    <t>07:03</t>
  </si>
  <si>
    <t>10:57:04</t>
  </si>
  <si>
    <t>10:57:20</t>
  </si>
  <si>
    <t>10:58:51</t>
  </si>
  <si>
    <t>10:59:06</t>
  </si>
  <si>
    <t>00:39</t>
  </si>
  <si>
    <t>10:42</t>
  </si>
  <si>
    <t>8:10:47</t>
  </si>
  <si>
    <t>8:12:47</t>
  </si>
  <si>
    <t>8:13:02</t>
  </si>
  <si>
    <t>8:13:17</t>
  </si>
  <si>
    <t>05:25</t>
  </si>
  <si>
    <t>8:18:42</t>
  </si>
  <si>
    <t>8:20:28</t>
  </si>
  <si>
    <t>8:20:58</t>
  </si>
  <si>
    <t>8:21:58</t>
  </si>
  <si>
    <t>04:21</t>
  </si>
  <si>
    <t>8:26:19</t>
  </si>
  <si>
    <t>8:28:49</t>
  </si>
  <si>
    <t>8:29:05</t>
  </si>
  <si>
    <t>8:29:20</t>
  </si>
  <si>
    <t>00:40</t>
  </si>
  <si>
    <t>8:30:05</t>
  </si>
  <si>
    <t>07:05</t>
  </si>
  <si>
    <t>8:37:10</t>
  </si>
  <si>
    <t>02:20</t>
  </si>
  <si>
    <t>8:39:30</t>
  </si>
  <si>
    <t>8:40:01</t>
  </si>
  <si>
    <t>06:04</t>
  </si>
  <si>
    <t>8:46:05</t>
  </si>
  <si>
    <t>8:46:11</t>
  </si>
  <si>
    <t>8:47:26</t>
  </si>
  <si>
    <t>8:49:16</t>
  </si>
  <si>
    <t>8:56:27</t>
  </si>
  <si>
    <t>8:58:42</t>
  </si>
  <si>
    <t>8:58:58</t>
  </si>
  <si>
    <t>8:59:14</t>
  </si>
  <si>
    <t>8:59:18</t>
  </si>
  <si>
    <t>05:50</t>
  </si>
  <si>
    <t>9:05:55</t>
  </si>
  <si>
    <t>9:08:26</t>
  </si>
  <si>
    <t>9:08:41</t>
  </si>
  <si>
    <t>9:08:56</t>
  </si>
  <si>
    <t>09:53</t>
  </si>
  <si>
    <t>9:18:49</t>
  </si>
  <si>
    <t>9:20:50</t>
  </si>
  <si>
    <t>9:21:05</t>
  </si>
  <si>
    <t>9:21:15</t>
  </si>
  <si>
    <t>9:21:30</t>
  </si>
  <si>
    <t>9:22:30</t>
  </si>
  <si>
    <t>04:34</t>
  </si>
  <si>
    <t>9:27:04</t>
  </si>
  <si>
    <t>02:48</t>
  </si>
  <si>
    <t>9:29:52</t>
  </si>
  <si>
    <t>9:30:07</t>
  </si>
  <si>
    <t>9:30:11</t>
  </si>
  <si>
    <t>00:49</t>
  </si>
  <si>
    <t>9:31:00</t>
  </si>
  <si>
    <t>08:17</t>
  </si>
  <si>
    <t>9:39:22</t>
  </si>
  <si>
    <t>9:41:24</t>
  </si>
  <si>
    <t>9:41:39</t>
  </si>
  <si>
    <t>9:41:44</t>
  </si>
  <si>
    <t>9:49:16</t>
  </si>
  <si>
    <t>9:50:48</t>
  </si>
  <si>
    <t>9:51:03</t>
  </si>
  <si>
    <t>9:52:33</t>
  </si>
  <si>
    <t>03:56</t>
  </si>
  <si>
    <t>9:56:29</t>
  </si>
  <si>
    <t>9:56:35</t>
  </si>
  <si>
    <t>02:16</t>
  </si>
  <si>
    <t>9:58:51</t>
  </si>
  <si>
    <t>00:19</t>
  </si>
  <si>
    <t>9:59:10</t>
  </si>
  <si>
    <t>00:50</t>
  </si>
  <si>
    <t>09:29</t>
  </si>
  <si>
    <t>10:09:34</t>
  </si>
  <si>
    <t>10:12:04</t>
  </si>
  <si>
    <t>10:12:34</t>
  </si>
  <si>
    <t>10:13:04</t>
  </si>
  <si>
    <t>07:48</t>
  </si>
  <si>
    <t>10:20:52</t>
  </si>
  <si>
    <t>10:23:52</t>
  </si>
  <si>
    <t>10:24:02</t>
  </si>
  <si>
    <t>10:24:17</t>
  </si>
  <si>
    <t>10:24:22</t>
  </si>
  <si>
    <t>10:30:22</t>
  </si>
  <si>
    <t>10:32:07</t>
  </si>
  <si>
    <t>10:32:23</t>
  </si>
  <si>
    <t>10:34:08</t>
  </si>
  <si>
    <t>06:27</t>
  </si>
  <si>
    <t>10:40:35</t>
  </si>
  <si>
    <t>10:42:50</t>
  </si>
  <si>
    <t>10:43:05</t>
  </si>
  <si>
    <t>10:44:35</t>
  </si>
  <si>
    <t>10:51:50</t>
  </si>
  <si>
    <t>10:52:06</t>
  </si>
  <si>
    <t>10:54:37</t>
  </si>
  <si>
    <t>10:54:53</t>
  </si>
  <si>
    <t>04:53</t>
  </si>
  <si>
    <t>10:59:46</t>
  </si>
  <si>
    <t>10:30</t>
  </si>
  <si>
    <t>8:10:35</t>
  </si>
  <si>
    <t>8:12:05</t>
  </si>
  <si>
    <t>8:12:35</t>
  </si>
  <si>
    <t>8:13:05</t>
  </si>
  <si>
    <t>11:49</t>
  </si>
  <si>
    <t>8:24:54</t>
  </si>
  <si>
    <t>8:26:54</t>
  </si>
  <si>
    <t>8:27:24</t>
  </si>
  <si>
    <t>8:28:25</t>
  </si>
  <si>
    <t>8:36:13</t>
  </si>
  <si>
    <t>8:39:13</t>
  </si>
  <si>
    <t>8:39:23</t>
  </si>
  <si>
    <t>8:39:38</t>
  </si>
  <si>
    <t>05:47</t>
  </si>
  <si>
    <t>8:45:25</t>
  </si>
  <si>
    <t>8:46:55</t>
  </si>
  <si>
    <t>8:47:25</t>
  </si>
  <si>
    <t>8:48:55</t>
  </si>
  <si>
    <t>8:53:41</t>
  </si>
  <si>
    <t>8:57:11</t>
  </si>
  <si>
    <t>8:57:16</t>
  </si>
  <si>
    <t>8:57:31</t>
  </si>
  <si>
    <t>8:57:35</t>
  </si>
  <si>
    <t>08:19</t>
  </si>
  <si>
    <t>9:05:54</t>
  </si>
  <si>
    <t>9:09:10</t>
  </si>
  <si>
    <t>9:09:25</t>
  </si>
  <si>
    <t>08:05</t>
  </si>
  <si>
    <t>9:17:30</t>
  </si>
  <si>
    <t>9:19:45</t>
  </si>
  <si>
    <t>9:20:00</t>
  </si>
  <si>
    <t>9:21:01</t>
  </si>
  <si>
    <t>06:26</t>
  </si>
  <si>
    <t>9:27:27</t>
  </si>
  <si>
    <t>9:30:27</t>
  </si>
  <si>
    <t>9:30:57</t>
  </si>
  <si>
    <t>9:31:12</t>
  </si>
  <si>
    <t>06:43</t>
  </si>
  <si>
    <t>9:39:55</t>
  </si>
  <si>
    <t>9:40:10</t>
  </si>
  <si>
    <t>9:40:25</t>
  </si>
  <si>
    <t>9:41:56</t>
  </si>
  <si>
    <t>09:00</t>
  </si>
  <si>
    <t>9:50:56</t>
  </si>
  <si>
    <t>9:51:01</t>
  </si>
  <si>
    <t>9:54:01</t>
  </si>
  <si>
    <t>9:54:31</t>
  </si>
  <si>
    <t>9:54:37</t>
  </si>
  <si>
    <t>04:48</t>
  </si>
  <si>
    <t>9:59:25</t>
  </si>
  <si>
    <t>9:59:55</t>
  </si>
  <si>
    <t>10:54</t>
  </si>
  <si>
    <t>10:10:59</t>
  </si>
  <si>
    <t>10:13:59</t>
  </si>
  <si>
    <t>10:14:14</t>
  </si>
  <si>
    <t>10:14:29</t>
  </si>
  <si>
    <t>10:21:12</t>
  </si>
  <si>
    <t>10:24:12</t>
  </si>
  <si>
    <t>10:24:27</t>
  </si>
  <si>
    <t>10:24:42</t>
  </si>
  <si>
    <t>05:21</t>
  </si>
  <si>
    <t>10:30:03</t>
  </si>
  <si>
    <t>10:31:33</t>
  </si>
  <si>
    <t>10:31:43</t>
  </si>
  <si>
    <t>10:33:30</t>
  </si>
  <si>
    <t>06:33</t>
  </si>
  <si>
    <t>10:40:03</t>
  </si>
  <si>
    <t>10:41:48</t>
  </si>
  <si>
    <t>10:43:50</t>
  </si>
  <si>
    <t>10:49:11</t>
  </si>
  <si>
    <t>10:49:27</t>
  </si>
  <si>
    <t>10:52:13</t>
  </si>
  <si>
    <t>07:09</t>
  </si>
  <si>
    <t>10:59:22</t>
  </si>
  <si>
    <t>00:24</t>
  </si>
  <si>
    <t>08:46</t>
  </si>
  <si>
    <t>8:08:52</t>
  </si>
  <si>
    <t>8:11:38</t>
  </si>
  <si>
    <t>8:12:08</t>
  </si>
  <si>
    <t>08:09</t>
  </si>
  <si>
    <t>8:20:17</t>
  </si>
  <si>
    <t>8:22:33</t>
  </si>
  <si>
    <t>8:23:03</t>
  </si>
  <si>
    <t>8:24:03</t>
  </si>
  <si>
    <t>08:16</t>
  </si>
  <si>
    <t>8:32:19</t>
  </si>
  <si>
    <t>8:35:19</t>
  </si>
  <si>
    <t>8:35:34</t>
  </si>
  <si>
    <t>8:36:04</t>
  </si>
  <si>
    <t>04:12</t>
  </si>
  <si>
    <t>8:40:16</t>
  </si>
  <si>
    <t>8:42:46</t>
  </si>
  <si>
    <t>8:43:01</t>
  </si>
  <si>
    <t>8:43:16</t>
  </si>
  <si>
    <t>8:44:16</t>
  </si>
  <si>
    <t>07:51</t>
  </si>
  <si>
    <t>8:52:07</t>
  </si>
  <si>
    <t>8:55:07</t>
  </si>
  <si>
    <t>8:55:37</t>
  </si>
  <si>
    <t>8:55:52</t>
  </si>
  <si>
    <t>8:55:57</t>
  </si>
  <si>
    <t>04:28</t>
  </si>
  <si>
    <t>9:00:25</t>
  </si>
  <si>
    <t>9:00:40</t>
  </si>
  <si>
    <t>9:00:55</t>
  </si>
  <si>
    <t>9:01:01</t>
  </si>
  <si>
    <t>9:01:06</t>
  </si>
  <si>
    <t>9:10:10</t>
  </si>
  <si>
    <t>9:13:41</t>
  </si>
  <si>
    <t>9:14:11</t>
  </si>
  <si>
    <t>9:14:41</t>
  </si>
  <si>
    <t>9:23:33</t>
  </si>
  <si>
    <t>03:16</t>
  </si>
  <si>
    <t>9:26:49</t>
  </si>
  <si>
    <t>9:28:04</t>
  </si>
  <si>
    <t>9:36:23</t>
  </si>
  <si>
    <t>9:38:24</t>
  </si>
  <si>
    <t>9:38:54</t>
  </si>
  <si>
    <t>9:39:09</t>
  </si>
  <si>
    <t>9:40:39</t>
  </si>
  <si>
    <t>07:29</t>
  </si>
  <si>
    <t>9:48:08</t>
  </si>
  <si>
    <t>9:51:38</t>
  </si>
  <si>
    <t>9:52:09</t>
  </si>
  <si>
    <t>9:52:39</t>
  </si>
  <si>
    <t>9:52:43</t>
  </si>
  <si>
    <t>10:18</t>
  </si>
  <si>
    <t>10:10:24</t>
  </si>
  <si>
    <t>10:13:26</t>
  </si>
  <si>
    <t>10:13:56</t>
  </si>
  <si>
    <t>08:02</t>
  </si>
  <si>
    <t>10:21:58</t>
  </si>
  <si>
    <t>10:24:59</t>
  </si>
  <si>
    <t>10:25:44</t>
  </si>
  <si>
    <t>10:31:46</t>
  </si>
  <si>
    <t>10:33:48</t>
  </si>
  <si>
    <t>10:34:03</t>
  </si>
  <si>
    <t>10:34:18</t>
  </si>
  <si>
    <t>10:36:03</t>
  </si>
  <si>
    <t>10:43:31</t>
  </si>
  <si>
    <t>10:45:02</t>
  </si>
  <si>
    <t>10:45:18</t>
  </si>
  <si>
    <t>10:45:32</t>
  </si>
  <si>
    <t>10:46:03</t>
  </si>
  <si>
    <t>10:47:33</t>
  </si>
  <si>
    <t>04:36</t>
  </si>
  <si>
    <t>10:52:09</t>
  </si>
  <si>
    <t>10:52:24</t>
  </si>
  <si>
    <t>10:55:57</t>
  </si>
  <si>
    <t>03:43</t>
  </si>
  <si>
    <t>10:59:47</t>
  </si>
  <si>
    <t>00:13</t>
  </si>
  <si>
    <t>10:47</t>
  </si>
  <si>
    <t>8:10:52</t>
  </si>
  <si>
    <t>8:13:22</t>
  </si>
  <si>
    <t>8:13:52</t>
  </si>
  <si>
    <t>8:14:07</t>
  </si>
  <si>
    <t>06:40</t>
  </si>
  <si>
    <t>8:20:47</t>
  </si>
  <si>
    <t>8:22:47</t>
  </si>
  <si>
    <t>8:23:02</t>
  </si>
  <si>
    <t>8:23:32</t>
  </si>
  <si>
    <t>8:24:32</t>
  </si>
  <si>
    <t>8:29:53</t>
  </si>
  <si>
    <t>8:32:23</t>
  </si>
  <si>
    <t>8:32:53</t>
  </si>
  <si>
    <t>8:33:23</t>
  </si>
  <si>
    <t>06:29</t>
  </si>
  <si>
    <t>8:39:52</t>
  </si>
  <si>
    <t>8:41:52</t>
  </si>
  <si>
    <t>8:42:07</t>
  </si>
  <si>
    <t>8:43:38</t>
  </si>
  <si>
    <t>8:48:57</t>
  </si>
  <si>
    <t>8:51:57</t>
  </si>
  <si>
    <t>8:52:12</t>
  </si>
  <si>
    <t>8:52:27</t>
  </si>
  <si>
    <t>8:52:32</t>
  </si>
  <si>
    <t>8:59:31</t>
  </si>
  <si>
    <t>09:33</t>
  </si>
  <si>
    <t>9:09:39</t>
  </si>
  <si>
    <t>9:12:11</t>
  </si>
  <si>
    <t>9:12:26</t>
  </si>
  <si>
    <t>9:12:56</t>
  </si>
  <si>
    <t>9:13:26</t>
  </si>
  <si>
    <t>9:20:58</t>
  </si>
  <si>
    <t>9:23:00</t>
  </si>
  <si>
    <t>9:23:30</t>
  </si>
  <si>
    <t>9:24:00</t>
  </si>
  <si>
    <t>9:25:01</t>
  </si>
  <si>
    <t>08:20</t>
  </si>
  <si>
    <t>9:33:21</t>
  </si>
  <si>
    <t>03:32</t>
  </si>
  <si>
    <t>9:36:53</t>
  </si>
  <si>
    <t>9:37:23</t>
  </si>
  <si>
    <t>9:37:53</t>
  </si>
  <si>
    <t>07:39</t>
  </si>
  <si>
    <t>9:45:32</t>
  </si>
  <si>
    <t>9:47:04</t>
  </si>
  <si>
    <t>9:47:34</t>
  </si>
  <si>
    <t>9:47:49</t>
  </si>
  <si>
    <t>9:48:19</t>
  </si>
  <si>
    <t>9:49:50</t>
  </si>
  <si>
    <t>09:37</t>
  </si>
  <si>
    <t>10:02:29</t>
  </si>
  <si>
    <t>10:02:44</t>
  </si>
  <si>
    <t>10:03:14</t>
  </si>
  <si>
    <t>10:03:24</t>
  </si>
  <si>
    <t>10:03:29</t>
  </si>
  <si>
    <t>07:58</t>
  </si>
  <si>
    <t>10:03:30</t>
  </si>
  <si>
    <t>10:11:28</t>
  </si>
  <si>
    <t>10:14:00</t>
  </si>
  <si>
    <t>10:14:30</t>
  </si>
  <si>
    <t>10:15:00</t>
  </si>
  <si>
    <t>10:15:30</t>
  </si>
  <si>
    <t>08:39</t>
  </si>
  <si>
    <t>10:24:09</t>
  </si>
  <si>
    <t>10:25:41</t>
  </si>
  <si>
    <t>10:26:11</t>
  </si>
  <si>
    <t>10:26:41</t>
  </si>
  <si>
    <t>10:28:28</t>
  </si>
  <si>
    <t>07:38</t>
  </si>
  <si>
    <t>10:36:06</t>
  </si>
  <si>
    <t>10:37:37</t>
  </si>
  <si>
    <t>10:37:52</t>
  </si>
  <si>
    <t>10:38:07</t>
  </si>
  <si>
    <t>10:38:22</t>
  </si>
  <si>
    <t>10:38:37</t>
  </si>
  <si>
    <t>10:38:36</t>
  </si>
  <si>
    <t>10:40:08</t>
  </si>
  <si>
    <t>07:14</t>
  </si>
  <si>
    <t>10:47:22</t>
  </si>
  <si>
    <t>00:18</t>
  </si>
  <si>
    <t>10:47:40</t>
  </si>
  <si>
    <t>10:50:41</t>
  </si>
  <si>
    <t>10:51:11</t>
  </si>
  <si>
    <t>10:51:41</t>
  </si>
  <si>
    <t>10:52:11</t>
  </si>
  <si>
    <t>10:59:16</t>
  </si>
  <si>
    <t>7:00:04</t>
  </si>
  <si>
    <t>10:03</t>
  </si>
  <si>
    <t>7:11:37</t>
  </si>
  <si>
    <t>7:18:32</t>
  </si>
  <si>
    <t>7:20:02</t>
  </si>
  <si>
    <t>7:20:17</t>
  </si>
  <si>
    <t>7:21:47</t>
  </si>
  <si>
    <t>7:29:35</t>
  </si>
  <si>
    <t>7:32:35</t>
  </si>
  <si>
    <t>7:32:50</t>
  </si>
  <si>
    <t>7:33:05</t>
  </si>
  <si>
    <t>07:22</t>
  </si>
  <si>
    <t>7:40:27</t>
  </si>
  <si>
    <t>02:29</t>
  </si>
  <si>
    <t>7:42:56</t>
  </si>
  <si>
    <t>7:43:26</t>
  </si>
  <si>
    <t>01:33</t>
  </si>
  <si>
    <t>7:44:59</t>
  </si>
  <si>
    <t>06:06</t>
  </si>
  <si>
    <t>7:51:05</t>
  </si>
  <si>
    <t>7:54:06</t>
  </si>
  <si>
    <t>7:54:36</t>
  </si>
  <si>
    <t>7:55:06</t>
  </si>
  <si>
    <t>7:55:10</t>
  </si>
  <si>
    <t>04:50</t>
  </si>
  <si>
    <t>8:00:04</t>
  </si>
  <si>
    <t>8:09:37</t>
  </si>
  <si>
    <t>8:12:37</t>
  </si>
  <si>
    <t>8:12:52</t>
  </si>
  <si>
    <t>8:13:07</t>
  </si>
  <si>
    <t>10:07</t>
  </si>
  <si>
    <t>8:23:14</t>
  </si>
  <si>
    <t>8:25:44</t>
  </si>
  <si>
    <t>8:25:59</t>
  </si>
  <si>
    <t>8:27:00</t>
  </si>
  <si>
    <t>04:57</t>
  </si>
  <si>
    <t>8:31:57</t>
  </si>
  <si>
    <t>8:34:28</t>
  </si>
  <si>
    <t>8:34:42</t>
  </si>
  <si>
    <t>8:34:58</t>
  </si>
  <si>
    <t>8:41:15</t>
  </si>
  <si>
    <t>8:43:00</t>
  </si>
  <si>
    <t>8:43:30</t>
  </si>
  <si>
    <t>8:45:01</t>
  </si>
  <si>
    <t>8:52:04</t>
  </si>
  <si>
    <t>8:55:34</t>
  </si>
  <si>
    <t>8:55:49</t>
  </si>
  <si>
    <t>8:56:04</t>
  </si>
  <si>
    <t>8:56:09</t>
  </si>
  <si>
    <t>9:00:04</t>
  </si>
  <si>
    <t>12:06</t>
  </si>
  <si>
    <t>9:12:10</t>
  </si>
  <si>
    <t>9:14:55</t>
  </si>
  <si>
    <t>9:15:10</t>
  </si>
  <si>
    <t>9:15:25</t>
  </si>
  <si>
    <t>04:31</t>
  </si>
  <si>
    <t>9:21:56</t>
  </si>
  <si>
    <t>9:23:41</t>
  </si>
  <si>
    <t>9:31:36</t>
  </si>
  <si>
    <t>9:34:36</t>
  </si>
  <si>
    <t>9:35:06</t>
  </si>
  <si>
    <t>9:42:07</t>
  </si>
  <si>
    <t>9:42:22</t>
  </si>
  <si>
    <t>9:43:23</t>
  </si>
  <si>
    <t>9:50:55</t>
  </si>
  <si>
    <t>9:53:55</t>
  </si>
  <si>
    <t>9:54:10</t>
  </si>
  <si>
    <t>9:54:44</t>
  </si>
  <si>
    <t>04:43</t>
  </si>
  <si>
    <t>9:59:59</t>
  </si>
  <si>
    <t>10:00:04</t>
  </si>
  <si>
    <t>08:47</t>
  </si>
  <si>
    <t>10:08:51</t>
  </si>
  <si>
    <t>10:10:51</t>
  </si>
  <si>
    <t>10:11:06</t>
  </si>
  <si>
    <t>10:11:21</t>
  </si>
  <si>
    <t>02:51</t>
  </si>
  <si>
    <t>10:14:12</t>
  </si>
  <si>
    <t>10:14:17</t>
  </si>
  <si>
    <t>10:16:17</t>
  </si>
  <si>
    <t>10:16:47</t>
  </si>
  <si>
    <t>10:17:02</t>
  </si>
  <si>
    <t>10:24:19</t>
  </si>
  <si>
    <t>10:25:34</t>
  </si>
  <si>
    <t>10:26:05</t>
  </si>
  <si>
    <t>10:27:51</t>
  </si>
  <si>
    <t>11:17</t>
  </si>
  <si>
    <t>10:39:08</t>
  </si>
  <si>
    <t>10:42:08</t>
  </si>
  <si>
    <t>10:42:23</t>
  </si>
  <si>
    <t>02:35</t>
  </si>
  <si>
    <t>10:44:58</t>
  </si>
  <si>
    <t>10:45:58</t>
  </si>
  <si>
    <t>10:46:13</t>
  </si>
  <si>
    <t>10:47:43</t>
  </si>
  <si>
    <t>06:20</t>
  </si>
  <si>
    <t>10:54:03</t>
  </si>
  <si>
    <t>10:54:20</t>
  </si>
  <si>
    <t>10:56:19</t>
  </si>
  <si>
    <t>10:56:34</t>
  </si>
  <si>
    <t>03:11</t>
  </si>
  <si>
    <t>09:45</t>
  </si>
  <si>
    <t>8:09:50</t>
  </si>
  <si>
    <t>8:12:50</t>
  </si>
  <si>
    <t>8:13:21</t>
  </si>
  <si>
    <t>06:42</t>
  </si>
  <si>
    <t>8:20:03</t>
  </si>
  <si>
    <t>8:22:03</t>
  </si>
  <si>
    <t>8:22:18</t>
  </si>
  <si>
    <t>8:23:35</t>
  </si>
  <si>
    <t>06:50</t>
  </si>
  <si>
    <t>8:30:25</t>
  </si>
  <si>
    <t>8:33:56</t>
  </si>
  <si>
    <t>8:34:11</t>
  </si>
  <si>
    <t>8:34:26</t>
  </si>
  <si>
    <t>08:59</t>
  </si>
  <si>
    <t>8:43:25</t>
  </si>
  <si>
    <t>8:45:55</t>
  </si>
  <si>
    <t>8:47:27</t>
  </si>
  <si>
    <t>8:56:30</t>
  </si>
  <si>
    <t>8:59:30</t>
  </si>
  <si>
    <t>09:11</t>
  </si>
  <si>
    <t>9:09:16</t>
  </si>
  <si>
    <t>9:12:46</t>
  </si>
  <si>
    <t>9:13:01</t>
  </si>
  <si>
    <t>9:13:31</t>
  </si>
  <si>
    <t>9:21:26</t>
  </si>
  <si>
    <t>9:24:27</t>
  </si>
  <si>
    <t>9:24:57</t>
  </si>
  <si>
    <t>9:25:59</t>
  </si>
  <si>
    <t>9:36:01</t>
  </si>
  <si>
    <t>9:38:31</t>
  </si>
  <si>
    <t>9:38:46</t>
  </si>
  <si>
    <t>9:39:16</t>
  </si>
  <si>
    <t>9:40:47</t>
  </si>
  <si>
    <t>10:37</t>
  </si>
  <si>
    <t>9:51:24</t>
  </si>
  <si>
    <t>9:54:54</t>
  </si>
  <si>
    <t>9:55:09</t>
  </si>
  <si>
    <t>9:55:39</t>
  </si>
  <si>
    <t>9:56:09</t>
  </si>
  <si>
    <t>9:56:14</t>
  </si>
  <si>
    <t>9:59:15</t>
  </si>
  <si>
    <t>10:01:01</t>
  </si>
  <si>
    <t>10:01:06</t>
  </si>
  <si>
    <t>10:11:48</t>
  </si>
  <si>
    <t>10:14:34</t>
  </si>
  <si>
    <t>10:15:04</t>
  </si>
  <si>
    <t>07:02</t>
  </si>
  <si>
    <t>10:22:06</t>
  </si>
  <si>
    <t>10:22:11</t>
  </si>
  <si>
    <t>10:25:11</t>
  </si>
  <si>
    <t>10:30:12</t>
  </si>
  <si>
    <t>10:31:12</t>
  </si>
  <si>
    <t>10:31:42</t>
  </si>
  <si>
    <t>10:33:59</t>
  </si>
  <si>
    <t>08:38</t>
  </si>
  <si>
    <t>10:42:37</t>
  </si>
  <si>
    <t>10:45:07</t>
  </si>
  <si>
    <t>10:45:22</t>
  </si>
  <si>
    <t>10:46:23</t>
  </si>
  <si>
    <t>06:05</t>
  </si>
  <si>
    <t>10:52:44</t>
  </si>
  <si>
    <t>10:54:46</t>
  </si>
  <si>
    <t>10:55:01</t>
  </si>
  <si>
    <t>04:45</t>
  </si>
  <si>
    <t>8:07:30</t>
  </si>
  <si>
    <t>8:09:30</t>
  </si>
  <si>
    <t>8:10:00</t>
  </si>
  <si>
    <t>8:10:30</t>
  </si>
  <si>
    <t>8:10:45</t>
  </si>
  <si>
    <t>07:27</t>
  </si>
  <si>
    <t>8:18:12</t>
  </si>
  <si>
    <t>8:20:12</t>
  </si>
  <si>
    <t>8:20:27</t>
  </si>
  <si>
    <t>8:20:42</t>
  </si>
  <si>
    <t>8:21:42</t>
  </si>
  <si>
    <t>07:20</t>
  </si>
  <si>
    <t>8:29:02</t>
  </si>
  <si>
    <t>8:31:48</t>
  </si>
  <si>
    <t>8:32:02</t>
  </si>
  <si>
    <t>8:32:32</t>
  </si>
  <si>
    <t>8:39:34</t>
  </si>
  <si>
    <t>8:40:34</t>
  </si>
  <si>
    <t>8:41:34</t>
  </si>
  <si>
    <t>8:43:04</t>
  </si>
  <si>
    <t>06:52</t>
  </si>
  <si>
    <t>8:49:56</t>
  </si>
  <si>
    <t>8:52:56</t>
  </si>
  <si>
    <t>8:53:26</t>
  </si>
  <si>
    <t>07:59</t>
  </si>
  <si>
    <t>9:01:40</t>
  </si>
  <si>
    <t>9:04:41</t>
  </si>
  <si>
    <t>9:04:55</t>
  </si>
  <si>
    <t>9:05:25</t>
  </si>
  <si>
    <t>9:05:30</t>
  </si>
  <si>
    <t>06:28</t>
  </si>
  <si>
    <t>9:14:28</t>
  </si>
  <si>
    <t>9:14:58</t>
  </si>
  <si>
    <t>9:15:58</t>
  </si>
  <si>
    <t>08:44</t>
  </si>
  <si>
    <t>9:24:42</t>
  </si>
  <si>
    <t>02:59</t>
  </si>
  <si>
    <t>9:27:41</t>
  </si>
  <si>
    <t>00:45</t>
  </si>
  <si>
    <t>9:28:26</t>
  </si>
  <si>
    <t>05:16</t>
  </si>
  <si>
    <t>9:33:42</t>
  </si>
  <si>
    <t>9:36:12</t>
  </si>
  <si>
    <t>9:36:27</t>
  </si>
  <si>
    <t>9:37:28</t>
  </si>
  <si>
    <t>09:26</t>
  </si>
  <si>
    <t>9:46:54</t>
  </si>
  <si>
    <t>9:49:55</t>
  </si>
  <si>
    <t>9:50:25</t>
  </si>
  <si>
    <t>9:50:59</t>
  </si>
  <si>
    <t>10:00</t>
  </si>
  <si>
    <t>10:00:59</t>
  </si>
  <si>
    <t>10:01:04</t>
  </si>
  <si>
    <t>10:08:06</t>
  </si>
  <si>
    <t>10:10:36</t>
  </si>
  <si>
    <t>10:16:37</t>
  </si>
  <si>
    <t>10:18:39</t>
  </si>
  <si>
    <t>10:18:54</t>
  </si>
  <si>
    <t>10:26:23</t>
  </si>
  <si>
    <t>10:27:10</t>
  </si>
  <si>
    <t>10:27:25</t>
  </si>
  <si>
    <t>10:29:10</t>
  </si>
  <si>
    <t>00:48</t>
  </si>
  <si>
    <t>10:29:58</t>
  </si>
  <si>
    <t>10:30:04</t>
  </si>
  <si>
    <t>05:43</t>
  </si>
  <si>
    <t>10:35:47</t>
  </si>
  <si>
    <t>10:38:17</t>
  </si>
  <si>
    <t>10:38:49</t>
  </si>
  <si>
    <t>06:19</t>
  </si>
  <si>
    <t>10:45:08</t>
  </si>
  <si>
    <t>10:46:54</t>
  </si>
  <si>
    <t>10:56:44</t>
  </si>
  <si>
    <t>10:57:01</t>
  </si>
  <si>
    <t>10:58:33</t>
  </si>
  <si>
    <t>10:59:02</t>
  </si>
  <si>
    <t>10:59:44</t>
  </si>
  <si>
    <t>10:31</t>
  </si>
  <si>
    <t>8:10:36</t>
  </si>
  <si>
    <t>8:12:36</t>
  </si>
  <si>
    <t>8:12:51</t>
  </si>
  <si>
    <t>05:53</t>
  </si>
  <si>
    <t>8:19:14</t>
  </si>
  <si>
    <t>01:44</t>
  </si>
  <si>
    <t>8:21:29</t>
  </si>
  <si>
    <t>8:22:30</t>
  </si>
  <si>
    <t>04:06</t>
  </si>
  <si>
    <t>8:26:36</t>
  </si>
  <si>
    <t>8:29:06</t>
  </si>
  <si>
    <t>8:29:21</t>
  </si>
  <si>
    <t>8:38:21</t>
  </si>
  <si>
    <t>8:40:51</t>
  </si>
  <si>
    <t>8:41:21</t>
  </si>
  <si>
    <t>04:54</t>
  </si>
  <si>
    <t>8:46:15</t>
  </si>
  <si>
    <t>8:46:21</t>
  </si>
  <si>
    <t>8:48:20</t>
  </si>
  <si>
    <t>8:48:26</t>
  </si>
  <si>
    <t>8:49:27</t>
  </si>
  <si>
    <t>8:54:27</t>
  </si>
  <si>
    <t>8:54:57</t>
  </si>
  <si>
    <t>8:55:02</t>
  </si>
  <si>
    <t>04:58</t>
  </si>
  <si>
    <t>06:54</t>
  </si>
  <si>
    <t>9:06:59</t>
  </si>
  <si>
    <t>9:09:30</t>
  </si>
  <si>
    <t>9:10:00</t>
  </si>
  <si>
    <t>9:10:15</t>
  </si>
  <si>
    <t>9:18:19</t>
  </si>
  <si>
    <t>9:21:50</t>
  </si>
  <si>
    <t>05:26</t>
  </si>
  <si>
    <t>9:27:16</t>
  </si>
  <si>
    <t>02:47</t>
  </si>
  <si>
    <t>9:30:03</t>
  </si>
  <si>
    <t>9:30:18</t>
  </si>
  <si>
    <t>00:43</t>
  </si>
  <si>
    <t>9:31:01</t>
  </si>
  <si>
    <t>06:32</t>
  </si>
  <si>
    <t>9:37:37</t>
  </si>
  <si>
    <t>9:39:53</t>
  </si>
  <si>
    <t>9:40:08</t>
  </si>
  <si>
    <t>9:47:56</t>
  </si>
  <si>
    <t>9:49:12</t>
  </si>
  <si>
    <t>9:49:17</t>
  </si>
  <si>
    <t>06:08</t>
  </si>
  <si>
    <t>9:56:56</t>
  </si>
  <si>
    <t>9:57:03</t>
  </si>
  <si>
    <t>9:59:03</t>
  </si>
  <si>
    <t>9:59:18</t>
  </si>
  <si>
    <t>9:59:22</t>
  </si>
  <si>
    <t>00:38</t>
  </si>
  <si>
    <t>08:25</t>
  </si>
  <si>
    <t>10:08:30</t>
  </si>
  <si>
    <t>10:11:15</t>
  </si>
  <si>
    <t>10:11:30</t>
  </si>
  <si>
    <t>10:12:00</t>
  </si>
  <si>
    <t>10:20:39</t>
  </si>
  <si>
    <t>10:20:44</t>
  </si>
  <si>
    <t>10:23:44</t>
  </si>
  <si>
    <t>10:24:14</t>
  </si>
  <si>
    <t>07:35</t>
  </si>
  <si>
    <t>10:31:49</t>
  </si>
  <si>
    <t>10:33:35</t>
  </si>
  <si>
    <t>10:33:50</t>
  </si>
  <si>
    <t>10:35:35</t>
  </si>
  <si>
    <t>10:42:27</t>
  </si>
  <si>
    <t>10:44:27</t>
  </si>
  <si>
    <t>10:44:41</t>
  </si>
  <si>
    <t>10:44:57</t>
  </si>
  <si>
    <t>10:46:27</t>
  </si>
  <si>
    <t>06:14</t>
  </si>
  <si>
    <t>10:52:41</t>
  </si>
  <si>
    <t>10:52:56</t>
  </si>
  <si>
    <t>10:55:28</t>
  </si>
  <si>
    <t>10:55:43</t>
  </si>
  <si>
    <t>04:03</t>
  </si>
  <si>
    <t>8:07:31</t>
  </si>
  <si>
    <t>8:10:46</t>
  </si>
  <si>
    <t>8:18:14</t>
  </si>
  <si>
    <t>8:20:13</t>
  </si>
  <si>
    <t>8:20:43</t>
  </si>
  <si>
    <t>8:29:19</t>
  </si>
  <si>
    <t>8:32:20</t>
  </si>
  <si>
    <t>8:32:50</t>
  </si>
  <si>
    <t>8:39:51</t>
  </si>
  <si>
    <t>8:41:51</t>
  </si>
  <si>
    <t>8:43:52</t>
  </si>
  <si>
    <t>8:50:44</t>
  </si>
  <si>
    <t>8:53:44</t>
  </si>
  <si>
    <t>8:54:15</t>
  </si>
  <si>
    <t>9:02:14</t>
  </si>
  <si>
    <t>9:05:14</t>
  </si>
  <si>
    <t>9:05:44</t>
  </si>
  <si>
    <t>9:05:48</t>
  </si>
  <si>
    <t>9:12:16</t>
  </si>
  <si>
    <t>9:14:47</t>
  </si>
  <si>
    <t>9:15:02</t>
  </si>
  <si>
    <t>9:16:02</t>
  </si>
  <si>
    <t>9:24:46</t>
  </si>
  <si>
    <t>9:27:46</t>
  </si>
  <si>
    <t>9:28:16</t>
  </si>
  <si>
    <t>9:33:32</t>
  </si>
  <si>
    <t>9:35:32</t>
  </si>
  <si>
    <t>9:36:02</t>
  </si>
  <si>
    <t>9:37:33</t>
  </si>
  <si>
    <t>09:21</t>
  </si>
  <si>
    <t>10:01</t>
  </si>
  <si>
    <t>12:23</t>
  </si>
  <si>
    <t>10:13:23</t>
  </si>
  <si>
    <t>10:16:23</t>
  </si>
  <si>
    <t>10:16:54</t>
  </si>
  <si>
    <t>10:29:03</t>
  </si>
  <si>
    <t>10:29:33</t>
  </si>
  <si>
    <t>10:35:39</t>
  </si>
  <si>
    <t>10:36:39</t>
  </si>
  <si>
    <t>10:37:09</t>
  </si>
  <si>
    <t>10:39:25</t>
  </si>
  <si>
    <t>03:36</t>
  </si>
  <si>
    <t>10:43:01</t>
  </si>
  <si>
    <t>10:45:01</t>
  </si>
  <si>
    <t>10:45:06</t>
  </si>
  <si>
    <t>10:46:07</t>
  </si>
  <si>
    <t>04:11</t>
  </si>
  <si>
    <t>10:50:18</t>
  </si>
  <si>
    <t>10:50:36</t>
  </si>
  <si>
    <t>10:52:36</t>
  </si>
  <si>
    <t>10:52:51</t>
  </si>
  <si>
    <t>08:15</t>
  </si>
  <si>
    <t>8:08:20</t>
  </si>
  <si>
    <t>8:10:20</t>
  </si>
  <si>
    <t>8:10:50</t>
  </si>
  <si>
    <t>8:15:40</t>
  </si>
  <si>
    <t>8:17:10</t>
  </si>
  <si>
    <t>8:17:40</t>
  </si>
  <si>
    <t>8:18:41</t>
  </si>
  <si>
    <t>8:24:49</t>
  </si>
  <si>
    <t>8:27:35</t>
  </si>
  <si>
    <t>8:27:50</t>
  </si>
  <si>
    <t>8:28:05</t>
  </si>
  <si>
    <t>01:55</t>
  </si>
  <si>
    <t>8:37:29</t>
  </si>
  <si>
    <t>8:39:29</t>
  </si>
  <si>
    <t>8:40:00</t>
  </si>
  <si>
    <t>8:47:00</t>
  </si>
  <si>
    <t>8:47:05</t>
  </si>
  <si>
    <t>8:48:35</t>
  </si>
  <si>
    <t>8:48:40</t>
  </si>
  <si>
    <t>8:50:25</t>
  </si>
  <si>
    <t>05:27</t>
  </si>
  <si>
    <t>8:58:21</t>
  </si>
  <si>
    <t>8:58:37</t>
  </si>
  <si>
    <t>8:58:41</t>
  </si>
  <si>
    <t>01:19</t>
  </si>
  <si>
    <t>9:09:31</t>
  </si>
  <si>
    <t>9:11:31</t>
  </si>
  <si>
    <t>9:11:46</t>
  </si>
  <si>
    <t>9:17:41</t>
  </si>
  <si>
    <t>9:18:41</t>
  </si>
  <si>
    <t>9:19:11</t>
  </si>
  <si>
    <t>01:03</t>
  </si>
  <si>
    <t>9:20:44</t>
  </si>
  <si>
    <t>05:31</t>
  </si>
  <si>
    <t>9:26:15</t>
  </si>
  <si>
    <t>9:28:45</t>
  </si>
  <si>
    <t>9:29:00</t>
  </si>
  <si>
    <t>9:29:15</t>
  </si>
  <si>
    <t>10:41</t>
  </si>
  <si>
    <t>9:40:46</t>
  </si>
  <si>
    <t>9:42:46</t>
  </si>
  <si>
    <t>9:43:16</t>
  </si>
  <si>
    <t>9:43:47</t>
  </si>
  <si>
    <t>05:28</t>
  </si>
  <si>
    <t>9:49:20</t>
  </si>
  <si>
    <t>9:50:35</t>
  </si>
  <si>
    <t>9:50:50</t>
  </si>
  <si>
    <t>9:51:20</t>
  </si>
  <si>
    <t>9:52:20</t>
  </si>
  <si>
    <t>04:22</t>
  </si>
  <si>
    <t>9:56:42</t>
  </si>
  <si>
    <t>9:58:43</t>
  </si>
  <si>
    <t>9:58:48</t>
  </si>
  <si>
    <t>9:59:23</t>
  </si>
  <si>
    <t>00:36</t>
  </si>
  <si>
    <t>10:07:36</t>
  </si>
  <si>
    <t>10:09:52</t>
  </si>
  <si>
    <t>10:10:07</t>
  </si>
  <si>
    <t>10:10:37</t>
  </si>
  <si>
    <t>07:12</t>
  </si>
  <si>
    <t>10:17:49</t>
  </si>
  <si>
    <t>10:20:19</t>
  </si>
  <si>
    <t>10:20:49</t>
  </si>
  <si>
    <t>04:37</t>
  </si>
  <si>
    <t>10:25:26</t>
  </si>
  <si>
    <t>10:26:27</t>
  </si>
  <si>
    <t>10:26:57</t>
  </si>
  <si>
    <t>10:28:42</t>
  </si>
  <si>
    <t>01:18</t>
  </si>
  <si>
    <t>06:30</t>
  </si>
  <si>
    <t>10:39:05</t>
  </si>
  <si>
    <t>10:39:35</t>
  </si>
  <si>
    <t>09:06</t>
  </si>
  <si>
    <t>10:48:41</t>
  </si>
  <si>
    <t>10:50:12</t>
  </si>
  <si>
    <t>10:50:27</t>
  </si>
  <si>
    <t>04:56</t>
  </si>
  <si>
    <t>10:56:54</t>
  </si>
  <si>
    <t>10:57:10</t>
  </si>
  <si>
    <t>10:58:40</t>
  </si>
  <si>
    <t>10:59:10</t>
  </si>
  <si>
    <t>00:35</t>
  </si>
  <si>
    <t>09:59</t>
  </si>
  <si>
    <t>8:10:04</t>
  </si>
  <si>
    <t>02:14</t>
  </si>
  <si>
    <t>8:12:18</t>
  </si>
  <si>
    <t>8:12:49</t>
  </si>
  <si>
    <t>06:31</t>
  </si>
  <si>
    <t>8:19:20</t>
  </si>
  <si>
    <t>8:20:50</t>
  </si>
  <si>
    <t>8:21:20</t>
  </si>
  <si>
    <t>8:22:20</t>
  </si>
  <si>
    <t>04:02</t>
  </si>
  <si>
    <t>8:26:22</t>
  </si>
  <si>
    <t>8:28:52</t>
  </si>
  <si>
    <t>8:29:22</t>
  </si>
  <si>
    <t>00:37</t>
  </si>
  <si>
    <t>8:29:59</t>
  </si>
  <si>
    <t>8:37:27</t>
  </si>
  <si>
    <t>8:39:28</t>
  </si>
  <si>
    <t>8:39:33</t>
  </si>
  <si>
    <t>8:39:48</t>
  </si>
  <si>
    <t>8:47:31</t>
  </si>
  <si>
    <t>8:49:31</t>
  </si>
  <si>
    <t>8:49:46</t>
  </si>
  <si>
    <t>8:50:47</t>
  </si>
  <si>
    <t>03:54</t>
  </si>
  <si>
    <t>8:54:41</t>
  </si>
  <si>
    <t>8:57:10</t>
  </si>
  <si>
    <t>8:57:26</t>
  </si>
  <si>
    <t>8:57:41</t>
  </si>
  <si>
    <t>8:57:46</t>
  </si>
  <si>
    <t>05:04</t>
  </si>
  <si>
    <t>9:05:09</t>
  </si>
  <si>
    <t>9:07:54</t>
  </si>
  <si>
    <t>9:08:25</t>
  </si>
  <si>
    <t>9:14:57</t>
  </si>
  <si>
    <t>9:16:57</t>
  </si>
  <si>
    <t>9:17:12</t>
  </si>
  <si>
    <t>9:17:27</t>
  </si>
  <si>
    <t>9:18:28</t>
  </si>
  <si>
    <t>08:56</t>
  </si>
  <si>
    <t>9:27:24</t>
  </si>
  <si>
    <t>9:29:55</t>
  </si>
  <si>
    <t>9:30:25</t>
  </si>
  <si>
    <t>9:37:19</t>
  </si>
  <si>
    <t>9:39:20</t>
  </si>
  <si>
    <t>9:39:35</t>
  </si>
  <si>
    <t>9:39:50</t>
  </si>
  <si>
    <t>9:48:29</t>
  </si>
  <si>
    <t>9:49:44</t>
  </si>
  <si>
    <t>9:49:49</t>
  </si>
  <si>
    <t>05:44</t>
  </si>
  <si>
    <t>9:57:04</t>
  </si>
  <si>
    <t>9:57:09</t>
  </si>
  <si>
    <t>9:59:09</t>
  </si>
  <si>
    <t>9:59:29</t>
  </si>
  <si>
    <t>10:09:26</t>
  </si>
  <si>
    <t>10:13:12</t>
  </si>
  <si>
    <t>10:20:36</t>
  </si>
  <si>
    <t>10:20:41</t>
  </si>
  <si>
    <t>10:23:42</t>
  </si>
  <si>
    <t>06:25</t>
  </si>
  <si>
    <t>10:30:37</t>
  </si>
  <si>
    <t>10:32:37</t>
  </si>
  <si>
    <t>10:34:23</t>
  </si>
  <si>
    <t>06:46</t>
  </si>
  <si>
    <t>10:41:09</t>
  </si>
  <si>
    <t>10:43:09</t>
  </si>
  <si>
    <t>10:43:24</t>
  </si>
  <si>
    <t>10:44:55</t>
  </si>
  <si>
    <t>06:47</t>
  </si>
  <si>
    <t>10:51:42</t>
  </si>
  <si>
    <t>10:54:30</t>
  </si>
  <si>
    <t>10:54:44</t>
  </si>
  <si>
    <t>05:02</t>
  </si>
  <si>
    <t>09:18</t>
  </si>
  <si>
    <t>8:09:24</t>
  </si>
  <si>
    <t>8:11:54</t>
  </si>
  <si>
    <t>8:12:09</t>
  </si>
  <si>
    <t>8:12:24</t>
  </si>
  <si>
    <t>09:36</t>
  </si>
  <si>
    <t>8:22:00</t>
  </si>
  <si>
    <t>8:24:00</t>
  </si>
  <si>
    <t>8:24:30</t>
  </si>
  <si>
    <t>8:25:30</t>
  </si>
  <si>
    <t>04:49</t>
  </si>
  <si>
    <t>8:30:19</t>
  </si>
  <si>
    <t>8:33:20</t>
  </si>
  <si>
    <t>8:33:35</t>
  </si>
  <si>
    <t>8:33:50</t>
  </si>
  <si>
    <t>04:01</t>
  </si>
  <si>
    <t>8:37:51</t>
  </si>
  <si>
    <t>8:40:07</t>
  </si>
  <si>
    <t>8:41:37</t>
  </si>
  <si>
    <t>08:33</t>
  </si>
  <si>
    <t>8:50:10</t>
  </si>
  <si>
    <t>8:50:15</t>
  </si>
  <si>
    <t>8:53:45</t>
  </si>
  <si>
    <t>8:54:19</t>
  </si>
  <si>
    <t>05:12</t>
  </si>
  <si>
    <t>10:28</t>
  </si>
  <si>
    <t>9:10:28</t>
  </si>
  <si>
    <t>9:12:58</t>
  </si>
  <si>
    <t>9:13:28</t>
  </si>
  <si>
    <t>9:13:43</t>
  </si>
  <si>
    <t>9:23:19</t>
  </si>
  <si>
    <t>9:25:49</t>
  </si>
  <si>
    <t>9:26:04</t>
  </si>
  <si>
    <t>9:27:06</t>
  </si>
  <si>
    <t>9:32:38</t>
  </si>
  <si>
    <t>9:35:38</t>
  </si>
  <si>
    <t>9:35:53</t>
  </si>
  <si>
    <t>9:42:05</t>
  </si>
  <si>
    <t>9:43:35</t>
  </si>
  <si>
    <t>9:44:05</t>
  </si>
  <si>
    <t>9:45:36</t>
  </si>
  <si>
    <t>05:14</t>
  </si>
  <si>
    <t>9:53:56</t>
  </si>
  <si>
    <t>9:54:26</t>
  </si>
  <si>
    <t>9:54:41</t>
  </si>
  <si>
    <t>9:54:45</t>
  </si>
  <si>
    <t>9:59:30</t>
  </si>
  <si>
    <t>10:10:56</t>
  </si>
  <si>
    <t>10:14:27</t>
  </si>
  <si>
    <t>10:21:32</t>
  </si>
  <si>
    <t>10:21:37</t>
  </si>
  <si>
    <t>10:25:07</t>
  </si>
  <si>
    <t>10:25:37</t>
  </si>
  <si>
    <t>04:59</t>
  </si>
  <si>
    <t>10:30:36</t>
  </si>
  <si>
    <t>10:32:06</t>
  </si>
  <si>
    <t>10:32:21</t>
  </si>
  <si>
    <t>07:42</t>
  </si>
  <si>
    <t>10:41:50</t>
  </si>
  <si>
    <t>10:44:05</t>
  </si>
  <si>
    <t>10:44:20</t>
  </si>
  <si>
    <t>10:45:51</t>
  </si>
  <si>
    <t>06:45</t>
  </si>
  <si>
    <t>10:52:52</t>
  </si>
  <si>
    <t>10:55:22</t>
  </si>
  <si>
    <t>10:55:37</t>
  </si>
  <si>
    <t>03:39</t>
  </si>
  <si>
    <t>07:49</t>
  </si>
  <si>
    <t>8:07:54</t>
  </si>
  <si>
    <t>8:09:54</t>
  </si>
  <si>
    <t>8:10:24</t>
  </si>
  <si>
    <t>8:10:54</t>
  </si>
  <si>
    <t>05:51</t>
  </si>
  <si>
    <t>8:16:45</t>
  </si>
  <si>
    <t>8:18:45</t>
  </si>
  <si>
    <t>8:19:15</t>
  </si>
  <si>
    <t>8:20:16</t>
  </si>
  <si>
    <t>08:08</t>
  </si>
  <si>
    <t>8:28:24</t>
  </si>
  <si>
    <t>8:31:25</t>
  </si>
  <si>
    <t>8:31:40</t>
  </si>
  <si>
    <t>8:32:10</t>
  </si>
  <si>
    <t>8:40:43</t>
  </si>
  <si>
    <t>8:43:43</t>
  </si>
  <si>
    <t>8:43:58</t>
  </si>
  <si>
    <t>8:45:00</t>
  </si>
  <si>
    <t>8:52:16</t>
  </si>
  <si>
    <t>8:55:32</t>
  </si>
  <si>
    <t>8:55:47</t>
  </si>
  <si>
    <t>8:56:17</t>
  </si>
  <si>
    <t>8:56:22</t>
  </si>
  <si>
    <t>08:42</t>
  </si>
  <si>
    <t>9:09:42</t>
  </si>
  <si>
    <t>9:13:12</t>
  </si>
  <si>
    <t>9:13:42</t>
  </si>
  <si>
    <t>9:14:12</t>
  </si>
  <si>
    <t>9:22:16</t>
  </si>
  <si>
    <t>9:25:31</t>
  </si>
  <si>
    <t>9:25:46</t>
  </si>
  <si>
    <t>9:25:51</t>
  </si>
  <si>
    <t>9:26:54</t>
  </si>
  <si>
    <t>08:32</t>
  </si>
  <si>
    <t>9:35:26</t>
  </si>
  <si>
    <t>9:37:27</t>
  </si>
  <si>
    <t>9:37:57</t>
  </si>
  <si>
    <t>9:38:11</t>
  </si>
  <si>
    <t>9:39:42</t>
  </si>
  <si>
    <t>9:47:02</t>
  </si>
  <si>
    <t>9:50:32</t>
  </si>
  <si>
    <t>9:50:47</t>
  </si>
  <si>
    <t>9:51:18</t>
  </si>
  <si>
    <t>9:51:33</t>
  </si>
  <si>
    <t>08:27</t>
  </si>
  <si>
    <t>07:44</t>
  </si>
  <si>
    <t>10:07:44</t>
  </si>
  <si>
    <t>10:10:45</t>
  </si>
  <si>
    <t>09:16</t>
  </si>
  <si>
    <t>10:20:31</t>
  </si>
  <si>
    <t>10:23:36</t>
  </si>
  <si>
    <t>10:24:06</t>
  </si>
  <si>
    <t>10:24:21</t>
  </si>
  <si>
    <t>10:30:01</t>
  </si>
  <si>
    <t>10:32:02</t>
  </si>
  <si>
    <t>10:32:17</t>
  </si>
  <si>
    <t>10:32:32</t>
  </si>
  <si>
    <t>10:34:17</t>
  </si>
  <si>
    <t>10:42:01</t>
  </si>
  <si>
    <t>10:43:32</t>
  </si>
  <si>
    <t>10:44:02</t>
  </si>
  <si>
    <t>10:44:32</t>
  </si>
  <si>
    <t>10:46:02</t>
  </si>
  <si>
    <t>10:53:17</t>
  </si>
  <si>
    <t>10:53:33</t>
  </si>
  <si>
    <t>02:37</t>
  </si>
  <si>
    <t>10:59:41</t>
  </si>
  <si>
    <t>11:02</t>
  </si>
  <si>
    <t>8:11:07</t>
  </si>
  <si>
    <t>8:13:39</t>
  </si>
  <si>
    <t>8:13:54</t>
  </si>
  <si>
    <t>8:14:24</t>
  </si>
  <si>
    <t>07:41</t>
  </si>
  <si>
    <t>8:22:05</t>
  </si>
  <si>
    <t>8:24:36</t>
  </si>
  <si>
    <t>8:25:06</t>
  </si>
  <si>
    <t>8:25:36</t>
  </si>
  <si>
    <t>8:26:38</t>
  </si>
  <si>
    <t>10:11</t>
  </si>
  <si>
    <t>8:36:49</t>
  </si>
  <si>
    <t>8:40:19</t>
  </si>
  <si>
    <t>PSA</t>
  </si>
  <si>
    <t>8:40:49</t>
  </si>
  <si>
    <t>8:41:19</t>
  </si>
  <si>
    <t>8:41:49</t>
  </si>
  <si>
    <t>8:47:50</t>
  </si>
  <si>
    <t>8:49:20</t>
  </si>
  <si>
    <t>8:49:50</t>
  </si>
  <si>
    <t>8:50:05</t>
  </si>
  <si>
    <t>8:50:35</t>
  </si>
  <si>
    <t>8:59:29</t>
  </si>
  <si>
    <t>9:02:30</t>
  </si>
  <si>
    <t>9:02:45</t>
  </si>
  <si>
    <t>9:03:00</t>
  </si>
  <si>
    <t>9:03:30</t>
  </si>
  <si>
    <t>9:03:35</t>
  </si>
  <si>
    <t>08:21</t>
  </si>
  <si>
    <t>9:11:56</t>
  </si>
  <si>
    <t>9:15:27</t>
  </si>
  <si>
    <t>9:15:57</t>
  </si>
  <si>
    <t>9:16:12</t>
  </si>
  <si>
    <t>9:24:18</t>
  </si>
  <si>
    <t>9:26:19</t>
  </si>
  <si>
    <t>9:27:19</t>
  </si>
  <si>
    <t>9:28:21</t>
  </si>
  <si>
    <t>05:22</t>
  </si>
  <si>
    <t>9:33:43</t>
  </si>
  <si>
    <t>9:34:44</t>
  </si>
  <si>
    <t>9:35:14</t>
  </si>
  <si>
    <t>9:35:44</t>
  </si>
  <si>
    <t>9:36:14</t>
  </si>
  <si>
    <t>9:37:45</t>
  </si>
  <si>
    <t>9:45:26</t>
  </si>
  <si>
    <t>9:48:26</t>
  </si>
  <si>
    <t>9:48:56</t>
  </si>
  <si>
    <t>9:49:26</t>
  </si>
  <si>
    <t>9:49:56</t>
  </si>
  <si>
    <t>9:50:01</t>
  </si>
  <si>
    <t>06:35</t>
  </si>
  <si>
    <t>10:06:40</t>
  </si>
  <si>
    <t>10:09:11</t>
  </si>
  <si>
    <t>10:09:56</t>
  </si>
  <si>
    <t>09:15</t>
  </si>
  <si>
    <t>10:19:11</t>
  </si>
  <si>
    <t>10:19:16</t>
  </si>
  <si>
    <t>10:22:47</t>
  </si>
  <si>
    <t>10:23:17</t>
  </si>
  <si>
    <t>10:28:16</t>
  </si>
  <si>
    <t>10:29:47</t>
  </si>
  <si>
    <t>10:30:17</t>
  </si>
  <si>
    <t>10:32:04</t>
  </si>
  <si>
    <t>05:35</t>
  </si>
  <si>
    <t>10:37:39</t>
  </si>
  <si>
    <t>10:39:10</t>
  </si>
  <si>
    <t>10:39:40</t>
  </si>
  <si>
    <t>10:48:55</t>
  </si>
  <si>
    <t>10:51:56</t>
  </si>
  <si>
    <t>07:19</t>
  </si>
  <si>
    <t>7:09:08</t>
  </si>
  <si>
    <t>7:10:39</t>
  </si>
  <si>
    <t>7:10:53</t>
  </si>
  <si>
    <t>7:11:09</t>
  </si>
  <si>
    <t>7:18:01</t>
  </si>
  <si>
    <t>7:19:31</t>
  </si>
  <si>
    <t>7:20:01</t>
  </si>
  <si>
    <t>7:21:32</t>
  </si>
  <si>
    <t>07:36</t>
  </si>
  <si>
    <t>7:29:08</t>
  </si>
  <si>
    <t>7:32:08</t>
  </si>
  <si>
    <t>7:32:38</t>
  </si>
  <si>
    <t>7:39:41</t>
  </si>
  <si>
    <t>7:42:12</t>
  </si>
  <si>
    <t>7:42:42</t>
  </si>
  <si>
    <t>7:44:13</t>
  </si>
  <si>
    <t>7:51:00</t>
  </si>
  <si>
    <t>7:55:00</t>
  </si>
  <si>
    <t>7:55:05</t>
  </si>
  <si>
    <t>04:55</t>
  </si>
  <si>
    <t>8:08:37</t>
  </si>
  <si>
    <t>06:48</t>
  </si>
  <si>
    <t>8:18:56</t>
  </si>
  <si>
    <t>8:21:27</t>
  </si>
  <si>
    <t>8:22:42</t>
  </si>
  <si>
    <t>8:28:09</t>
  </si>
  <si>
    <t>8:30:39</t>
  </si>
  <si>
    <t>8:30:54</t>
  </si>
  <si>
    <t>8:31:09</t>
  </si>
  <si>
    <t>10:10</t>
  </si>
  <si>
    <t>8:43:19</t>
  </si>
  <si>
    <t>8:43:34</t>
  </si>
  <si>
    <t>8:43:49</t>
  </si>
  <si>
    <t>8:45:19</t>
  </si>
  <si>
    <t>07:07</t>
  </si>
  <si>
    <t>8:52:26</t>
  </si>
  <si>
    <t>8:55:41</t>
  </si>
  <si>
    <t>8:56:11</t>
  </si>
  <si>
    <t>8:56:16</t>
  </si>
  <si>
    <t>03:44</t>
  </si>
  <si>
    <t>10:59</t>
  </si>
  <si>
    <t>9:11:04</t>
  </si>
  <si>
    <t>9:13:34</t>
  </si>
  <si>
    <t>9:13:49</t>
  </si>
  <si>
    <t>9:14:19</t>
  </si>
  <si>
    <t>9:18:56</t>
  </si>
  <si>
    <t>9:20:41</t>
  </si>
  <si>
    <t>9:21:12</t>
  </si>
  <si>
    <t>9:22:42</t>
  </si>
  <si>
    <t>08:55</t>
  </si>
  <si>
    <t>9:31:37</t>
  </si>
  <si>
    <t>9:34:37</t>
  </si>
  <si>
    <t>9:34:52</t>
  </si>
  <si>
    <t>9:35:22</t>
  </si>
  <si>
    <t>9:39:54</t>
  </si>
  <si>
    <t>9:42:23</t>
  </si>
  <si>
    <t>9:42:38</t>
  </si>
  <si>
    <t>9:43:40</t>
  </si>
  <si>
    <t>08:07</t>
  </si>
  <si>
    <t>9:51:47</t>
  </si>
  <si>
    <t>02:33</t>
  </si>
  <si>
    <t>9:54:50</t>
  </si>
  <si>
    <t>04:33</t>
  </si>
  <si>
    <t>10:12:05</t>
  </si>
  <si>
    <t>10:12:20</t>
  </si>
  <si>
    <t>10:14:55</t>
  </si>
  <si>
    <t>10:17:00</t>
  </si>
  <si>
    <t>10:17:15</t>
  </si>
  <si>
    <t>06:58</t>
  </si>
  <si>
    <t>10:24:13</t>
  </si>
  <si>
    <t>10:25:28</t>
  </si>
  <si>
    <t>10:25:43</t>
  </si>
  <si>
    <t>10:25:58</t>
  </si>
  <si>
    <t>10:27:44</t>
  </si>
  <si>
    <t>10:39</t>
  </si>
  <si>
    <t>10:38:23</t>
  </si>
  <si>
    <t>10:41:23</t>
  </si>
  <si>
    <t>10:41:38</t>
  </si>
  <si>
    <t>02:21</t>
  </si>
  <si>
    <t>10:43:59</t>
  </si>
  <si>
    <t>10:44:59</t>
  </si>
  <si>
    <t>10:45:14</t>
  </si>
  <si>
    <t>10:46:44</t>
  </si>
  <si>
    <t>07:33</t>
  </si>
  <si>
    <t>10:54:17</t>
  </si>
  <si>
    <t>10:54:33</t>
  </si>
  <si>
    <t>10:56:33</t>
  </si>
  <si>
    <t>10:57:03</t>
  </si>
  <si>
    <t>02:43</t>
  </si>
  <si>
    <t>8:07:03</t>
  </si>
  <si>
    <t>8:10:03</t>
  </si>
  <si>
    <t>8:10:33</t>
  </si>
  <si>
    <t>8:10:48</t>
  </si>
  <si>
    <t>8:18:07</t>
  </si>
  <si>
    <t>8:20:22</t>
  </si>
  <si>
    <t>8:20:52</t>
  </si>
  <si>
    <t>8:21:07</t>
  </si>
  <si>
    <t>8:22:08</t>
  </si>
  <si>
    <t>08:54</t>
  </si>
  <si>
    <t>8:31:02</t>
  </si>
  <si>
    <t>8:34:32</t>
  </si>
  <si>
    <t>8:34:47</t>
  </si>
  <si>
    <t>8:35:17</t>
  </si>
  <si>
    <t>8:44:59</t>
  </si>
  <si>
    <t>8:45:15</t>
  </si>
  <si>
    <t>8:46:45</t>
  </si>
  <si>
    <t>8:58:53</t>
  </si>
  <si>
    <t>8:59:23</t>
  </si>
  <si>
    <t>8:59:28</t>
  </si>
  <si>
    <t>9:05:53</t>
  </si>
  <si>
    <t>9:09:24</t>
  </si>
  <si>
    <t>9:09:54</t>
  </si>
  <si>
    <t>9:18:36</t>
  </si>
  <si>
    <t>9:21:06</t>
  </si>
  <si>
    <t>9:21:36</t>
  </si>
  <si>
    <t>9:22:37</t>
  </si>
  <si>
    <t>11:51</t>
  </si>
  <si>
    <t>9:34:28</t>
  </si>
  <si>
    <t>9:36:58</t>
  </si>
  <si>
    <t>9:37:13</t>
  </si>
  <si>
    <t>9:38:59</t>
  </si>
  <si>
    <t>9:48:07</t>
  </si>
  <si>
    <t>9:51:07</t>
  </si>
  <si>
    <t>9:51:22</t>
  </si>
  <si>
    <t>9:51:52</t>
  </si>
  <si>
    <t>9:52:22</t>
  </si>
  <si>
    <t>9:52:27</t>
  </si>
  <si>
    <t>10:01:05</t>
  </si>
  <si>
    <t>10:11:56</t>
  </si>
  <si>
    <t>10:14:56</t>
  </si>
  <si>
    <t>00:20</t>
  </si>
  <si>
    <t>10:15:16</t>
  </si>
  <si>
    <t>07:06</t>
  </si>
  <si>
    <t>10:22:22</t>
  </si>
  <si>
    <t>10:24:37</t>
  </si>
  <si>
    <t>10:26:07</t>
  </si>
  <si>
    <t>10:34:52</t>
  </si>
  <si>
    <t>10:42:35</t>
  </si>
  <si>
    <t>10:44:50</t>
  </si>
  <si>
    <t>10:45:05</t>
  </si>
  <si>
    <t>10:46:06</t>
  </si>
  <si>
    <t>10:53:06</t>
  </si>
  <si>
    <t>03:38</t>
  </si>
  <si>
    <t>07:04</t>
  </si>
  <si>
    <t>8:07:09</t>
  </si>
  <si>
    <t>8:08:55</t>
  </si>
  <si>
    <t>8:09:25</t>
  </si>
  <si>
    <t>8:16:41</t>
  </si>
  <si>
    <t>8:18:11</t>
  </si>
  <si>
    <t>8:18:26</t>
  </si>
  <si>
    <t>8:19:43</t>
  </si>
  <si>
    <t>8:25:47</t>
  </si>
  <si>
    <t>8:28:47</t>
  </si>
  <si>
    <t>8:29:17</t>
  </si>
  <si>
    <t>06:13</t>
  </si>
  <si>
    <t>8:36:18</t>
  </si>
  <si>
    <t>8:38:48</t>
  </si>
  <si>
    <t>8:39:18</t>
  </si>
  <si>
    <t>08:12</t>
  </si>
  <si>
    <t>8:47:30</t>
  </si>
  <si>
    <t>8:47:35</t>
  </si>
  <si>
    <t>8:48:50</t>
  </si>
  <si>
    <t>8:49:05</t>
  </si>
  <si>
    <t>8:50:37</t>
  </si>
  <si>
    <t>05:39</t>
  </si>
  <si>
    <t>8:58:47</t>
  </si>
  <si>
    <t>8:58:52</t>
  </si>
  <si>
    <t>8:58:57</t>
  </si>
  <si>
    <t>07:54</t>
  </si>
  <si>
    <t>9:07:59</t>
  </si>
  <si>
    <t>9:10:30</t>
  </si>
  <si>
    <t>9:18:01</t>
  </si>
  <si>
    <t>9:19:31</t>
  </si>
  <si>
    <t>9:21:18</t>
  </si>
  <si>
    <t>05:03</t>
  </si>
  <si>
    <t>9:26:21</t>
  </si>
  <si>
    <t>9:28:51</t>
  </si>
  <si>
    <t>9:29:06</t>
  </si>
  <si>
    <t>9:29:21</t>
  </si>
  <si>
    <t>08:03</t>
  </si>
  <si>
    <t>9:38:08</t>
  </si>
  <si>
    <t>9:40:09</t>
  </si>
  <si>
    <t>9:41:09</t>
  </si>
  <si>
    <t>9:45:46</t>
  </si>
  <si>
    <t>9:47:17</t>
  </si>
  <si>
    <t>9:47:32</t>
  </si>
  <si>
    <t>9:48:02</t>
  </si>
  <si>
    <t>9:49:04</t>
  </si>
  <si>
    <t>9:55:47</t>
  </si>
  <si>
    <t>9:58:34</t>
  </si>
  <si>
    <t>9:58:49</t>
  </si>
  <si>
    <t>10:06:34</t>
  </si>
  <si>
    <t>10:08:49</t>
  </si>
  <si>
    <t>10:09:19</t>
  </si>
  <si>
    <t>04:23</t>
  </si>
  <si>
    <t>10:13:42</t>
  </si>
  <si>
    <t>10:13:47</t>
  </si>
  <si>
    <t>10:16:32</t>
  </si>
  <si>
    <t>10:27:04</t>
  </si>
  <si>
    <t>10:27:19</t>
  </si>
  <si>
    <t>10:27:34</t>
  </si>
  <si>
    <t>10:29:21</t>
  </si>
  <si>
    <t>10:35:40</t>
  </si>
  <si>
    <t>10:38:41</t>
  </si>
  <si>
    <t>10:46:18</t>
  </si>
  <si>
    <t>10:47:50</t>
  </si>
  <si>
    <t>10:50:49</t>
  </si>
  <si>
    <t>10:52:50</t>
  </si>
  <si>
    <t>10:53:05</t>
  </si>
  <si>
    <t>19:48</t>
  </si>
  <si>
    <t>8:19:53</t>
  </si>
  <si>
    <t>8:22:54</t>
  </si>
  <si>
    <t>8:23:24</t>
  </si>
  <si>
    <t>08:30</t>
  </si>
  <si>
    <t>8:31:54</t>
  </si>
  <si>
    <t>8:34:55</t>
  </si>
  <si>
    <t>8:35:40</t>
  </si>
  <si>
    <t>8:47:08</t>
  </si>
  <si>
    <t>8:49:39</t>
  </si>
  <si>
    <t>8:50:09</t>
  </si>
  <si>
    <t>8:51:11</t>
  </si>
  <si>
    <t>8:57:57</t>
  </si>
  <si>
    <t>9:01:28</t>
  </si>
  <si>
    <t>9:01:43</t>
  </si>
  <si>
    <t>9:13:00</t>
  </si>
  <si>
    <t>9:15:30</t>
  </si>
  <si>
    <t>9:15:35</t>
  </si>
  <si>
    <t>01:04</t>
  </si>
  <si>
    <t>9:16:39</t>
  </si>
  <si>
    <t>06:23</t>
  </si>
  <si>
    <t>9:23:02</t>
  </si>
  <si>
    <t>03:47</t>
  </si>
  <si>
    <t>10:24</t>
  </si>
  <si>
    <t>9:39:44</t>
  </si>
  <si>
    <t>9:39:49</t>
  </si>
  <si>
    <t>9:40:51</t>
  </si>
  <si>
    <t>03:59</t>
  </si>
  <si>
    <t>9:44:50</t>
  </si>
  <si>
    <t>9:48:21</t>
  </si>
  <si>
    <t>9:54:09</t>
  </si>
  <si>
    <t>9:56:11</t>
  </si>
  <si>
    <t>9:56:41</t>
  </si>
  <si>
    <t>01:34</t>
  </si>
  <si>
    <t>9:58:15</t>
  </si>
  <si>
    <t>09:51</t>
  </si>
  <si>
    <t>10:11:08</t>
  </si>
  <si>
    <t>10:11:38</t>
  </si>
  <si>
    <t>10:14:49</t>
  </si>
  <si>
    <t>10:16:50</t>
  </si>
  <si>
    <t>10:17:20</t>
  </si>
  <si>
    <t>10:19:07</t>
  </si>
  <si>
    <t>19:35</t>
  </si>
  <si>
    <t>10:38:42</t>
  </si>
  <si>
    <t>10:41:42</t>
  </si>
  <si>
    <t>10:42:42</t>
  </si>
  <si>
    <t>10:46:57</t>
  </si>
  <si>
    <t>10:47:12</t>
  </si>
  <si>
    <t>10:48:43</t>
  </si>
  <si>
    <t>03:07</t>
  </si>
  <si>
    <t>10:52:05</t>
  </si>
  <si>
    <t>03:48</t>
  </si>
  <si>
    <t>10:55:53</t>
  </si>
  <si>
    <t>10:56:08</t>
  </si>
  <si>
    <t>03:41</t>
  </si>
  <si>
    <t>10:59:49</t>
  </si>
  <si>
    <t>00:11</t>
  </si>
  <si>
    <t>8:12:31</t>
  </si>
  <si>
    <t>8:15:01</t>
  </si>
  <si>
    <t>8:15:16</t>
  </si>
  <si>
    <t>8:15:31</t>
  </si>
  <si>
    <t>8:24:04</t>
  </si>
  <si>
    <t>8:26:50</t>
  </si>
  <si>
    <t>8:27:52</t>
  </si>
  <si>
    <t>8:34:59</t>
  </si>
  <si>
    <t>8:38:00</t>
  </si>
  <si>
    <t>8:38:30</t>
  </si>
  <si>
    <t>8:44:47</t>
  </si>
  <si>
    <t>8:46:48</t>
  </si>
  <si>
    <t>8:47:03</t>
  </si>
  <si>
    <t>8:47:18</t>
  </si>
  <si>
    <t>8:48:51</t>
  </si>
  <si>
    <t>8:56:51</t>
  </si>
  <si>
    <t>8:57:36</t>
  </si>
  <si>
    <t>02:19</t>
  </si>
  <si>
    <t>12:45</t>
  </si>
  <si>
    <t>9:12:45</t>
  </si>
  <si>
    <t>9:16:00</t>
  </si>
  <si>
    <t>9:16:15</t>
  </si>
  <si>
    <t>08:01</t>
  </si>
  <si>
    <t>9:26:46</t>
  </si>
  <si>
    <t>9:27:01</t>
  </si>
  <si>
    <t>9:28:02</t>
  </si>
  <si>
    <t>06:11</t>
  </si>
  <si>
    <t>9:34:13</t>
  </si>
  <si>
    <t>9:37:58</t>
  </si>
  <si>
    <t>9:43:51</t>
  </si>
  <si>
    <t>9:45:21</t>
  </si>
  <si>
    <t>9:45:51</t>
  </si>
  <si>
    <t>9:47:22</t>
  </si>
  <si>
    <t>04:19</t>
  </si>
  <si>
    <t>9:51:41</t>
  </si>
  <si>
    <t>9:51:46</t>
  </si>
  <si>
    <t>11:56</t>
  </si>
  <si>
    <t>10:12:01</t>
  </si>
  <si>
    <t>10:15:01</t>
  </si>
  <si>
    <t>10:15:31</t>
  </si>
  <si>
    <t>10:21:59</t>
  </si>
  <si>
    <t>10:22:04</t>
  </si>
  <si>
    <t>10:25:04</t>
  </si>
  <si>
    <t>10:33:49</t>
  </si>
  <si>
    <t>10:34:04</t>
  </si>
  <si>
    <t>10:34:19</t>
  </si>
  <si>
    <t>10:41:59</t>
  </si>
  <si>
    <t>10:44:00</t>
  </si>
  <si>
    <t>10:44:15</t>
  </si>
  <si>
    <t>10:45:46</t>
  </si>
  <si>
    <t>10:51:16</t>
  </si>
  <si>
    <t>10:51:32</t>
  </si>
  <si>
    <t>10:54:01</t>
  </si>
  <si>
    <t>10:54:16</t>
  </si>
  <si>
    <t>8:10:26</t>
  </si>
  <si>
    <t>8:12:41</t>
  </si>
  <si>
    <t>8:13:12</t>
  </si>
  <si>
    <t>8:13:27</t>
  </si>
  <si>
    <t>8:21:03</t>
  </si>
  <si>
    <t>8:23:33</t>
  </si>
  <si>
    <t>8:24:33</t>
  </si>
  <si>
    <t>8:29:45</t>
  </si>
  <si>
    <t>8:32:15</t>
  </si>
  <si>
    <t>08:22</t>
  </si>
  <si>
    <t>8:41:38</t>
  </si>
  <si>
    <t>8:44:38</t>
  </si>
  <si>
    <t>8:44:53</t>
  </si>
  <si>
    <t>8:45:54</t>
  </si>
  <si>
    <t>8:54:02</t>
  </si>
  <si>
    <t>03:29</t>
  </si>
  <si>
    <t>8:57:47</t>
  </si>
  <si>
    <t>8:58:17</t>
  </si>
  <si>
    <t>02:04</t>
  </si>
  <si>
    <t>9:10:22</t>
  </si>
  <si>
    <t>9:13:52</t>
  </si>
  <si>
    <t>9:14:22</t>
  </si>
  <si>
    <t>9:14:37</t>
  </si>
  <si>
    <t>9:23:23</t>
  </si>
  <si>
    <t>9:26:39</t>
  </si>
  <si>
    <t>9:26:44</t>
  </si>
  <si>
    <t>9:27:14</t>
  </si>
  <si>
    <t>9:28:15</t>
  </si>
  <si>
    <t>07:26</t>
  </si>
  <si>
    <t>9:35:41</t>
  </si>
  <si>
    <t>9:37:42</t>
  </si>
  <si>
    <t>9:38:12</t>
  </si>
  <si>
    <t>9:38:27</t>
  </si>
  <si>
    <t>9:39:58</t>
  </si>
  <si>
    <t>9:48:18</t>
  </si>
  <si>
    <t>9:51:49</t>
  </si>
  <si>
    <t>9:52:19</t>
  </si>
  <si>
    <t>9:52:49</t>
  </si>
  <si>
    <t>9:52:53</t>
  </si>
  <si>
    <t>10:06</t>
  </si>
  <si>
    <t>10:13:08</t>
  </si>
  <si>
    <t>10:13:38</t>
  </si>
  <si>
    <t>10:21:43</t>
  </si>
  <si>
    <t>10:24:44</t>
  </si>
  <si>
    <t>10:25:14</t>
  </si>
  <si>
    <t>06:57</t>
  </si>
  <si>
    <t>10:32:26</t>
  </si>
  <si>
    <t>10:34:26</t>
  </si>
  <si>
    <t>10:34:57</t>
  </si>
  <si>
    <t>10:36:42</t>
  </si>
  <si>
    <t>05:37</t>
  </si>
  <si>
    <t>10:42:19</t>
  </si>
  <si>
    <t>10:46:21</t>
  </si>
  <si>
    <t>05:36</t>
  </si>
  <si>
    <t>10:51:57</t>
  </si>
  <si>
    <t>10:52:14</t>
  </si>
  <si>
    <t>10:55:45</t>
  </si>
  <si>
    <t>03:55</t>
  </si>
  <si>
    <t>CBS</t>
  </si>
  <si>
    <t>03:23</t>
  </si>
  <si>
    <t>8:03:23</t>
  </si>
  <si>
    <t>8:06:06</t>
  </si>
  <si>
    <t>00:12</t>
  </si>
  <si>
    <t>8:12:57</t>
  </si>
  <si>
    <t>8:15:59</t>
  </si>
  <si>
    <t>8:16:09</t>
  </si>
  <si>
    <t>8:16:51</t>
  </si>
  <si>
    <t>8:18:25</t>
  </si>
  <si>
    <t>8:26:34</t>
  </si>
  <si>
    <t>8:29:34</t>
  </si>
  <si>
    <t>8:29:48</t>
  </si>
  <si>
    <t>8:30:34</t>
  </si>
  <si>
    <t>00:21</t>
  </si>
  <si>
    <t>8:30:55</t>
  </si>
  <si>
    <t>8:30:59</t>
  </si>
  <si>
    <t>8:31:05</t>
  </si>
  <si>
    <t>8:39:20</t>
  </si>
  <si>
    <t>8:40:52</t>
  </si>
  <si>
    <t>8:49:33</t>
  </si>
  <si>
    <t>00:09</t>
  </si>
  <si>
    <t>8:49:42</t>
  </si>
  <si>
    <t>01:35</t>
  </si>
  <si>
    <t>8:51:17</t>
  </si>
  <si>
    <t>8:57:04</t>
  </si>
  <si>
    <t>8:59:21</t>
  </si>
  <si>
    <t>9:00:34</t>
  </si>
  <si>
    <t>9:01:05</t>
  </si>
  <si>
    <t>02:22</t>
  </si>
  <si>
    <t>9:03:27</t>
  </si>
  <si>
    <t>9:05:29</t>
  </si>
  <si>
    <t>9:05:49</t>
  </si>
  <si>
    <t>9:12:37</t>
  </si>
  <si>
    <t>9:15:07</t>
  </si>
  <si>
    <t>01:06</t>
  </si>
  <si>
    <t>9:16:13</t>
  </si>
  <si>
    <t>9:24:51</t>
  </si>
  <si>
    <t>9:27:34</t>
  </si>
  <si>
    <t>9:29:35</t>
  </si>
  <si>
    <t>9:29:59</t>
  </si>
  <si>
    <t>01:41</t>
  </si>
  <si>
    <t>9:42:06</t>
  </si>
  <si>
    <t>9:42:21</t>
  </si>
  <si>
    <t>9:46:53</t>
  </si>
  <si>
    <t>9:49:23</t>
  </si>
  <si>
    <t>9:49:35</t>
  </si>
  <si>
    <t>9:51:19</t>
  </si>
  <si>
    <t>01:36</t>
  </si>
  <si>
    <t>9:52:55</t>
  </si>
  <si>
    <t>9:55:12</t>
  </si>
  <si>
    <t>9:55:22</t>
  </si>
  <si>
    <t>04:13</t>
  </si>
  <si>
    <t>9:59:35</t>
  </si>
  <si>
    <t>11:06</t>
  </si>
  <si>
    <t>10:11:11</t>
  </si>
  <si>
    <t>10:14:47</t>
  </si>
  <si>
    <t>10:24:03</t>
  </si>
  <si>
    <t>10:27:05</t>
  </si>
  <si>
    <t>10:37:01</t>
  </si>
  <si>
    <t>10:39:32</t>
  </si>
  <si>
    <t>10:41:53</t>
  </si>
  <si>
    <t>05:08</t>
  </si>
  <si>
    <t>10:47:01</t>
  </si>
  <si>
    <t>10:49:34</t>
  </si>
  <si>
    <t>10:49:45</t>
  </si>
  <si>
    <t>10:49:55</t>
  </si>
  <si>
    <t>10:50:09</t>
  </si>
  <si>
    <t>10:51:44</t>
  </si>
  <si>
    <t>10:58:04</t>
  </si>
  <si>
    <t>10:58:16</t>
  </si>
  <si>
    <t>00:22</t>
  </si>
  <si>
    <t>04:18</t>
  </si>
  <si>
    <t>8:04:18</t>
  </si>
  <si>
    <t>8:05:20</t>
  </si>
  <si>
    <t>8:05:40</t>
  </si>
  <si>
    <t>8:05:51</t>
  </si>
  <si>
    <t>08:43</t>
  </si>
  <si>
    <t>8:14:34</t>
  </si>
  <si>
    <t>8:17:05</t>
  </si>
  <si>
    <t>8:17:15</t>
  </si>
  <si>
    <t>8:17:25</t>
  </si>
  <si>
    <t>8:17:57</t>
  </si>
  <si>
    <t>8:26:18</t>
  </si>
  <si>
    <t>8:29:29</t>
  </si>
  <si>
    <t>8:29:35</t>
  </si>
  <si>
    <t>8:31:10</t>
  </si>
  <si>
    <t>08:24</t>
  </si>
  <si>
    <t>8:41:40</t>
  </si>
  <si>
    <t>8:53:48</t>
  </si>
  <si>
    <t>8:53:58</t>
  </si>
  <si>
    <t>8:59:38</t>
  </si>
  <si>
    <t>8:59:48</t>
  </si>
  <si>
    <t>06:55</t>
  </si>
  <si>
    <t>9:07:01</t>
  </si>
  <si>
    <t>9:09:34</t>
  </si>
  <si>
    <t>14:53</t>
  </si>
  <si>
    <t>9:24:47</t>
  </si>
  <si>
    <t>9:28:20</t>
  </si>
  <si>
    <t>9:28:50</t>
  </si>
  <si>
    <t>9:39:56</t>
  </si>
  <si>
    <t>9:40:06</t>
  </si>
  <si>
    <t>9:41:11</t>
  </si>
  <si>
    <t>9:47:44</t>
  </si>
  <si>
    <t>9:49:48</t>
  </si>
  <si>
    <t>9:49:58</t>
  </si>
  <si>
    <t>9:50:18</t>
  </si>
  <si>
    <t>9:51:23</t>
  </si>
  <si>
    <t>9:56:50</t>
  </si>
  <si>
    <t>10:04:52</t>
  </si>
  <si>
    <t>10:07:56</t>
  </si>
  <si>
    <t>10:08:11</t>
  </si>
  <si>
    <t>10:15:09</t>
  </si>
  <si>
    <t>10:18:41</t>
  </si>
  <si>
    <t>10:19:01</t>
  </si>
  <si>
    <t>10:29:01</t>
  </si>
  <si>
    <t>10:31:02</t>
  </si>
  <si>
    <t>10:33:22</t>
  </si>
  <si>
    <t>09:38</t>
  </si>
  <si>
    <t>10:43:00</t>
  </si>
  <si>
    <t>10:47:28</t>
  </si>
  <si>
    <t>10:36</t>
  </si>
  <si>
    <t>10:59:17</t>
  </si>
  <si>
    <t>10:59:23</t>
  </si>
  <si>
    <t>8:10:06</t>
  </si>
  <si>
    <t>16:43</t>
  </si>
  <si>
    <t>8:29:40</t>
  </si>
  <si>
    <t>8:32:11</t>
  </si>
  <si>
    <t>8:32:21</t>
  </si>
  <si>
    <t>8:32:31</t>
  </si>
  <si>
    <t>8:33:02</t>
  </si>
  <si>
    <t>8:38:42</t>
  </si>
  <si>
    <t>02:34</t>
  </si>
  <si>
    <t>8:41:16</t>
  </si>
  <si>
    <t>8:41:31</t>
  </si>
  <si>
    <t>8:42:36</t>
  </si>
  <si>
    <t>8:47:38</t>
  </si>
  <si>
    <t>8:50:11</t>
  </si>
  <si>
    <t>8:50:21</t>
  </si>
  <si>
    <t>8:50:41</t>
  </si>
  <si>
    <t>8:51:46</t>
  </si>
  <si>
    <t>05:05</t>
  </si>
  <si>
    <t>8:59:33</t>
  </si>
  <si>
    <t>8:59:55</t>
  </si>
  <si>
    <t>05:45</t>
  </si>
  <si>
    <t>9:05:50</t>
  </si>
  <si>
    <t>9:08:52</t>
  </si>
  <si>
    <t>9:09:12</t>
  </si>
  <si>
    <t>9:22:00</t>
  </si>
  <si>
    <t>9:22:20</t>
  </si>
  <si>
    <t>9:30:59</t>
  </si>
  <si>
    <t>9:33:30</t>
  </si>
  <si>
    <t>9:34:10</t>
  </si>
  <si>
    <t>9:35:15</t>
  </si>
  <si>
    <t>9:44:44</t>
  </si>
  <si>
    <t>9:47:15</t>
  </si>
  <si>
    <t>9:47:25</t>
  </si>
  <si>
    <t>9:47:45</t>
  </si>
  <si>
    <t>07:13</t>
  </si>
  <si>
    <t>9:54:58</t>
  </si>
  <si>
    <t>9:57:30</t>
  </si>
  <si>
    <t>9:57:50</t>
  </si>
  <si>
    <t>9:57:55</t>
  </si>
  <si>
    <t>02:05</t>
  </si>
  <si>
    <t>04:29</t>
  </si>
  <si>
    <t>10:04:34</t>
  </si>
  <si>
    <t>10:05:36</t>
  </si>
  <si>
    <t>10:05:56</t>
  </si>
  <si>
    <t>10:14:44</t>
  </si>
  <si>
    <t>10:17:16</t>
  </si>
  <si>
    <t>10:22:55</t>
  </si>
  <si>
    <t>10:25:56</t>
  </si>
  <si>
    <t>10:26:06</t>
  </si>
  <si>
    <t>10:26:13</t>
  </si>
  <si>
    <t>10:26:28</t>
  </si>
  <si>
    <t>10:28:18</t>
  </si>
  <si>
    <t>08:35</t>
  </si>
  <si>
    <t>10:36:53</t>
  </si>
  <si>
    <t>10:39:55</t>
  </si>
  <si>
    <t>10:40:01</t>
  </si>
  <si>
    <t>10:40:21</t>
  </si>
  <si>
    <t>10:40:26</t>
  </si>
  <si>
    <t>10:50:30</t>
  </si>
  <si>
    <t>10:50:42</t>
  </si>
  <si>
    <t>10:53:13</t>
  </si>
  <si>
    <t>10:59:11</t>
  </si>
  <si>
    <t>00:08</t>
  </si>
  <si>
    <t>02:12</t>
  </si>
  <si>
    <t>7:02:12</t>
  </si>
  <si>
    <t>7:05:14</t>
  </si>
  <si>
    <t>7:05:35</t>
  </si>
  <si>
    <t>12:53</t>
  </si>
  <si>
    <t>7:18:28</t>
  </si>
  <si>
    <t>7:22:00</t>
  </si>
  <si>
    <t>7:22:12</t>
  </si>
  <si>
    <t>14:03</t>
  </si>
  <si>
    <t>7:36:15</t>
  </si>
  <si>
    <t>7:39:17</t>
  </si>
  <si>
    <t>7:39:29</t>
  </si>
  <si>
    <t>7:39:33</t>
  </si>
  <si>
    <t>7:40:38</t>
  </si>
  <si>
    <t>13:45</t>
  </si>
  <si>
    <t>7:54:23</t>
  </si>
  <si>
    <t>7:55:56</t>
  </si>
  <si>
    <t>7:56:18</t>
  </si>
  <si>
    <t>7:56:38</t>
  </si>
  <si>
    <t>7:56:42</t>
  </si>
  <si>
    <t>7:57:47</t>
  </si>
  <si>
    <t>7:57:59</t>
  </si>
  <si>
    <t>7:59:31</t>
  </si>
  <si>
    <t>7:59:51</t>
  </si>
  <si>
    <t>05:55</t>
  </si>
  <si>
    <t>8:05:59</t>
  </si>
  <si>
    <t>8:08:32</t>
  </si>
  <si>
    <t>8:08:43</t>
  </si>
  <si>
    <t>8:09:03</t>
  </si>
  <si>
    <t>8:20:02</t>
  </si>
  <si>
    <t>8:23:04</t>
  </si>
  <si>
    <t>8:23:30</t>
  </si>
  <si>
    <t>8:23:45</t>
  </si>
  <si>
    <t>8:30:04</t>
  </si>
  <si>
    <t>8:32:37</t>
  </si>
  <si>
    <t>8:32:47</t>
  </si>
  <si>
    <t>8:33:52</t>
  </si>
  <si>
    <t>8:42:14</t>
  </si>
  <si>
    <t>8:45:02</t>
  </si>
  <si>
    <t>8:45:32</t>
  </si>
  <si>
    <t>8:47:07</t>
  </si>
  <si>
    <t>09:55</t>
  </si>
  <si>
    <t>8:57:02</t>
  </si>
  <si>
    <t>8:59:59</t>
  </si>
  <si>
    <t>18:15</t>
  </si>
  <si>
    <t>9:18:20</t>
  </si>
  <si>
    <t>9:20:51</t>
  </si>
  <si>
    <t>9:21:02</t>
  </si>
  <si>
    <t>9:28:00</t>
  </si>
  <si>
    <t>9:31:31</t>
  </si>
  <si>
    <t>9:39:41</t>
  </si>
  <si>
    <t>9:41:43</t>
  </si>
  <si>
    <t>9:42:04</t>
  </si>
  <si>
    <t>9:43:39</t>
  </si>
  <si>
    <t>9:47:20</t>
  </si>
  <si>
    <t>9:49:22</t>
  </si>
  <si>
    <t>9:49:43</t>
  </si>
  <si>
    <t>9:49:52</t>
  </si>
  <si>
    <t>9:51:27</t>
  </si>
  <si>
    <t>9:59:33</t>
  </si>
  <si>
    <t>10:06:01</t>
  </si>
  <si>
    <t>10:08:33</t>
  </si>
  <si>
    <t>10:08:53</t>
  </si>
  <si>
    <t>13:22</t>
  </si>
  <si>
    <t>10:22:15</t>
  </si>
  <si>
    <t>10:24:47</t>
  </si>
  <si>
    <t>10:31:26</t>
  </si>
  <si>
    <t>10:36:08</t>
  </si>
  <si>
    <t>07:56</t>
  </si>
  <si>
    <t>10:44:04</t>
  </si>
  <si>
    <t>10:47:07</t>
  </si>
  <si>
    <t>10:47:27</t>
  </si>
  <si>
    <t>10:49:02</t>
  </si>
  <si>
    <t>10:58:02</t>
  </si>
  <si>
    <t>10:58:13</t>
  </si>
  <si>
    <t>10:59:21</t>
  </si>
  <si>
    <t>10:59:43</t>
  </si>
  <si>
    <t>10:59:48</t>
  </si>
  <si>
    <t>8:06:29</t>
  </si>
  <si>
    <t>8:08:31</t>
  </si>
  <si>
    <t>8:08:46</t>
  </si>
  <si>
    <t>8:09:01</t>
  </si>
  <si>
    <t>05:24</t>
  </si>
  <si>
    <t>8:14:25</t>
  </si>
  <si>
    <t>8:16:57</t>
  </si>
  <si>
    <t>8:17:07</t>
  </si>
  <si>
    <t>8:17:18</t>
  </si>
  <si>
    <t>8:18:23</t>
  </si>
  <si>
    <t>8:25:51</t>
  </si>
  <si>
    <t>8:28:23</t>
  </si>
  <si>
    <t>8:28:33</t>
  </si>
  <si>
    <t>8:29:55</t>
  </si>
  <si>
    <t>8:35:03</t>
  </si>
  <si>
    <t>8:37:35</t>
  </si>
  <si>
    <t>8:37:55</t>
  </si>
  <si>
    <t>8:44:00</t>
  </si>
  <si>
    <t>8:46:32</t>
  </si>
  <si>
    <t>8:46:52</t>
  </si>
  <si>
    <t>8:47:12</t>
  </si>
  <si>
    <t>8:48:17</t>
  </si>
  <si>
    <t>8:55:48</t>
  </si>
  <si>
    <t>8:58:35</t>
  </si>
  <si>
    <t>8:58:50</t>
  </si>
  <si>
    <t>8:59:35</t>
  </si>
  <si>
    <t>02:40</t>
  </si>
  <si>
    <t>9:05:47</t>
  </si>
  <si>
    <t>9:06:07</t>
  </si>
  <si>
    <t>9:06:27</t>
  </si>
  <si>
    <t>07:23</t>
  </si>
  <si>
    <t>9:13:50</t>
  </si>
  <si>
    <t>9:16:51</t>
  </si>
  <si>
    <t>9:17:08</t>
  </si>
  <si>
    <t>9:18:13</t>
  </si>
  <si>
    <t>9:24:25</t>
  </si>
  <si>
    <t>03:17</t>
  </si>
  <si>
    <t>9:27:42</t>
  </si>
  <si>
    <t>9:27:52</t>
  </si>
  <si>
    <t>9:28:22</t>
  </si>
  <si>
    <t>01:13</t>
  </si>
  <si>
    <t>09:56</t>
  </si>
  <si>
    <t>9:40:01</t>
  </si>
  <si>
    <t>9:42:02</t>
  </si>
  <si>
    <t>9:47:52</t>
  </si>
  <si>
    <t>9:50:24</t>
  </si>
  <si>
    <t>9:50:34</t>
  </si>
  <si>
    <t>9:51:39</t>
  </si>
  <si>
    <t>03:08</t>
  </si>
  <si>
    <t>9:54:47</t>
  </si>
  <si>
    <t>9:57:14</t>
  </si>
  <si>
    <t>08:53</t>
  </si>
  <si>
    <t>10:08:58</t>
  </si>
  <si>
    <t>10:11:59</t>
  </si>
  <si>
    <t>10:12:25</t>
  </si>
  <si>
    <t>12:37</t>
  </si>
  <si>
    <t>10:25:02</t>
  </si>
  <si>
    <t>10:27:49</t>
  </si>
  <si>
    <t>10:28:10</t>
  </si>
  <si>
    <t>10:35:52</t>
  </si>
  <si>
    <t>10:38:25</t>
  </si>
  <si>
    <t>10:40:45</t>
  </si>
  <si>
    <t>10:44:49</t>
  </si>
  <si>
    <t>10:47:51</t>
  </si>
  <si>
    <t>10:48:02</t>
  </si>
  <si>
    <t>10:48:22</t>
  </si>
  <si>
    <t>10:49:57</t>
  </si>
  <si>
    <t>10:58:03</t>
  </si>
  <si>
    <t>10:58:15</t>
  </si>
  <si>
    <t>10:59:20</t>
  </si>
  <si>
    <t>10:59:42</t>
  </si>
  <si>
    <t>8:07:20</t>
  </si>
  <si>
    <t>8:09:51</t>
  </si>
  <si>
    <t>8:09:57</t>
  </si>
  <si>
    <t>8:10:27</t>
  </si>
  <si>
    <t>8:19:06</t>
  </si>
  <si>
    <t>8:22:28</t>
  </si>
  <si>
    <t>8:22:43</t>
  </si>
  <si>
    <t>8:22:58</t>
  </si>
  <si>
    <t>8:31:28</t>
  </si>
  <si>
    <t>8:33:59</t>
  </si>
  <si>
    <t>8:34:20</t>
  </si>
  <si>
    <t>8:35:55</t>
  </si>
  <si>
    <t>08:11</t>
  </si>
  <si>
    <t>8:44:06</t>
  </si>
  <si>
    <t>8:46:38</t>
  </si>
  <si>
    <t>8:48:44</t>
  </si>
  <si>
    <t>08:18</t>
  </si>
  <si>
    <t>8:59:04</t>
  </si>
  <si>
    <t>8:59:34</t>
  </si>
  <si>
    <t>9:09:37</t>
  </si>
  <si>
    <t>02:41</t>
  </si>
  <si>
    <t>9:12:18</t>
  </si>
  <si>
    <t>9:12:38</t>
  </si>
  <si>
    <t>9:20:25</t>
  </si>
  <si>
    <t>9:22:56</t>
  </si>
  <si>
    <t>9:23:36</t>
  </si>
  <si>
    <t>09:13</t>
  </si>
  <si>
    <t>9:32:49</t>
  </si>
  <si>
    <t>9:35:51</t>
  </si>
  <si>
    <t>9:35:56</t>
  </si>
  <si>
    <t>9:41:00</t>
  </si>
  <si>
    <t>9:43:31</t>
  </si>
  <si>
    <t>01:07</t>
  </si>
  <si>
    <t>9:44:38</t>
  </si>
  <si>
    <t>9:53:26</t>
  </si>
  <si>
    <t>9:55:58</t>
  </si>
  <si>
    <t>9:56:18</t>
  </si>
  <si>
    <t>9:56:40</t>
  </si>
  <si>
    <t>9:56:45</t>
  </si>
  <si>
    <t>10:03:17</t>
  </si>
  <si>
    <t>10:05:49</t>
  </si>
  <si>
    <t>10:05:59</t>
  </si>
  <si>
    <t>10:06:19</t>
  </si>
  <si>
    <t>10:16:56</t>
  </si>
  <si>
    <t>10:19:58</t>
  </si>
  <si>
    <t>10:20:04</t>
  </si>
  <si>
    <t>10:53</t>
  </si>
  <si>
    <t>10:30:57</t>
  </si>
  <si>
    <t>10:32:58</t>
  </si>
  <si>
    <t>10:35:18</t>
  </si>
  <si>
    <t>10:42:40</t>
  </si>
  <si>
    <t>10:45:52</t>
  </si>
  <si>
    <t>10:47:37</t>
  </si>
  <si>
    <t>10:54:49</t>
  </si>
  <si>
    <t>10:56:01</t>
  </si>
  <si>
    <t>10:56:06</t>
  </si>
  <si>
    <t>10:56:28</t>
  </si>
  <si>
    <t>03:27</t>
  </si>
  <si>
    <t>01:09</t>
  </si>
  <si>
    <t>8:01:09</t>
  </si>
  <si>
    <t>8:03:11</t>
  </si>
  <si>
    <t>8:03:31</t>
  </si>
  <si>
    <t>8:14:55</t>
  </si>
  <si>
    <t>8:17:27</t>
  </si>
  <si>
    <t>8:17:47</t>
  </si>
  <si>
    <t>8:27:28</t>
  </si>
  <si>
    <t>8:27:37</t>
  </si>
  <si>
    <t>8:27:42</t>
  </si>
  <si>
    <t>11:52</t>
  </si>
  <si>
    <t>8:40:39</t>
  </si>
  <si>
    <t>8:43:40</t>
  </si>
  <si>
    <t>8:43:50</t>
  </si>
  <si>
    <t>8:44:10</t>
  </si>
  <si>
    <t>8:55:28</t>
  </si>
  <si>
    <t>8:57:59</t>
  </si>
  <si>
    <t>8:58:20</t>
  </si>
  <si>
    <t>9:08:05</t>
  </si>
  <si>
    <t>9:10:06</t>
  </si>
  <si>
    <t>9:10:16</t>
  </si>
  <si>
    <t>9:10:26</t>
  </si>
  <si>
    <t>9:23:15</t>
  </si>
  <si>
    <t>9:30:28</t>
  </si>
  <si>
    <t>9:32:29</t>
  </si>
  <si>
    <t>9:32:40</t>
  </si>
  <si>
    <t>9:32:59</t>
  </si>
  <si>
    <t>9:34:04</t>
  </si>
  <si>
    <t>9:42:19</t>
  </si>
  <si>
    <t>9:45:11</t>
  </si>
  <si>
    <t>9:45:31</t>
  </si>
  <si>
    <t>9:47:06</t>
  </si>
  <si>
    <t>9:59:13</t>
  </si>
  <si>
    <t>08:51</t>
  </si>
  <si>
    <t>10:08:55</t>
  </si>
  <si>
    <t>10:12:11</t>
  </si>
  <si>
    <t>05:41</t>
  </si>
  <si>
    <t>10:17:52</t>
  </si>
  <si>
    <t>10:21:23</t>
  </si>
  <si>
    <t>10:21:33</t>
  </si>
  <si>
    <t>10:32:13</t>
  </si>
  <si>
    <t>10:34:34</t>
  </si>
  <si>
    <t>10:40:06</t>
  </si>
  <si>
    <t>10:42:46</t>
  </si>
  <si>
    <t>11:19</t>
  </si>
  <si>
    <t>10:54:05</t>
  </si>
  <si>
    <t>01:12</t>
  </si>
  <si>
    <t>10:55:23</t>
  </si>
  <si>
    <t>00:27</t>
  </si>
  <si>
    <t>10:55:50</t>
  </si>
  <si>
    <t>04:10</t>
  </si>
  <si>
    <t>02:08</t>
  </si>
  <si>
    <t>8:02:08</t>
  </si>
  <si>
    <t>8:04:39</t>
  </si>
  <si>
    <t>8:04:59</t>
  </si>
  <si>
    <t>8:11:39</t>
  </si>
  <si>
    <t>8:14:41</t>
  </si>
  <si>
    <t>8:14:51</t>
  </si>
  <si>
    <t>8:15:21</t>
  </si>
  <si>
    <t>8:17:06</t>
  </si>
  <si>
    <t>10:09</t>
  </si>
  <si>
    <t>8:27:15</t>
  </si>
  <si>
    <t>8:29:47</t>
  </si>
  <si>
    <t>8:29:52</t>
  </si>
  <si>
    <t>8:30:12</t>
  </si>
  <si>
    <t>00:23</t>
  </si>
  <si>
    <t>8:30:35</t>
  </si>
  <si>
    <t>8:31:00</t>
  </si>
  <si>
    <t>07:46</t>
  </si>
  <si>
    <t>8:38:51</t>
  </si>
  <si>
    <t>8:41:13</t>
  </si>
  <si>
    <t>8:47:21</t>
  </si>
  <si>
    <t>8:49:53</t>
  </si>
  <si>
    <t>8:50:03</t>
  </si>
  <si>
    <t>8:51:38</t>
  </si>
  <si>
    <t>8:57:03</t>
  </si>
  <si>
    <t>8:59:20</t>
  </si>
  <si>
    <t>9:00:35</t>
  </si>
  <si>
    <t>9:03:48</t>
  </si>
  <si>
    <t>9:05:20</t>
  </si>
  <si>
    <t>9:05:40</t>
  </si>
  <si>
    <t>9:12:05</t>
  </si>
  <si>
    <t>9:15:37</t>
  </si>
  <si>
    <t>9:16:42</t>
  </si>
  <si>
    <t>10:04</t>
  </si>
  <si>
    <t>9:28:48</t>
  </si>
  <si>
    <t>9:28:58</t>
  </si>
  <si>
    <t>10:45</t>
  </si>
  <si>
    <t>9:40:50</t>
  </si>
  <si>
    <t>9:42:20</t>
  </si>
  <si>
    <t>9:42:41</t>
  </si>
  <si>
    <t>9:49:34</t>
  </si>
  <si>
    <t>9:55:21</t>
  </si>
  <si>
    <t>9:57:38</t>
  </si>
  <si>
    <t>9:57:49</t>
  </si>
  <si>
    <t>9:59:34</t>
  </si>
  <si>
    <t>09:27</t>
  </si>
  <si>
    <t>10:09:32</t>
  </si>
  <si>
    <t>10:56</t>
  </si>
  <si>
    <t>10:23:16</t>
  </si>
  <si>
    <t>10:25:49</t>
  </si>
  <si>
    <t>10:26:04</t>
  </si>
  <si>
    <t>10:26:24</t>
  </si>
  <si>
    <t>10:38:06</t>
  </si>
  <si>
    <t>04:40</t>
  </si>
  <si>
    <t>10:47:36</t>
  </si>
  <si>
    <t>10:47:48</t>
  </si>
  <si>
    <t>10:47:58</t>
  </si>
  <si>
    <t>10:49:33</t>
  </si>
  <si>
    <t>08:26</t>
  </si>
  <si>
    <t>10:57:59</t>
  </si>
  <si>
    <t>10:58:10</t>
  </si>
  <si>
    <t>10:59:38</t>
  </si>
  <si>
    <t>11:46</t>
  </si>
  <si>
    <t>8:11:46</t>
  </si>
  <si>
    <t>8:14:18</t>
  </si>
  <si>
    <t>8:14:29</t>
  </si>
  <si>
    <t>8:14:49</t>
  </si>
  <si>
    <t>8:22:46</t>
  </si>
  <si>
    <t>8:22:56</t>
  </si>
  <si>
    <t>8:23:16</t>
  </si>
  <si>
    <t>8:23:36</t>
  </si>
  <si>
    <t>10:52</t>
  </si>
  <si>
    <t>8:37:00</t>
  </si>
  <si>
    <t>8:37:06</t>
  </si>
  <si>
    <t>8:37:36</t>
  </si>
  <si>
    <t>8:39:11</t>
  </si>
  <si>
    <t>8:44:58</t>
  </si>
  <si>
    <t>8:49:06</t>
  </si>
  <si>
    <t>07:50</t>
  </si>
  <si>
    <t>8:56:56</t>
  </si>
  <si>
    <t>8:59:09</t>
  </si>
  <si>
    <t>8:59:50</t>
  </si>
  <si>
    <t>9:17:50</t>
  </si>
  <si>
    <t>9:26:48</t>
  </si>
  <si>
    <t>9:27:08</t>
  </si>
  <si>
    <t>9:27:18</t>
  </si>
  <si>
    <t>11:07</t>
  </si>
  <si>
    <t>9:41:30</t>
  </si>
  <si>
    <t>05:29</t>
  </si>
  <si>
    <t>9:49:01</t>
  </si>
  <si>
    <t>9:49:32</t>
  </si>
  <si>
    <t>9:50:37</t>
  </si>
  <si>
    <t>10:06:16</t>
  </si>
  <si>
    <t>03:35</t>
  </si>
  <si>
    <t>10:09:51</t>
  </si>
  <si>
    <t>10:10:01</t>
  </si>
  <si>
    <t>10:10:21</t>
  </si>
  <si>
    <t>10:10:31</t>
  </si>
  <si>
    <t>10:18:10</t>
  </si>
  <si>
    <t>10:21:53</t>
  </si>
  <si>
    <t>10:22:03</t>
  </si>
  <si>
    <t>10:22:23</t>
  </si>
  <si>
    <t>10:29:31</t>
  </si>
  <si>
    <t>10:31:32</t>
  </si>
  <si>
    <t>10:33:52</t>
  </si>
  <si>
    <t>06:53</t>
  </si>
  <si>
    <t>10:44:17</t>
  </si>
  <si>
    <t>10:44:28</t>
  </si>
  <si>
    <t>10:58:05</t>
  </si>
  <si>
    <t>10:58:17</t>
  </si>
  <si>
    <t>00:59</t>
  </si>
  <si>
    <t>8:10:34</t>
  </si>
  <si>
    <t>8:10:44</t>
  </si>
  <si>
    <t>8:10:59</t>
  </si>
  <si>
    <t>8:20:37</t>
  </si>
  <si>
    <t>8:23:38</t>
  </si>
  <si>
    <t>8:23:48</t>
  </si>
  <si>
    <t>8:24:08</t>
  </si>
  <si>
    <t>8:24:28</t>
  </si>
  <si>
    <t>8:33:13</t>
  </si>
  <si>
    <t>06:18</t>
  </si>
  <si>
    <t>8:40:46</t>
  </si>
  <si>
    <t>8:43:18</t>
  </si>
  <si>
    <t>8:43:48</t>
  </si>
  <si>
    <t>12:39</t>
  </si>
  <si>
    <t>8:57:32</t>
  </si>
  <si>
    <t>8:59:54</t>
  </si>
  <si>
    <t>9:03:25</t>
  </si>
  <si>
    <t>9:04:27</t>
  </si>
  <si>
    <t>9:04:37</t>
  </si>
  <si>
    <t>9:04:47</t>
  </si>
  <si>
    <t>9:15:26</t>
  </si>
  <si>
    <t>9:15:41</t>
  </si>
  <si>
    <t>9:15:56</t>
  </si>
  <si>
    <t>9:22:39</t>
  </si>
  <si>
    <t>9:25:41</t>
  </si>
  <si>
    <t>9:25:55</t>
  </si>
  <si>
    <t>9:27:00</t>
  </si>
  <si>
    <t>06:38</t>
  </si>
  <si>
    <t>9:33:38</t>
  </si>
  <si>
    <t>9:36:11</t>
  </si>
  <si>
    <t>9:36:21</t>
  </si>
  <si>
    <t>9:37:01</t>
  </si>
  <si>
    <t>9:44:57</t>
  </si>
  <si>
    <t>9:47:31</t>
  </si>
  <si>
    <t>09:48</t>
  </si>
  <si>
    <t>9:57:19</t>
  </si>
  <si>
    <t>9:57:40</t>
  </si>
  <si>
    <t>9:57:54</t>
  </si>
  <si>
    <t>10:04:36</t>
  </si>
  <si>
    <t>10:05:37</t>
  </si>
  <si>
    <t>10:05:48</t>
  </si>
  <si>
    <t>10:05:58</t>
  </si>
  <si>
    <t>10:16:07</t>
  </si>
  <si>
    <t>10:18:40</t>
  </si>
  <si>
    <t>10:27:39</t>
  </si>
  <si>
    <t>10:30:43</t>
  </si>
  <si>
    <t>10:30:53</t>
  </si>
  <si>
    <t>01:51</t>
  </si>
  <si>
    <t>10:32:48</t>
  </si>
  <si>
    <t>10:39:46</t>
  </si>
  <si>
    <t>10:42:49</t>
  </si>
  <si>
    <t>10:42:55</t>
  </si>
  <si>
    <t>10:44:29</t>
  </si>
  <si>
    <t>06:34</t>
  </si>
  <si>
    <t>10:51:03</t>
  </si>
  <si>
    <t>10:51:14</t>
  </si>
  <si>
    <t>10:53:45</t>
  </si>
  <si>
    <t>10:53:50</t>
  </si>
  <si>
    <t>00:33</t>
  </si>
  <si>
    <t>7:01:50</t>
  </si>
  <si>
    <t>7:04:50</t>
  </si>
  <si>
    <t>7:05:12</t>
  </si>
  <si>
    <t>7:05:32</t>
  </si>
  <si>
    <t>13:40</t>
  </si>
  <si>
    <t>7:19:12</t>
  </si>
  <si>
    <t>7:22:23</t>
  </si>
  <si>
    <t>7:22:42</t>
  </si>
  <si>
    <t>7:22:48</t>
  </si>
  <si>
    <t>12:48</t>
  </si>
  <si>
    <t>7:35:36</t>
  </si>
  <si>
    <t>7:38:37</t>
  </si>
  <si>
    <t>7:38:48</t>
  </si>
  <si>
    <t>15:03</t>
  </si>
  <si>
    <t>7:53:51</t>
  </si>
  <si>
    <t>7:55:23</t>
  </si>
  <si>
    <t>7:55:35</t>
  </si>
  <si>
    <t>7:56:05</t>
  </si>
  <si>
    <t>7:56:10</t>
  </si>
  <si>
    <t>7:57:15</t>
  </si>
  <si>
    <t>7:57:26</t>
  </si>
  <si>
    <t>7:58:58</t>
  </si>
  <si>
    <t>7:59:18</t>
  </si>
  <si>
    <t>7:59:40</t>
  </si>
  <si>
    <t>10:38</t>
  </si>
  <si>
    <t>8:10:43</t>
  </si>
  <si>
    <t>8:13:15</t>
  </si>
  <si>
    <t>8:13:34</t>
  </si>
  <si>
    <t>8:21:31</t>
  </si>
  <si>
    <t>8:24:34</t>
  </si>
  <si>
    <t>8:24:44</t>
  </si>
  <si>
    <t>8:24:59</t>
  </si>
  <si>
    <t>8:25:14</t>
  </si>
  <si>
    <t>8:31:34</t>
  </si>
  <si>
    <t>03:26</t>
  </si>
  <si>
    <t>8:35:00</t>
  </si>
  <si>
    <t>8:35:35</t>
  </si>
  <si>
    <t>8:42:38</t>
  </si>
  <si>
    <t>8:45:09</t>
  </si>
  <si>
    <t>8:45:39</t>
  </si>
  <si>
    <t>8:47:14</t>
  </si>
  <si>
    <t>09:49</t>
  </si>
  <si>
    <t>15:11</t>
  </si>
  <si>
    <t>9:15:16</t>
  </si>
  <si>
    <t>9:17:18</t>
  </si>
  <si>
    <t>9:17:28</t>
  </si>
  <si>
    <t>9:17:38</t>
  </si>
  <si>
    <t>9:25:44</t>
  </si>
  <si>
    <t>9:28:46</t>
  </si>
  <si>
    <t>9:28:56</t>
  </si>
  <si>
    <t>9:29:17</t>
  </si>
  <si>
    <t>9:36:24</t>
  </si>
  <si>
    <t>9:38:35</t>
  </si>
  <si>
    <t>9:46:38</t>
  </si>
  <si>
    <t>02:03</t>
  </si>
  <si>
    <t>9:48:41</t>
  </si>
  <si>
    <t>9:48:57</t>
  </si>
  <si>
    <t>9:56:51</t>
  </si>
  <si>
    <t>05:11</t>
  </si>
  <si>
    <t>10:05:16</t>
  </si>
  <si>
    <t>10:07:48</t>
  </si>
  <si>
    <t>10:08:07</t>
  </si>
  <si>
    <t>11:15</t>
  </si>
  <si>
    <t>10:19:22</t>
  </si>
  <si>
    <t>10:22:44</t>
  </si>
  <si>
    <t>09:07</t>
  </si>
  <si>
    <t>10:31:51</t>
  </si>
  <si>
    <t>10:34:22</t>
  </si>
  <si>
    <t>10:34:42</t>
  </si>
  <si>
    <t>10:36:32</t>
  </si>
  <si>
    <t>10:47:04</t>
  </si>
  <si>
    <t>10:47:26</t>
  </si>
  <si>
    <t>10:49:01</t>
  </si>
  <si>
    <t>09:02</t>
  </si>
  <si>
    <t>8:05:25</t>
  </si>
  <si>
    <t>01:48</t>
  </si>
  <si>
    <t>8:07:13</t>
  </si>
  <si>
    <t>8:07:28</t>
  </si>
  <si>
    <t>8:14:02</t>
  </si>
  <si>
    <t>8:16:31</t>
  </si>
  <si>
    <t>8:16:43</t>
  </si>
  <si>
    <t>8:16:53</t>
  </si>
  <si>
    <t>8:17:58</t>
  </si>
  <si>
    <t>08:13</t>
  </si>
  <si>
    <t>8:26:11</t>
  </si>
  <si>
    <t>8:28:44</t>
  </si>
  <si>
    <t>8:28:54</t>
  </si>
  <si>
    <t>00:41</t>
  </si>
  <si>
    <t>8:29:56</t>
  </si>
  <si>
    <t>8:30:01</t>
  </si>
  <si>
    <t>8:37:39</t>
  </si>
  <si>
    <t>8:39:42</t>
  </si>
  <si>
    <t>8:40:02</t>
  </si>
  <si>
    <t>8:46:36</t>
  </si>
  <si>
    <t>8:49:36</t>
  </si>
  <si>
    <t>8:49:47</t>
  </si>
  <si>
    <t>8:50:52</t>
  </si>
  <si>
    <t>8:55:13</t>
  </si>
  <si>
    <t>8:58:00</t>
  </si>
  <si>
    <t>8:58:19</t>
  </si>
  <si>
    <t>8:59:56</t>
  </si>
  <si>
    <t>9:03:07</t>
  </si>
  <si>
    <t>9:06:09</t>
  </si>
  <si>
    <t>9:06:39</t>
  </si>
  <si>
    <t>9:12:40</t>
  </si>
  <si>
    <t>9:15:12</t>
  </si>
  <si>
    <t>9:15:22</t>
  </si>
  <si>
    <t>9:16:27</t>
  </si>
  <si>
    <t>03:18</t>
  </si>
  <si>
    <t>9:29:56</t>
  </si>
  <si>
    <t>9:30:06</t>
  </si>
  <si>
    <t>11:55</t>
  </si>
  <si>
    <t>9:42:01</t>
  </si>
  <si>
    <t>9:44:03</t>
  </si>
  <si>
    <t>9:44:23</t>
  </si>
  <si>
    <t>9:48:55</t>
  </si>
  <si>
    <t>9:51:28</t>
  </si>
  <si>
    <t>9:52:42</t>
  </si>
  <si>
    <t>9:56:03</t>
  </si>
  <si>
    <t>9:58:20</t>
  </si>
  <si>
    <t>9:58:30</t>
  </si>
  <si>
    <t>9:59:56</t>
  </si>
  <si>
    <t>10:46</t>
  </si>
  <si>
    <t>10:10:52</t>
  </si>
  <si>
    <t>10:13:54</t>
  </si>
  <si>
    <t>10:14:09</t>
  </si>
  <si>
    <t>09:42</t>
  </si>
  <si>
    <t>10:24:31</t>
  </si>
  <si>
    <t>10:27:54</t>
  </si>
  <si>
    <t>10:28:23</t>
  </si>
  <si>
    <t>10:33:08</t>
  </si>
  <si>
    <t>10:38:00</t>
  </si>
  <si>
    <t>05:00</t>
  </si>
  <si>
    <t>10:46:14</t>
  </si>
  <si>
    <t>10:46:33</t>
  </si>
  <si>
    <t>10:48:18</t>
  </si>
  <si>
    <t>8:07:05</t>
  </si>
  <si>
    <t>8:09:43</t>
  </si>
  <si>
    <t>8:19:47</t>
  </si>
  <si>
    <t>8:19:58</t>
  </si>
  <si>
    <t>8:20:18</t>
  </si>
  <si>
    <t>8:20:38</t>
  </si>
  <si>
    <t>8:32:05</t>
  </si>
  <si>
    <t>8:33:40</t>
  </si>
  <si>
    <t>8:44:27</t>
  </si>
  <si>
    <t>8:46:29</t>
  </si>
  <si>
    <t>8:46:41</t>
  </si>
  <si>
    <t>8:47:01</t>
  </si>
  <si>
    <t>8:48:36</t>
  </si>
  <si>
    <t>9:13:06</t>
  </si>
  <si>
    <t>9:13:16</t>
  </si>
  <si>
    <t>9:13:38</t>
  </si>
  <si>
    <t>10:08</t>
  </si>
  <si>
    <t>9:23:46</t>
  </si>
  <si>
    <t>9:27:09</t>
  </si>
  <si>
    <t>9:27:29</t>
  </si>
  <si>
    <t>9:34:34</t>
  </si>
  <si>
    <t>9:36:36</t>
  </si>
  <si>
    <t>9:43:38</t>
  </si>
  <si>
    <t>9:45:40</t>
  </si>
  <si>
    <t>02:06</t>
  </si>
  <si>
    <t>9:47:46</t>
  </si>
  <si>
    <t>9:59:14</t>
  </si>
  <si>
    <t>12:00</t>
  </si>
  <si>
    <t>10:14:37</t>
  </si>
  <si>
    <t>10:15:07</t>
  </si>
  <si>
    <t>10:14</t>
  </si>
  <si>
    <t>10:27:53</t>
  </si>
  <si>
    <t>10:28:13</t>
  </si>
  <si>
    <t>10:28:29</t>
  </si>
  <si>
    <t>10:35:56</t>
  </si>
  <si>
    <t>10:37:57</t>
  </si>
  <si>
    <t>10:40:17</t>
  </si>
  <si>
    <t>10:45:21</t>
  </si>
  <si>
    <t>10:48:44</t>
  </si>
  <si>
    <t>10:50:19</t>
  </si>
  <si>
    <t>07:45</t>
  </si>
  <si>
    <t>8:13:40</t>
  </si>
  <si>
    <t>8:16:27</t>
  </si>
  <si>
    <t>17:07</t>
  </si>
  <si>
    <t>8:34:14</t>
  </si>
  <si>
    <t>8:36:46</t>
  </si>
  <si>
    <t>8:36:56</t>
  </si>
  <si>
    <t>8:37:26</t>
  </si>
  <si>
    <t>8:43:54</t>
  </si>
  <si>
    <t>8:46:25</t>
  </si>
  <si>
    <t>8:46:35</t>
  </si>
  <si>
    <t>8:47:59</t>
  </si>
  <si>
    <t>09:44</t>
  </si>
  <si>
    <t>8:57:43</t>
  </si>
  <si>
    <t>9:00:30</t>
  </si>
  <si>
    <t>9:01:10</t>
  </si>
  <si>
    <t>9:12:03</t>
  </si>
  <si>
    <t>9:14:05</t>
  </si>
  <si>
    <t>9:16:11</t>
  </si>
  <si>
    <t>9:28:33</t>
  </si>
  <si>
    <t>9:28:53</t>
  </si>
  <si>
    <t>9:29:23</t>
  </si>
  <si>
    <t>9:35:13</t>
  </si>
  <si>
    <t>9:38:14</t>
  </si>
  <si>
    <t>9:46:49</t>
  </si>
  <si>
    <t>9:49:21</t>
  </si>
  <si>
    <t>9:49:51</t>
  </si>
  <si>
    <t>9:51:26</t>
  </si>
  <si>
    <t>9:57:52</t>
  </si>
  <si>
    <t>9:58:53</t>
  </si>
  <si>
    <t>10:07:16</t>
  </si>
  <si>
    <t>10:20:09</t>
  </si>
  <si>
    <t>10:23:10</t>
  </si>
  <si>
    <t>10:23:20</t>
  </si>
  <si>
    <t>10:23:40</t>
  </si>
  <si>
    <t>10:32:01</t>
  </si>
  <si>
    <t>10:35:02</t>
  </si>
  <si>
    <t>10:37:23</t>
  </si>
  <si>
    <t>10:48:14</t>
  </si>
  <si>
    <t>10:49:04</t>
  </si>
  <si>
    <t>10:51:09</t>
  </si>
  <si>
    <t>8:07:04</t>
  </si>
  <si>
    <t>8:09:07</t>
  </si>
  <si>
    <t>8:09:17</t>
  </si>
  <si>
    <t>8:09:47</t>
  </si>
  <si>
    <t>8:16:54</t>
  </si>
  <si>
    <t>8:19:26</t>
  </si>
  <si>
    <t>8:19:36</t>
  </si>
  <si>
    <t>8:20:51</t>
  </si>
  <si>
    <t>8:25:45</t>
  </si>
  <si>
    <t>8:28:17</t>
  </si>
  <si>
    <t>8:28:27</t>
  </si>
  <si>
    <t>8:28:37</t>
  </si>
  <si>
    <t>00:57</t>
  </si>
  <si>
    <t>8:29:54</t>
  </si>
  <si>
    <t>03:13</t>
  </si>
  <si>
    <t>8:33:17</t>
  </si>
  <si>
    <t>8:33:34</t>
  </si>
  <si>
    <t>8:35:04</t>
  </si>
  <si>
    <t>8:35:15</t>
  </si>
  <si>
    <t>07:30</t>
  </si>
  <si>
    <t>8:42:45</t>
  </si>
  <si>
    <t>8:45:18</t>
  </si>
  <si>
    <t>8:45:28</t>
  </si>
  <si>
    <t>8:46:33</t>
  </si>
  <si>
    <t>09:22</t>
  </si>
  <si>
    <t>8:55:55</t>
  </si>
  <si>
    <t>8:59:11</t>
  </si>
  <si>
    <t>03:12</t>
  </si>
  <si>
    <t>9:03:16</t>
  </si>
  <si>
    <t>9:04:48</t>
  </si>
  <si>
    <t>9:05:08</t>
  </si>
  <si>
    <t>9:05:18</t>
  </si>
  <si>
    <t>9:14:27</t>
  </si>
  <si>
    <t>9:16:58</t>
  </si>
  <si>
    <t>9:17:15</t>
  </si>
  <si>
    <t>06:49</t>
  </si>
  <si>
    <t>9:25:09</t>
  </si>
  <si>
    <t>9:27:56</t>
  </si>
  <si>
    <t>9:28:06</t>
  </si>
  <si>
    <t>9:28:18</t>
  </si>
  <si>
    <t>9:29:34</t>
  </si>
  <si>
    <t>9:29:54</t>
  </si>
  <si>
    <t>9:30:04</t>
  </si>
  <si>
    <t>09:52</t>
  </si>
  <si>
    <t>9:41:59</t>
  </si>
  <si>
    <t>9:42:09</t>
  </si>
  <si>
    <t>9:46:32</t>
  </si>
  <si>
    <t>9:49:14</t>
  </si>
  <si>
    <t>9:50:19</t>
  </si>
  <si>
    <t>9:53:51</t>
  </si>
  <si>
    <t>9:56:07</t>
  </si>
  <si>
    <t>9:56:19</t>
  </si>
  <si>
    <t>03:14</t>
  </si>
  <si>
    <t>10:08:17</t>
  </si>
  <si>
    <t>10:11:09</t>
  </si>
  <si>
    <t>10:11:24</t>
  </si>
  <si>
    <t>11:32</t>
  </si>
  <si>
    <t>10:22:56</t>
  </si>
  <si>
    <t>10:26:01</t>
  </si>
  <si>
    <t>10:34:06</t>
  </si>
  <si>
    <t>10:36:09</t>
  </si>
  <si>
    <t>10:38:28</t>
  </si>
  <si>
    <t>10:46:26</t>
  </si>
  <si>
    <t>10:49:28</t>
  </si>
  <si>
    <t>10:49:39</t>
  </si>
  <si>
    <t>10:49:49</t>
  </si>
  <si>
    <t>10:58:14</t>
  </si>
  <si>
    <t>10:59:14</t>
  </si>
  <si>
    <t>8:08:27</t>
  </si>
  <si>
    <t>8:11:29</t>
  </si>
  <si>
    <t>8:11:59</t>
  </si>
  <si>
    <t>8:19:22</t>
  </si>
  <si>
    <t>8:21:54</t>
  </si>
  <si>
    <t>8:22:04</t>
  </si>
  <si>
    <t>8:22:34</t>
  </si>
  <si>
    <t>8:22:44</t>
  </si>
  <si>
    <t>8:31:32</t>
  </si>
  <si>
    <t>8:34:05</t>
  </si>
  <si>
    <t>8:34:45</t>
  </si>
  <si>
    <t>8:36:20</t>
  </si>
  <si>
    <t>09:54</t>
  </si>
  <si>
    <t>8:59:03</t>
  </si>
  <si>
    <t>8:59:19</t>
  </si>
  <si>
    <t>9:08:49</t>
  </si>
  <si>
    <t>9:10:53</t>
  </si>
  <si>
    <t>9:11:23</t>
  </si>
  <si>
    <t>9:11:53</t>
  </si>
  <si>
    <t>9:20:03</t>
  </si>
  <si>
    <t>9:22:35</t>
  </si>
  <si>
    <t>9:23:35</t>
  </si>
  <si>
    <t>9:23:55</t>
  </si>
  <si>
    <t>9:24:05</t>
  </si>
  <si>
    <t>9:33:00</t>
  </si>
  <si>
    <t>9:36:52</t>
  </si>
  <si>
    <t>9:43:30</t>
  </si>
  <si>
    <t>9:47:38</t>
  </si>
  <si>
    <t>9:56:00</t>
  </si>
  <si>
    <t>9:58:32</t>
  </si>
  <si>
    <t>10:07:38</t>
  </si>
  <si>
    <t>10:10:10</t>
  </si>
  <si>
    <t>10:10:15</t>
  </si>
  <si>
    <t>10:19:39</t>
  </si>
  <si>
    <t>10:22:26</t>
  </si>
  <si>
    <t>10:22:46</t>
  </si>
  <si>
    <t>07:52</t>
  </si>
  <si>
    <t>10:30:38</t>
  </si>
  <si>
    <t>10:32:40</t>
  </si>
  <si>
    <t>10:35:01</t>
  </si>
  <si>
    <t>10:45:30</t>
  </si>
  <si>
    <t>10:48:32</t>
  </si>
  <si>
    <t>10:48:54</t>
  </si>
  <si>
    <t>10:50:29</t>
  </si>
  <si>
    <t>16:38</t>
  </si>
  <si>
    <t>8:16:38</t>
  </si>
  <si>
    <t>8:19:10</t>
  </si>
  <si>
    <t>8:19:21</t>
  </si>
  <si>
    <t>8:19:31</t>
  </si>
  <si>
    <t>8:19:41</t>
  </si>
  <si>
    <t>8:28:35</t>
  </si>
  <si>
    <t>8:31:06</t>
  </si>
  <si>
    <t>8:31:16</t>
  </si>
  <si>
    <t>8:31:27</t>
  </si>
  <si>
    <t>8:31:47</t>
  </si>
  <si>
    <t>8:31:59</t>
  </si>
  <si>
    <t>8:35:50</t>
  </si>
  <si>
    <t>8:38:20</t>
  </si>
  <si>
    <t>8:39:25</t>
  </si>
  <si>
    <t>8:39:36</t>
  </si>
  <si>
    <t>8:46:14</t>
  </si>
  <si>
    <t>8:48:46</t>
  </si>
  <si>
    <t>8:48:56</t>
  </si>
  <si>
    <t>8:57:18</t>
  </si>
  <si>
    <t>8:57:28</t>
  </si>
  <si>
    <t>8:57:48</t>
  </si>
  <si>
    <t>05:34</t>
  </si>
  <si>
    <t>9:05:39</t>
  </si>
  <si>
    <t>9:07:42</t>
  </si>
  <si>
    <t>9:08:02</t>
  </si>
  <si>
    <t>11:14</t>
  </si>
  <si>
    <t>9:19:16</t>
  </si>
  <si>
    <t>9:22:38</t>
  </si>
  <si>
    <t>12:59</t>
  </si>
  <si>
    <t>9:35:37</t>
  </si>
  <si>
    <t>9:37:09</t>
  </si>
  <si>
    <t>9:37:39</t>
  </si>
  <si>
    <t>9:38:44</t>
  </si>
  <si>
    <t>9:47:33</t>
  </si>
  <si>
    <t>9:47:54</t>
  </si>
  <si>
    <t>9:48:14</t>
  </si>
  <si>
    <t>10:05:30</t>
  </si>
  <si>
    <t>10:08:32</t>
  </si>
  <si>
    <t>10:08:47</t>
  </si>
  <si>
    <t>10:19:28</t>
  </si>
  <si>
    <t>10:22:29</t>
  </si>
  <si>
    <t>10:22:39</t>
  </si>
  <si>
    <t>10:23:04</t>
  </si>
  <si>
    <t>10:50</t>
  </si>
  <si>
    <t>10:33:54</t>
  </si>
  <si>
    <t>10:36:24</t>
  </si>
  <si>
    <t>10:38:44</t>
  </si>
  <si>
    <t>10:47:59</t>
  </si>
  <si>
    <t>10:51:02</t>
  </si>
  <si>
    <t>10:51:12</t>
  </si>
  <si>
    <t>10:51:17</t>
  </si>
  <si>
    <t>10:51:37</t>
  </si>
  <si>
    <t>10:53:42</t>
  </si>
  <si>
    <t>8:02:05</t>
  </si>
  <si>
    <t>8:05:07</t>
  </si>
  <si>
    <t>8:05:17</t>
  </si>
  <si>
    <t>8:05:27</t>
  </si>
  <si>
    <t>8:16:19</t>
  </si>
  <si>
    <t>8:16:29</t>
  </si>
  <si>
    <t>8:16:39</t>
  </si>
  <si>
    <t>8:17:04</t>
  </si>
  <si>
    <t>8:18:39</t>
  </si>
  <si>
    <t>8:26:01</t>
  </si>
  <si>
    <t>8:29:01</t>
  </si>
  <si>
    <t>8:29:11</t>
  </si>
  <si>
    <t>01:24</t>
  </si>
  <si>
    <t>8:41:29</t>
  </si>
  <si>
    <t>8:47:32</t>
  </si>
  <si>
    <t>8:50:04</t>
  </si>
  <si>
    <t>8:50:14</t>
  </si>
  <si>
    <t>8:51:49</t>
  </si>
  <si>
    <t>02:53</t>
  </si>
  <si>
    <t>8:54:42</t>
  </si>
  <si>
    <t>8:56:44</t>
  </si>
  <si>
    <t>17:20</t>
  </si>
  <si>
    <t>9:17:25</t>
  </si>
  <si>
    <t>9:19:05</t>
  </si>
  <si>
    <t>9:19:25</t>
  </si>
  <si>
    <t>9:19:36</t>
  </si>
  <si>
    <t>9:25:22</t>
  </si>
  <si>
    <t>9:27:23</t>
  </si>
  <si>
    <t>9:27:53</t>
  </si>
  <si>
    <t>9:28:09</t>
  </si>
  <si>
    <t>03:46</t>
  </si>
  <si>
    <t>9:31:55</t>
  </si>
  <si>
    <t>9:34:25</t>
  </si>
  <si>
    <t>9:34:30</t>
  </si>
  <si>
    <t>9:35:36</t>
  </si>
  <si>
    <t>05:06</t>
  </si>
  <si>
    <t>9:40:42</t>
  </si>
  <si>
    <t>9:43:13</t>
  </si>
  <si>
    <t>9:43:18</t>
  </si>
  <si>
    <t>9:44:53</t>
  </si>
  <si>
    <t>9:45:08</t>
  </si>
  <si>
    <t>9:54:49</t>
  </si>
  <si>
    <t>9:54:59</t>
  </si>
  <si>
    <t>9:55:20</t>
  </si>
  <si>
    <t>04:00</t>
  </si>
  <si>
    <t>9:59:20</t>
  </si>
  <si>
    <t>9:59:50</t>
  </si>
  <si>
    <t>15:47</t>
  </si>
  <si>
    <t>10:15:52</t>
  </si>
  <si>
    <t>10:18:24</t>
  </si>
  <si>
    <t>10:18:34</t>
  </si>
  <si>
    <t>10:26:15</t>
  </si>
  <si>
    <t>10:29:17</t>
  </si>
  <si>
    <t>10:29:27</t>
  </si>
  <si>
    <t>10:29:37</t>
  </si>
  <si>
    <t>10:29:53</t>
  </si>
  <si>
    <t>07:37</t>
  </si>
  <si>
    <t>10:37:30</t>
  </si>
  <si>
    <t>10:39:31</t>
  </si>
  <si>
    <t>10:41:52</t>
  </si>
  <si>
    <t>10:45:38</t>
  </si>
  <si>
    <t>02:42</t>
  </si>
  <si>
    <t>10:48:20</t>
  </si>
  <si>
    <t>10:50:06</t>
  </si>
  <si>
    <t>12:35</t>
  </si>
  <si>
    <t>02:52</t>
  </si>
  <si>
    <t>8:15:27</t>
  </si>
  <si>
    <t>8:15:37</t>
  </si>
  <si>
    <t>8:24:19</t>
  </si>
  <si>
    <t>8:26:51</t>
  </si>
  <si>
    <t>8:27:01</t>
  </si>
  <si>
    <t>8:27:11</t>
  </si>
  <si>
    <t>8:27:31</t>
  </si>
  <si>
    <t>8:27:41</t>
  </si>
  <si>
    <t>04:42</t>
  </si>
  <si>
    <t>8:34:53</t>
  </si>
  <si>
    <t>8:36:55</t>
  </si>
  <si>
    <t>8:46:08</t>
  </si>
  <si>
    <t>8:47:43</t>
  </si>
  <si>
    <t>09:23</t>
  </si>
  <si>
    <t>8:57:06</t>
  </si>
  <si>
    <t>8:59:06</t>
  </si>
  <si>
    <t>09:47</t>
  </si>
  <si>
    <t>9:09:52</t>
  </si>
  <si>
    <t>9:12:22</t>
  </si>
  <si>
    <t>9:12:44</t>
  </si>
  <si>
    <t>9:20:19</t>
  </si>
  <si>
    <t>9:23:52</t>
  </si>
  <si>
    <t>9:24:02</t>
  </si>
  <si>
    <t>9:24:22</t>
  </si>
  <si>
    <t>11:22</t>
  </si>
  <si>
    <t>9:38:15</t>
  </si>
  <si>
    <t>9:45:53</t>
  </si>
  <si>
    <t>9:47:55</t>
  </si>
  <si>
    <t>9:48:25</t>
  </si>
  <si>
    <t>9:49:30</t>
  </si>
  <si>
    <t>02:36</t>
  </si>
  <si>
    <t>10:02:41</t>
  </si>
  <si>
    <t>10:06:13</t>
  </si>
  <si>
    <t>10:06:53</t>
  </si>
  <si>
    <t>10:06:58</t>
  </si>
  <si>
    <t>10:12</t>
  </si>
  <si>
    <t>10:20:56</t>
  </si>
  <si>
    <t>10:21:06</t>
  </si>
  <si>
    <t>10:21:26</t>
  </si>
  <si>
    <t>10:21:31</t>
  </si>
  <si>
    <t>10:29:56</t>
  </si>
  <si>
    <t>10:31:57</t>
  </si>
  <si>
    <t>10:40:19</t>
  </si>
  <si>
    <t>10:44:40</t>
  </si>
  <si>
    <t>10:45:45</t>
  </si>
  <si>
    <t>12:19</t>
  </si>
  <si>
    <t>10:59:50</t>
  </si>
  <si>
    <t>8:08:39</t>
  </si>
  <si>
    <t>8:11:40</t>
  </si>
  <si>
    <t>8:11:50</t>
  </si>
  <si>
    <t>8:12:00</t>
  </si>
  <si>
    <t>8:18:08</t>
  </si>
  <si>
    <t>8:21:09</t>
  </si>
  <si>
    <t>8:21:19</t>
  </si>
  <si>
    <t>8:21:49</t>
  </si>
  <si>
    <t>8:21:59</t>
  </si>
  <si>
    <t>8:32:41</t>
  </si>
  <si>
    <t>8:35:14</t>
  </si>
  <si>
    <t>8:35:24</t>
  </si>
  <si>
    <t>8:36:29</t>
  </si>
  <si>
    <t>8:44:56</t>
  </si>
  <si>
    <t>8:46:58</t>
  </si>
  <si>
    <t>8:47:28</t>
  </si>
  <si>
    <t>8:48:34</t>
  </si>
  <si>
    <t>8:57:22</t>
  </si>
  <si>
    <t>9:10:34</t>
  </si>
  <si>
    <t>9:16:29</t>
  </si>
  <si>
    <t>9:19:01</t>
  </si>
  <si>
    <t>9:29:05</t>
  </si>
  <si>
    <t>09:24</t>
  </si>
  <si>
    <t>9:42:27</t>
  </si>
  <si>
    <t>9:42:37</t>
  </si>
  <si>
    <t>9:57:00</t>
  </si>
  <si>
    <t>10:03:32</t>
  </si>
  <si>
    <t>10:04:44</t>
  </si>
  <si>
    <t>10:04:54</t>
  </si>
  <si>
    <t>10:12:50</t>
  </si>
  <si>
    <t>10:15:22</t>
  </si>
  <si>
    <t>10:26:22</t>
  </si>
  <si>
    <t>10:26:32</t>
  </si>
  <si>
    <t>10:26:38</t>
  </si>
  <si>
    <t>10:26:58</t>
  </si>
  <si>
    <t>10:27:03</t>
  </si>
  <si>
    <t>10:28:53</t>
  </si>
  <si>
    <t>10:35:53</t>
  </si>
  <si>
    <t>10:38:35</t>
  </si>
  <si>
    <t>10:38:55</t>
  </si>
  <si>
    <t>10:39:07</t>
  </si>
  <si>
    <t>10:40:43</t>
  </si>
  <si>
    <t>08:31</t>
  </si>
  <si>
    <t>10:49:14</t>
  </si>
  <si>
    <t>10:49:26</t>
  </si>
  <si>
    <t>10:52:02</t>
  </si>
  <si>
    <t>10:59:19</t>
  </si>
  <si>
    <t>10:59:39</t>
  </si>
  <si>
    <t>01:39</t>
  </si>
  <si>
    <t>7:01:39</t>
  </si>
  <si>
    <t>7:04:42</t>
  </si>
  <si>
    <t>7:04:57</t>
  </si>
  <si>
    <t>7:05:27</t>
  </si>
  <si>
    <t>13:43</t>
  </si>
  <si>
    <t>7:19:10</t>
  </si>
  <si>
    <t>7:22:13</t>
  </si>
  <si>
    <t>7:22:24</t>
  </si>
  <si>
    <t>7:22:43</t>
  </si>
  <si>
    <t>7:23:14</t>
  </si>
  <si>
    <t>12:50</t>
  </si>
  <si>
    <t>7:36:04</t>
  </si>
  <si>
    <t>7:39:05</t>
  </si>
  <si>
    <t>7:39:15</t>
  </si>
  <si>
    <t>7:39:27</t>
  </si>
  <si>
    <t>13:14</t>
  </si>
  <si>
    <t>7:53:52</t>
  </si>
  <si>
    <t>7:55:24</t>
  </si>
  <si>
    <t>7:55:34</t>
  </si>
  <si>
    <t>7:55:44</t>
  </si>
  <si>
    <t>7:56:04</t>
  </si>
  <si>
    <t>7:57:14</t>
  </si>
  <si>
    <t>15:33</t>
  </si>
  <si>
    <t>8:15:38</t>
  </si>
  <si>
    <t>8:18:21</t>
  </si>
  <si>
    <t>8:18:31</t>
  </si>
  <si>
    <t>11:41</t>
  </si>
  <si>
    <t>8:30:22</t>
  </si>
  <si>
    <t>8:32:54</t>
  </si>
  <si>
    <t>8:33:04</t>
  </si>
  <si>
    <t>8:33:24</t>
  </si>
  <si>
    <t>8:41:06</t>
  </si>
  <si>
    <t>8:43:37</t>
  </si>
  <si>
    <t>8:44:42</t>
  </si>
  <si>
    <t>8:44:52</t>
  </si>
  <si>
    <t>8:49:57</t>
  </si>
  <si>
    <t>8:52:29</t>
  </si>
  <si>
    <t>8:53:01</t>
  </si>
  <si>
    <t>8:54:35</t>
  </si>
  <si>
    <t>05:17</t>
  </si>
  <si>
    <t>8:59:52</t>
  </si>
  <si>
    <t>9:01:23</t>
  </si>
  <si>
    <t>9:01:35</t>
  </si>
  <si>
    <t>9:01:55</t>
  </si>
  <si>
    <t>9:02:00</t>
  </si>
  <si>
    <t>9:02:05</t>
  </si>
  <si>
    <t>9:13:24</t>
  </si>
  <si>
    <t>9:16:07</t>
  </si>
  <si>
    <t>9:16:37</t>
  </si>
  <si>
    <t>9:23:45</t>
  </si>
  <si>
    <t>9:34:03</t>
  </si>
  <si>
    <t>9:36:05</t>
  </si>
  <si>
    <t>9:36:16</t>
  </si>
  <si>
    <t>9:36:46</t>
  </si>
  <si>
    <t>9:38:21</t>
  </si>
  <si>
    <t>9:43:54</t>
  </si>
  <si>
    <t>9:45:57</t>
  </si>
  <si>
    <t>9:46:07</t>
  </si>
  <si>
    <t>9:46:27</t>
  </si>
  <si>
    <t>9:48:01</t>
  </si>
  <si>
    <t>08:41</t>
  </si>
  <si>
    <t>10:08:35</t>
  </si>
  <si>
    <t>10:22:08</t>
  </si>
  <si>
    <t>10:22:25</t>
  </si>
  <si>
    <t>10:29:50</t>
  </si>
  <si>
    <t>10:32:42</t>
  </si>
  <si>
    <t>10:34:32</t>
  </si>
  <si>
    <t>10:49:35</t>
  </si>
  <si>
    <t>10:51:29</t>
  </si>
  <si>
    <t>06:36</t>
  </si>
  <si>
    <t>09:30</t>
  </si>
  <si>
    <t>8:11:02</t>
  </si>
  <si>
    <t>8:11:32</t>
  </si>
  <si>
    <t>8:11:42</t>
  </si>
  <si>
    <t>8:17:30</t>
  </si>
  <si>
    <t>8:25:58</t>
  </si>
  <si>
    <t>8:28:30</t>
  </si>
  <si>
    <t>8:28:46</t>
  </si>
  <si>
    <t>8:29:44</t>
  </si>
  <si>
    <t>03:50</t>
  </si>
  <si>
    <t>8:33:55</t>
  </si>
  <si>
    <t>8:35:27</t>
  </si>
  <si>
    <t>8:35:37</t>
  </si>
  <si>
    <t>8:35:47</t>
  </si>
  <si>
    <t>8:44:50</t>
  </si>
  <si>
    <t>8:47:20</t>
  </si>
  <si>
    <t>9:02:40</t>
  </si>
  <si>
    <t>9:04:12</t>
  </si>
  <si>
    <t>9:04:22</t>
  </si>
  <si>
    <t>9:04:52</t>
  </si>
  <si>
    <t>9:15:03</t>
  </si>
  <si>
    <t>9:15:13</t>
  </si>
  <si>
    <t>9:16:19</t>
  </si>
  <si>
    <t>9:29:02</t>
  </si>
  <si>
    <t>11:29</t>
  </si>
  <si>
    <t>9:41:34</t>
  </si>
  <si>
    <t>9:43:45</t>
  </si>
  <si>
    <t>9:43:55</t>
  </si>
  <si>
    <t>9:52:05</t>
  </si>
  <si>
    <t>9:53:25</t>
  </si>
  <si>
    <t>02:13</t>
  </si>
  <si>
    <t>9:55:38</t>
  </si>
  <si>
    <t>02:18</t>
  </si>
  <si>
    <t>9:57:56</t>
  </si>
  <si>
    <t>9:58:06</t>
  </si>
  <si>
    <t>01:28</t>
  </si>
  <si>
    <t>11:16</t>
  </si>
  <si>
    <t>10:14:21</t>
  </si>
  <si>
    <t>10:14:43</t>
  </si>
  <si>
    <t>10:14:48</t>
  </si>
  <si>
    <t>10:23:02</t>
  </si>
  <si>
    <t>10:25:35</t>
  </si>
  <si>
    <t>10:34:48</t>
  </si>
  <si>
    <t>10:37:18</t>
  </si>
  <si>
    <t>02:23</t>
  </si>
  <si>
    <t>10:39:41</t>
  </si>
  <si>
    <t>04:44</t>
  </si>
  <si>
    <t>10:44:25</t>
  </si>
  <si>
    <t>10:49:32</t>
  </si>
  <si>
    <t>8:05:50</t>
  </si>
  <si>
    <t>8:08:35</t>
  </si>
  <si>
    <t>8:18:10</t>
  </si>
  <si>
    <t>8:18:20</t>
  </si>
  <si>
    <t>8:18:50</t>
  </si>
  <si>
    <t>8:19:00</t>
  </si>
  <si>
    <t>8:30:14</t>
  </si>
  <si>
    <t>8:32:57</t>
  </si>
  <si>
    <t>8:44:41</t>
  </si>
  <si>
    <t>8:46:44</t>
  </si>
  <si>
    <t>8:46:54</t>
  </si>
  <si>
    <t>8:48:49</t>
  </si>
  <si>
    <t>09:43</t>
  </si>
  <si>
    <t>9:09:48</t>
  </si>
  <si>
    <t>9:12:50</t>
  </si>
  <si>
    <t>9:13:20</t>
  </si>
  <si>
    <t>08:58</t>
  </si>
  <si>
    <t>9:24:50</t>
  </si>
  <si>
    <t>9:25:30</t>
  </si>
  <si>
    <t>9:32:53</t>
  </si>
  <si>
    <t>9:36:03</t>
  </si>
  <si>
    <t>9:37:08</t>
  </si>
  <si>
    <t>9:46:41</t>
  </si>
  <si>
    <t>10:08:52</t>
  </si>
  <si>
    <t>10:11:39</t>
  </si>
  <si>
    <t>10:18:16</t>
  </si>
  <si>
    <t>10:20:48</t>
  </si>
  <si>
    <t>10:20:58</t>
  </si>
  <si>
    <t>10:21:18</t>
  </si>
  <si>
    <t>10:31:11</t>
  </si>
  <si>
    <t>10:33:11</t>
  </si>
  <si>
    <t>10:35:31</t>
  </si>
  <si>
    <t>10:45:20</t>
  </si>
  <si>
    <t>10:48:23</t>
  </si>
  <si>
    <t>10:48:33</t>
  </si>
  <si>
    <t>14:26</t>
  </si>
  <si>
    <t>8:17:37</t>
  </si>
  <si>
    <t>8:22:35</t>
  </si>
  <si>
    <t>8:25:17</t>
  </si>
  <si>
    <t>8:25:46</t>
  </si>
  <si>
    <t>8:25:57</t>
  </si>
  <si>
    <t>13:54</t>
  </si>
  <si>
    <t>8:42:22</t>
  </si>
  <si>
    <t>8:43:27</t>
  </si>
  <si>
    <t>04:07</t>
  </si>
  <si>
    <t>8:47:44</t>
  </si>
  <si>
    <t>8:50:45</t>
  </si>
  <si>
    <t>8:57:27</t>
  </si>
  <si>
    <t>8:58:24</t>
  </si>
  <si>
    <t>14:12</t>
  </si>
  <si>
    <t>9:14:16</t>
  </si>
  <si>
    <t>9:16:17</t>
  </si>
  <si>
    <t>9:16:47</t>
  </si>
  <si>
    <t>9:36:35</t>
  </si>
  <si>
    <t>9:36:55</t>
  </si>
  <si>
    <t>9:37:05</t>
  </si>
  <si>
    <t>9:46:40</t>
  </si>
  <si>
    <t>9:46:50</t>
  </si>
  <si>
    <t>9:55:55</t>
  </si>
  <si>
    <t>9:58:27</t>
  </si>
  <si>
    <t>9:58:57</t>
  </si>
  <si>
    <t>9:59:49</t>
  </si>
  <si>
    <t>10:02:52</t>
  </si>
  <si>
    <t>10:05:24</t>
  </si>
  <si>
    <t>10:05:39</t>
  </si>
  <si>
    <t>17:25</t>
  </si>
  <si>
    <t>10:25:36</t>
  </si>
  <si>
    <t>10:26:16</t>
  </si>
  <si>
    <t>10:47:09</t>
  </si>
  <si>
    <t>10:49:41</t>
  </si>
  <si>
    <t>10:49:52</t>
  </si>
  <si>
    <t>10:50:02</t>
  </si>
  <si>
    <t>10:52:07</t>
  </si>
  <si>
    <t>8:02:55</t>
  </si>
  <si>
    <t>8:05:37</t>
  </si>
  <si>
    <t>8:05:49</t>
  </si>
  <si>
    <t>8:14:22</t>
  </si>
  <si>
    <t>8:17:35</t>
  </si>
  <si>
    <t>8:17:46</t>
  </si>
  <si>
    <t>8:18:01</t>
  </si>
  <si>
    <t>8:19:35</t>
  </si>
  <si>
    <t>8:27:48</t>
  </si>
  <si>
    <t>8:29:49</t>
  </si>
  <si>
    <t>11:48</t>
  </si>
  <si>
    <t>8:42:53</t>
  </si>
  <si>
    <t>8:44:23</t>
  </si>
  <si>
    <t>8:48:52</t>
  </si>
  <si>
    <t>8:51:34</t>
  </si>
  <si>
    <t>8:53:08</t>
  </si>
  <si>
    <t>8:59:12</t>
  </si>
  <si>
    <t>8:59:45</t>
  </si>
  <si>
    <t>9:13:45</t>
  </si>
  <si>
    <t>9:15:36</t>
  </si>
  <si>
    <t>9:15:46</t>
  </si>
  <si>
    <t>10:21</t>
  </si>
  <si>
    <t>9:26:07</t>
  </si>
  <si>
    <t>9:28:08</t>
  </si>
  <si>
    <t>9:33:01</t>
  </si>
  <si>
    <t>9:36:42</t>
  </si>
  <si>
    <t>9:36:57</t>
  </si>
  <si>
    <t>9:46:39</t>
  </si>
  <si>
    <t>9:49:40</t>
  </si>
  <si>
    <t>9:50:00</t>
  </si>
  <si>
    <t>9:50:10</t>
  </si>
  <si>
    <t>9:50:15</t>
  </si>
  <si>
    <t>9:51:50</t>
  </si>
  <si>
    <t>02:57</t>
  </si>
  <si>
    <t>9:57:18</t>
  </si>
  <si>
    <t>10:09:27</t>
  </si>
  <si>
    <t>10:12:16</t>
  </si>
  <si>
    <t>10:22:01</t>
  </si>
  <si>
    <t>10:25:03</t>
  </si>
  <si>
    <t>10:25:13</t>
  </si>
  <si>
    <t>10:25:19</t>
  </si>
  <si>
    <t>10:25:38</t>
  </si>
  <si>
    <t>10:30:59</t>
  </si>
  <si>
    <t>10:32:59</t>
  </si>
  <si>
    <t>10:35:19</t>
  </si>
  <si>
    <t>10:47:15</t>
  </si>
  <si>
    <t>10:50:08</t>
  </si>
  <si>
    <t>13:35</t>
  </si>
  <si>
    <t>8:13:35</t>
  </si>
  <si>
    <t>8:16:06</t>
  </si>
  <si>
    <t>8:16:21</t>
  </si>
  <si>
    <t>8:16:36</t>
  </si>
  <si>
    <t>8:26:20</t>
  </si>
  <si>
    <t>8:29:12</t>
  </si>
  <si>
    <t>8:36:09</t>
  </si>
  <si>
    <t>8:38:55</t>
  </si>
  <si>
    <t>8:39:05</t>
  </si>
  <si>
    <t>8:40:40</t>
  </si>
  <si>
    <t>04:26</t>
  </si>
  <si>
    <t>8:45:06</t>
  </si>
  <si>
    <t>8:56:57</t>
  </si>
  <si>
    <t>14:13</t>
  </si>
  <si>
    <t>9:14:18</t>
  </si>
  <si>
    <t>03:06</t>
  </si>
  <si>
    <t>9:17:24</t>
  </si>
  <si>
    <t>9:28:32</t>
  </si>
  <si>
    <t>9:36:09</t>
  </si>
  <si>
    <t>9:38:39</t>
  </si>
  <si>
    <t>9:46:12</t>
  </si>
  <si>
    <t>9:48:15</t>
  </si>
  <si>
    <t>9:48:36</t>
  </si>
  <si>
    <t>9:48:45</t>
  </si>
  <si>
    <t>9:56:48</t>
  </si>
  <si>
    <t>04:41</t>
  </si>
  <si>
    <t>10:04:46</t>
  </si>
  <si>
    <t>03:34</t>
  </si>
  <si>
    <t>10:08:20</t>
  </si>
  <si>
    <t>10:20:20</t>
  </si>
  <si>
    <t>10:20:26</t>
  </si>
  <si>
    <t>10:20:46</t>
  </si>
  <si>
    <t>11:08</t>
  </si>
  <si>
    <t>10:34:05</t>
  </si>
  <si>
    <t>10:36:26</t>
  </si>
  <si>
    <t>10:44:45</t>
  </si>
  <si>
    <t>10:48:17</t>
  </si>
  <si>
    <t>10:48:28</t>
  </si>
  <si>
    <t>10:48:39</t>
  </si>
  <si>
    <t>10:48:48</t>
  </si>
  <si>
    <t>10:49:03</t>
  </si>
  <si>
    <t>NBC</t>
  </si>
  <si>
    <t>8:08:07</t>
  </si>
  <si>
    <t>8:10:37</t>
  </si>
  <si>
    <t>8:11:22</t>
  </si>
  <si>
    <t>11:04</t>
  </si>
  <si>
    <t>8:22:26</t>
  </si>
  <si>
    <t>8:25:41</t>
  </si>
  <si>
    <t>8:26:00</t>
  </si>
  <si>
    <t>8:32:55</t>
  </si>
  <si>
    <t>8:36:10</t>
  </si>
  <si>
    <t>8:36:25</t>
  </si>
  <si>
    <t>8:43:55</t>
  </si>
  <si>
    <t>8:46:10</t>
  </si>
  <si>
    <t>8:47:41</t>
  </si>
  <si>
    <t>8:47:56</t>
  </si>
  <si>
    <t>8:52:18</t>
  </si>
  <si>
    <t>8:55:18</t>
  </si>
  <si>
    <t>8:59:24</t>
  </si>
  <si>
    <t>9:08:33</t>
  </si>
  <si>
    <t>9:11:03</t>
  </si>
  <si>
    <t>9:11:18</t>
  </si>
  <si>
    <t>9:11:48</t>
  </si>
  <si>
    <t>9:22:47</t>
  </si>
  <si>
    <t>03:20</t>
  </si>
  <si>
    <t>9:26:22</t>
  </si>
  <si>
    <t>9:33:29</t>
  </si>
  <si>
    <t>9:33:44</t>
  </si>
  <si>
    <t>9:36:44</t>
  </si>
  <si>
    <t>9:36:59</t>
  </si>
  <si>
    <t>9:46:03</t>
  </si>
  <si>
    <t>9:46:18</t>
  </si>
  <si>
    <t>9:47:48</t>
  </si>
  <si>
    <t>9:47:58</t>
  </si>
  <si>
    <t>9:48:03</t>
  </si>
  <si>
    <t>04:14</t>
  </si>
  <si>
    <t>9:52:17</t>
  </si>
  <si>
    <t>9:55:17</t>
  </si>
  <si>
    <t>9:59:53</t>
  </si>
  <si>
    <t>04:20</t>
  </si>
  <si>
    <t>10:04:19</t>
  </si>
  <si>
    <t>10:06:49</t>
  </si>
  <si>
    <t>10:07:04</t>
  </si>
  <si>
    <t>10:17:30</t>
  </si>
  <si>
    <t>10:18:00</t>
  </si>
  <si>
    <t>10:27:08</t>
  </si>
  <si>
    <t>10:28:38</t>
  </si>
  <si>
    <t>10:28:43</t>
  </si>
  <si>
    <t>10:30:58</t>
  </si>
  <si>
    <t>10:31:13</t>
  </si>
  <si>
    <t>10:37:54</t>
  </si>
  <si>
    <t>10:40:54</t>
  </si>
  <si>
    <t>10:41:24</t>
  </si>
  <si>
    <t>10:46:19</t>
  </si>
  <si>
    <t>10:48:50</t>
  </si>
  <si>
    <t>10:49:05</t>
  </si>
  <si>
    <t>10:49:15</t>
  </si>
  <si>
    <t>10:49:20</t>
  </si>
  <si>
    <t>09:34</t>
  </si>
  <si>
    <t>10:58:54</t>
  </si>
  <si>
    <t>10:59:24</t>
  </si>
  <si>
    <t>10:59:30</t>
  </si>
  <si>
    <t>8:07:06</t>
  </si>
  <si>
    <t>8:10:07</t>
  </si>
  <si>
    <t>8:10:22</t>
  </si>
  <si>
    <t>07:34</t>
  </si>
  <si>
    <t>8:20:45</t>
  </si>
  <si>
    <t>8:21:00</t>
  </si>
  <si>
    <t>8:26:53</t>
  </si>
  <si>
    <t>8:26:58</t>
  </si>
  <si>
    <t>8:29:58</t>
  </si>
  <si>
    <t>8:30:28</t>
  </si>
  <si>
    <t>8:39:35</t>
  </si>
  <si>
    <t>8:41:05</t>
  </si>
  <si>
    <t>8:41:20</t>
  </si>
  <si>
    <t>8:43:05</t>
  </si>
  <si>
    <t>8:43:20</t>
  </si>
  <si>
    <t>8:52:35</t>
  </si>
  <si>
    <t>8:55:35</t>
  </si>
  <si>
    <t>8:56:05</t>
  </si>
  <si>
    <t>8:56:20</t>
  </si>
  <si>
    <t>9:02:47</t>
  </si>
  <si>
    <t>9:06:02</t>
  </si>
  <si>
    <t>9:15:23</t>
  </si>
  <si>
    <t>06:56</t>
  </si>
  <si>
    <t>9:38:02</t>
  </si>
  <si>
    <t>9:38:06</t>
  </si>
  <si>
    <t>9:39:36</t>
  </si>
  <si>
    <t>9:39:52</t>
  </si>
  <si>
    <t>9:47:14</t>
  </si>
  <si>
    <t>9:50:14</t>
  </si>
  <si>
    <t>9:50:30</t>
  </si>
  <si>
    <t>09:31</t>
  </si>
  <si>
    <t>10:08:42</t>
  </si>
  <si>
    <t>10:10:42</t>
  </si>
  <si>
    <t>10:10:57</t>
  </si>
  <si>
    <t>10:11:58</t>
  </si>
  <si>
    <t>06:07</t>
  </si>
  <si>
    <t>10:18:05</t>
  </si>
  <si>
    <t>10:20:51</t>
  </si>
  <si>
    <t>10:28:04</t>
  </si>
  <si>
    <t>10:29:04</t>
  </si>
  <si>
    <t>10:29:09</t>
  </si>
  <si>
    <t>10:31:54</t>
  </si>
  <si>
    <t>10:31:58</t>
  </si>
  <si>
    <t>10:38:24</t>
  </si>
  <si>
    <t>10:40:55</t>
  </si>
  <si>
    <t>10:41:10</t>
  </si>
  <si>
    <t>10:41:40</t>
  </si>
  <si>
    <t>07:40</t>
  </si>
  <si>
    <t>10:52:21</t>
  </si>
  <si>
    <t>10:59:26</t>
  </si>
  <si>
    <t>10:59:31</t>
  </si>
  <si>
    <t>8:11:31</t>
  </si>
  <si>
    <t>8:12:01</t>
  </si>
  <si>
    <t>8:19:42</t>
  </si>
  <si>
    <t>8:21:50</t>
  </si>
  <si>
    <t>8:30:20</t>
  </si>
  <si>
    <t>8:33:21</t>
  </si>
  <si>
    <t>8:33:36</t>
  </si>
  <si>
    <t>8:38:52</t>
  </si>
  <si>
    <t>8:42:37</t>
  </si>
  <si>
    <t>8:53:12</t>
  </si>
  <si>
    <t>8:53:27</t>
  </si>
  <si>
    <t>9:02:41</t>
  </si>
  <si>
    <t>17:16</t>
  </si>
  <si>
    <t>9:19:57</t>
  </si>
  <si>
    <t>9:23:58</t>
  </si>
  <si>
    <t>13:31</t>
  </si>
  <si>
    <t>9:37:29</t>
  </si>
  <si>
    <t>9:41:25</t>
  </si>
  <si>
    <t>10:40</t>
  </si>
  <si>
    <t>10:09:17</t>
  </si>
  <si>
    <t>10:33</t>
  </si>
  <si>
    <t>10:23:51</t>
  </si>
  <si>
    <t>13:58</t>
  </si>
  <si>
    <t>10:37:49</t>
  </si>
  <si>
    <t>10:49:29</t>
  </si>
  <si>
    <t>10:53:30</t>
  </si>
  <si>
    <t>10:59:00</t>
  </si>
  <si>
    <t>19:15</t>
  </si>
  <si>
    <t>7:19:15</t>
  </si>
  <si>
    <t>7:20:16</t>
  </si>
  <si>
    <t>7:20:31</t>
  </si>
  <si>
    <t>7:20:45</t>
  </si>
  <si>
    <t>7:22:20</t>
  </si>
  <si>
    <t>7:22:50</t>
  </si>
  <si>
    <t>7:34:07</t>
  </si>
  <si>
    <t>7:36:08</t>
  </si>
  <si>
    <t>7:36:38</t>
  </si>
  <si>
    <t>7:37:08</t>
  </si>
  <si>
    <t>7:37:38</t>
  </si>
  <si>
    <t>7:49:10</t>
  </si>
  <si>
    <t>7:49:39</t>
  </si>
  <si>
    <t>7:52:25</t>
  </si>
  <si>
    <t>7:52:40</t>
  </si>
  <si>
    <t>7:55:12</t>
  </si>
  <si>
    <t>7:56:57</t>
  </si>
  <si>
    <t>7:57:12</t>
  </si>
  <si>
    <t>7:57:42</t>
  </si>
  <si>
    <t>7:58:12</t>
  </si>
  <si>
    <t>7:58:27</t>
  </si>
  <si>
    <t>7:59:59</t>
  </si>
  <si>
    <t>13:38</t>
  </si>
  <si>
    <t>8:13:37</t>
  </si>
  <si>
    <t>8:17:08</t>
  </si>
  <si>
    <t>8:28:51</t>
  </si>
  <si>
    <t>8:28:56</t>
  </si>
  <si>
    <t>8:30:30</t>
  </si>
  <si>
    <t>8:30:45</t>
  </si>
  <si>
    <t>8:37:19</t>
  </si>
  <si>
    <t>8:40:20</t>
  </si>
  <si>
    <t>8:40:50</t>
  </si>
  <si>
    <t>8:47:37</t>
  </si>
  <si>
    <t>8:48:38</t>
  </si>
  <si>
    <t>8:49:08</t>
  </si>
  <si>
    <t>8:50:38</t>
  </si>
  <si>
    <t>8:50:53</t>
  </si>
  <si>
    <t>8:51:08</t>
  </si>
  <si>
    <t>8:56:07</t>
  </si>
  <si>
    <t>8:59:53</t>
  </si>
  <si>
    <t>9:05:46</t>
  </si>
  <si>
    <t>03:05</t>
  </si>
  <si>
    <t>9:08:51</t>
  </si>
  <si>
    <t>9:09:21</t>
  </si>
  <si>
    <t>9:17:58</t>
  </si>
  <si>
    <t>9:19:33</t>
  </si>
  <si>
    <t>9:19:47</t>
  </si>
  <si>
    <t>9:27:32</t>
  </si>
  <si>
    <t>9:30:32</t>
  </si>
  <si>
    <t>9:31:02</t>
  </si>
  <si>
    <t>14:41</t>
  </si>
  <si>
    <t>10:17:42</t>
  </si>
  <si>
    <t>10:17:57</t>
  </si>
  <si>
    <t>10:18:28</t>
  </si>
  <si>
    <t>05:07</t>
  </si>
  <si>
    <t>10:23:35</t>
  </si>
  <si>
    <t>10:26:36</t>
  </si>
  <si>
    <t>10:27:06</t>
  </si>
  <si>
    <t>10:31:35</t>
  </si>
  <si>
    <t>10:35:26</t>
  </si>
  <si>
    <t>10:43:57</t>
  </si>
  <si>
    <t>10:46:28</t>
  </si>
  <si>
    <t>10:46:43</t>
  </si>
  <si>
    <t>10:47:13</t>
  </si>
  <si>
    <t>10:54:12</t>
  </si>
  <si>
    <t>10:54:42</t>
  </si>
  <si>
    <t>10:54:57</t>
  </si>
  <si>
    <t>10:55:12</t>
  </si>
  <si>
    <t>10:55:27</t>
  </si>
  <si>
    <t>03:57</t>
  </si>
  <si>
    <t>10:59:54</t>
  </si>
  <si>
    <t>11:57</t>
  </si>
  <si>
    <t>8:11:57</t>
  </si>
  <si>
    <t>8:15:02</t>
  </si>
  <si>
    <t>8:15:32</t>
  </si>
  <si>
    <t>8:25:09</t>
  </si>
  <si>
    <t>8:26:39</t>
  </si>
  <si>
    <t>8:26:44</t>
  </si>
  <si>
    <t>8:28:18</t>
  </si>
  <si>
    <t>8:37:01</t>
  </si>
  <si>
    <t>8:37:31</t>
  </si>
  <si>
    <t>8:37:46</t>
  </si>
  <si>
    <t>8:44:29</t>
  </si>
  <si>
    <t>8:45:59</t>
  </si>
  <si>
    <t>8:46:04</t>
  </si>
  <si>
    <t>8:47:34</t>
  </si>
  <si>
    <t>8:47:49</t>
  </si>
  <si>
    <t>8:47:54</t>
  </si>
  <si>
    <t>05:01</t>
  </si>
  <si>
    <t>8:52:55</t>
  </si>
  <si>
    <t>8:56:10</t>
  </si>
  <si>
    <t>9:03:05</t>
  </si>
  <si>
    <t>9:06:05</t>
  </si>
  <si>
    <t>9:06:20</t>
  </si>
  <si>
    <t>9:06:35</t>
  </si>
  <si>
    <t>9:14:51</t>
  </si>
  <si>
    <t>9:16:50</t>
  </si>
  <si>
    <t>9:16:56</t>
  </si>
  <si>
    <t>9:18:30</t>
  </si>
  <si>
    <t>9:18:45</t>
  </si>
  <si>
    <t>9:27:59</t>
  </si>
  <si>
    <t>9:31:10</t>
  </si>
  <si>
    <t>9:31:15</t>
  </si>
  <si>
    <t>9:36:39</t>
  </si>
  <si>
    <t>9:40:14</t>
  </si>
  <si>
    <t>9:40:29</t>
  </si>
  <si>
    <t>9:50:49</t>
  </si>
  <si>
    <t>9:59:44</t>
  </si>
  <si>
    <t>12:46</t>
  </si>
  <si>
    <t>10:12:45</t>
  </si>
  <si>
    <t>10:15:19</t>
  </si>
  <si>
    <t>10:15:34</t>
  </si>
  <si>
    <t>10:16:05</t>
  </si>
  <si>
    <t>10:21:03</t>
  </si>
  <si>
    <t>10:23:33</t>
  </si>
  <si>
    <t>10:24:33</t>
  </si>
  <si>
    <t>10:29:59</t>
  </si>
  <si>
    <t>10:31:04</t>
  </si>
  <si>
    <t>10:33:58</t>
  </si>
  <si>
    <t>10:42:48</t>
  </si>
  <si>
    <t>10:51:19</t>
  </si>
  <si>
    <t>10:53:49</t>
  </si>
  <si>
    <t>10:54:04</t>
  </si>
  <si>
    <t>10:54:19</t>
  </si>
  <si>
    <t>04:35</t>
  </si>
  <si>
    <t>10:59:09</t>
  </si>
  <si>
    <t>8:09:23</t>
  </si>
  <si>
    <t>8:12:39</t>
  </si>
  <si>
    <t>8:12:54</t>
  </si>
  <si>
    <t>8:21:52</t>
  </si>
  <si>
    <t>8:23:22</t>
  </si>
  <si>
    <t>8:23:37</t>
  </si>
  <si>
    <t>8:25:11</t>
  </si>
  <si>
    <t>8:25:26</t>
  </si>
  <si>
    <t>8:33:25</t>
  </si>
  <si>
    <t>8:36:40</t>
  </si>
  <si>
    <t>8:44:43</t>
  </si>
  <si>
    <t>8:46:13</t>
  </si>
  <si>
    <t>8:46:28</t>
  </si>
  <si>
    <t>8:52:30</t>
  </si>
  <si>
    <t>8:55:31</t>
  </si>
  <si>
    <t>8:56:01</t>
  </si>
  <si>
    <t>03:22</t>
  </si>
  <si>
    <t>9:08:48</t>
  </si>
  <si>
    <t>11:35</t>
  </si>
  <si>
    <t>9:24:53</t>
  </si>
  <si>
    <t>9:25:08</t>
  </si>
  <si>
    <t>9:26:42</t>
  </si>
  <si>
    <t>9:26:57</t>
  </si>
  <si>
    <t>9:33:28</t>
  </si>
  <si>
    <t>9:33:41</t>
  </si>
  <si>
    <t>9:44:39</t>
  </si>
  <si>
    <t>9:46:44</t>
  </si>
  <si>
    <t>9:48:24</t>
  </si>
  <si>
    <t>9:52:23</t>
  </si>
  <si>
    <t>9:55:24</t>
  </si>
  <si>
    <t>9:55:54</t>
  </si>
  <si>
    <t>9:59:40</t>
  </si>
  <si>
    <t>10:06:09</t>
  </si>
  <si>
    <t>10:08:40</t>
  </si>
  <si>
    <t>10:20:02</t>
  </si>
  <si>
    <t>10:20:32</t>
  </si>
  <si>
    <t>10:28:30</t>
  </si>
  <si>
    <t>10:32:20</t>
  </si>
  <si>
    <t>10:32:34</t>
  </si>
  <si>
    <t>10:38:16</t>
  </si>
  <si>
    <t>10:41:31</t>
  </si>
  <si>
    <t>10:41:46</t>
  </si>
  <si>
    <t>06:15</t>
  </si>
  <si>
    <t>10:48:01</t>
  </si>
  <si>
    <t>10:51:27</t>
  </si>
  <si>
    <t>10:58:56</t>
  </si>
  <si>
    <t>8:12:46</t>
  </si>
  <si>
    <t>8:20:10</t>
  </si>
  <si>
    <t>8:21:40</t>
  </si>
  <si>
    <t>8:21:55</t>
  </si>
  <si>
    <t>8:22:59</t>
  </si>
  <si>
    <t>8:33:28</t>
  </si>
  <si>
    <t>8:33:58</t>
  </si>
  <si>
    <t>8:40:28</t>
  </si>
  <si>
    <t>8:42:13</t>
  </si>
  <si>
    <t>8:43:41</t>
  </si>
  <si>
    <t>8:51:19</t>
  </si>
  <si>
    <t>8:54:20</t>
  </si>
  <si>
    <t>8:55:05</t>
  </si>
  <si>
    <t>9:02:27</t>
  </si>
  <si>
    <t>9:05:28</t>
  </si>
  <si>
    <t>9:05:43</t>
  </si>
  <si>
    <t>06:22</t>
  </si>
  <si>
    <t>9:13:36</t>
  </si>
  <si>
    <t>9:15:24</t>
  </si>
  <si>
    <t>9:15:55</t>
  </si>
  <si>
    <t>9:22:06</t>
  </si>
  <si>
    <t>9:25:07</t>
  </si>
  <si>
    <t>9:33:25</t>
  </si>
  <si>
    <t>9:37:00</t>
  </si>
  <si>
    <t>9:37:12</t>
  </si>
  <si>
    <t>9:37:15</t>
  </si>
  <si>
    <t>9:45:22</t>
  </si>
  <si>
    <t>9:48:23</t>
  </si>
  <si>
    <t>9:48:38</t>
  </si>
  <si>
    <t>11:23</t>
  </si>
  <si>
    <t>10:07:43</t>
  </si>
  <si>
    <t>10:09:43</t>
  </si>
  <si>
    <t>10:09:58</t>
  </si>
  <si>
    <t>05:13</t>
  </si>
  <si>
    <t>10:16:12</t>
  </si>
  <si>
    <t>10:18:42</t>
  </si>
  <si>
    <t>10:18:57</t>
  </si>
  <si>
    <t>10:19:12</t>
  </si>
  <si>
    <t>10:27:58</t>
  </si>
  <si>
    <t>10:28:02</t>
  </si>
  <si>
    <t>10:30:47</t>
  </si>
  <si>
    <t>10:31:01</t>
  </si>
  <si>
    <t>10:37:29</t>
  </si>
  <si>
    <t>10:40:29</t>
  </si>
  <si>
    <t>10:41:00</t>
  </si>
  <si>
    <t>10:47:55</t>
  </si>
  <si>
    <t>10:50:25</t>
  </si>
  <si>
    <t>10:50:40</t>
  </si>
  <si>
    <t>10:50:56</t>
  </si>
  <si>
    <t>12:07</t>
  </si>
  <si>
    <t>8:12:07</t>
  </si>
  <si>
    <t>8:14:38</t>
  </si>
  <si>
    <t>10:19</t>
  </si>
  <si>
    <t>8:27:57</t>
  </si>
  <si>
    <t>8:37:28</t>
  </si>
  <si>
    <t>8:40:09</t>
  </si>
  <si>
    <t>8:40:14</t>
  </si>
  <si>
    <t>8:48:32</t>
  </si>
  <si>
    <t>8:50:32</t>
  </si>
  <si>
    <t>8:51:02</t>
  </si>
  <si>
    <t>8:58:56</t>
  </si>
  <si>
    <t>9:00:56</t>
  </si>
  <si>
    <t>9:01:11</t>
  </si>
  <si>
    <t>9:01:26</t>
  </si>
  <si>
    <t>9:10:19</t>
  </si>
  <si>
    <t>9:11:19</t>
  </si>
  <si>
    <t>9:11:24</t>
  </si>
  <si>
    <t>9:17:31</t>
  </si>
  <si>
    <t>9:20:02</t>
  </si>
  <si>
    <t>03:28</t>
  </si>
  <si>
    <t>9:24:01</t>
  </si>
  <si>
    <t>9:24:06</t>
  </si>
  <si>
    <t>9:26:12</t>
  </si>
  <si>
    <t>9:29:19</t>
  </si>
  <si>
    <t>9:31:19</t>
  </si>
  <si>
    <t>9:31:49</t>
  </si>
  <si>
    <t>9:38:00</t>
  </si>
  <si>
    <t>9:49:31</t>
  </si>
  <si>
    <t>9:49:46</t>
  </si>
  <si>
    <t>9:59:45</t>
  </si>
  <si>
    <t>10:01:52</t>
  </si>
  <si>
    <t>10:08:21</t>
  </si>
  <si>
    <t>10:18:18</t>
  </si>
  <si>
    <t>10:25:22</t>
  </si>
  <si>
    <t>10:27:22</t>
  </si>
  <si>
    <t>10:27:37</t>
  </si>
  <si>
    <t>10:31:56</t>
  </si>
  <si>
    <t>10:34:43</t>
  </si>
  <si>
    <t>10:39:37</t>
  </si>
  <si>
    <t>10:39:52</t>
  </si>
  <si>
    <t>10:47:57</t>
  </si>
  <si>
    <t>11:03</t>
  </si>
  <si>
    <t>16:24</t>
  </si>
  <si>
    <t>7:16:24</t>
  </si>
  <si>
    <t>7:17:54</t>
  </si>
  <si>
    <t>7:18:09</t>
  </si>
  <si>
    <t>7:19:43</t>
  </si>
  <si>
    <t>7:20:28</t>
  </si>
  <si>
    <t>10:22</t>
  </si>
  <si>
    <t>7:30:50</t>
  </si>
  <si>
    <t>7:33:20</t>
  </si>
  <si>
    <t>7:33:35</t>
  </si>
  <si>
    <t>7:34:05</t>
  </si>
  <si>
    <t>7:48:08</t>
  </si>
  <si>
    <t>7:49:23</t>
  </si>
  <si>
    <t>7:49:28</t>
  </si>
  <si>
    <t>7:51:28</t>
  </si>
  <si>
    <t>7:51:43</t>
  </si>
  <si>
    <t>7:54:13</t>
  </si>
  <si>
    <t>7:57:43</t>
  </si>
  <si>
    <t>7:57:58</t>
  </si>
  <si>
    <t>8:13:20</t>
  </si>
  <si>
    <t>8:20:46</t>
  </si>
  <si>
    <t>8:22:51</t>
  </si>
  <si>
    <t>8:24:25</t>
  </si>
  <si>
    <t>8:24:40</t>
  </si>
  <si>
    <t>8:34:00</t>
  </si>
  <si>
    <t>8:34:30</t>
  </si>
  <si>
    <t>8:43:15</t>
  </si>
  <si>
    <t>8:43:45</t>
  </si>
  <si>
    <t>8:45:45</t>
  </si>
  <si>
    <t>8:54:00</t>
  </si>
  <si>
    <t>8:58:01</t>
  </si>
  <si>
    <t>9:07:00</t>
  </si>
  <si>
    <t>9:10:01</t>
  </si>
  <si>
    <t>9:10:31</t>
  </si>
  <si>
    <t>9:10:46</t>
  </si>
  <si>
    <t>9:18:43</t>
  </si>
  <si>
    <t>9:20:14</t>
  </si>
  <si>
    <t>9:22:33</t>
  </si>
  <si>
    <t>9:29:04</t>
  </si>
  <si>
    <t>9:32:34</t>
  </si>
  <si>
    <t>9:33:05</t>
  </si>
  <si>
    <t>9:41:36</t>
  </si>
  <si>
    <t>9:41:40</t>
  </si>
  <si>
    <t>9:43:11</t>
  </si>
  <si>
    <t>9:43:36</t>
  </si>
  <si>
    <t>9:49:41</t>
  </si>
  <si>
    <t>9:50:12</t>
  </si>
  <si>
    <t>9:53:12</t>
  </si>
  <si>
    <t>9:59:00</t>
  </si>
  <si>
    <t>10:11:47</t>
  </si>
  <si>
    <t>10:12:02</t>
  </si>
  <si>
    <t>10:21:40</t>
  </si>
  <si>
    <t>10:24:40</t>
  </si>
  <si>
    <t>10:24:55</t>
  </si>
  <si>
    <t>10:25:10</t>
  </si>
  <si>
    <t>10:25:15</t>
  </si>
  <si>
    <t>07:53</t>
  </si>
  <si>
    <t>10:34:13</t>
  </si>
  <si>
    <t>10:36:58</t>
  </si>
  <si>
    <t>10:37:12</t>
  </si>
  <si>
    <t>05:20</t>
  </si>
  <si>
    <t>10:42:32</t>
  </si>
  <si>
    <t>10:52:42</t>
  </si>
  <si>
    <t>10:52:57</t>
  </si>
  <si>
    <t>8:09:27</t>
  </si>
  <si>
    <t>8:11:58</t>
  </si>
  <si>
    <t>8:12:28</t>
  </si>
  <si>
    <t>8:22:10</t>
  </si>
  <si>
    <t>8:25:19</t>
  </si>
  <si>
    <t>8:25:49</t>
  </si>
  <si>
    <t>8:34:01</t>
  </si>
  <si>
    <t>8:37:16</t>
  </si>
  <si>
    <t>8:47:24</t>
  </si>
  <si>
    <t>8:48:59</t>
  </si>
  <si>
    <t>8:50:30</t>
  </si>
  <si>
    <t>05:52</t>
  </si>
  <si>
    <t>8:56:36</t>
  </si>
  <si>
    <t>8:57:52</t>
  </si>
  <si>
    <t>8:59:36</t>
  </si>
  <si>
    <t>8:59:51</t>
  </si>
  <si>
    <t>9:08:46</t>
  </si>
  <si>
    <t>9:18:58</t>
  </si>
  <si>
    <t>9:20:59</t>
  </si>
  <si>
    <t>9:21:03</t>
  </si>
  <si>
    <t>9:22:53</t>
  </si>
  <si>
    <t>9:31:16</t>
  </si>
  <si>
    <t>9:31:21</t>
  </si>
  <si>
    <t>9:40:56</t>
  </si>
  <si>
    <t>9:42:30</t>
  </si>
  <si>
    <t>9:49:19</t>
  </si>
  <si>
    <t>9:52:50</t>
  </si>
  <si>
    <t>9:59:38</t>
  </si>
  <si>
    <t>12:16</t>
  </si>
  <si>
    <t>10:14:46</t>
  </si>
  <si>
    <t>10:20:30</t>
  </si>
  <si>
    <t>10:23:30</t>
  </si>
  <si>
    <t>10:24:00</t>
  </si>
  <si>
    <t>10:30:06</t>
  </si>
  <si>
    <t>10:33:56</t>
  </si>
  <si>
    <t>10:34:10</t>
  </si>
  <si>
    <t>10:42:07</t>
  </si>
  <si>
    <t>10:45:37</t>
  </si>
  <si>
    <t>10:53:10</t>
  </si>
  <si>
    <t>10:53:25</t>
  </si>
  <si>
    <t>10:53:40</t>
  </si>
  <si>
    <t>8:08:14</t>
  </si>
  <si>
    <t>8:11:15</t>
  </si>
  <si>
    <t>8:11:45</t>
  </si>
  <si>
    <t>8:23:52</t>
  </si>
  <si>
    <t>8:24:07</t>
  </si>
  <si>
    <t>8:31:41</t>
  </si>
  <si>
    <t>8:31:56</t>
  </si>
  <si>
    <t>8:34:41</t>
  </si>
  <si>
    <t>8:44:11</t>
  </si>
  <si>
    <t>8:45:51</t>
  </si>
  <si>
    <t>8:53:52</t>
  </si>
  <si>
    <t>8:56:52</t>
  </si>
  <si>
    <t>8:57:07</t>
  </si>
  <si>
    <t>9:04:38</t>
  </si>
  <si>
    <t>9:07:38</t>
  </si>
  <si>
    <t>9:07:53</t>
  </si>
  <si>
    <t>9:17:33</t>
  </si>
  <si>
    <t>9:17:48</t>
  </si>
  <si>
    <t>9:19:22</t>
  </si>
  <si>
    <t>9:19:27</t>
  </si>
  <si>
    <t>9:29:49</t>
  </si>
  <si>
    <t>9:30:19</t>
  </si>
  <si>
    <t>9:39:15</t>
  </si>
  <si>
    <t>9:41:05</t>
  </si>
  <si>
    <t>9:48:47</t>
  </si>
  <si>
    <t>9:52:02</t>
  </si>
  <si>
    <t>10:43</t>
  </si>
  <si>
    <t>10:13:43</t>
  </si>
  <si>
    <t>10:13:58</t>
  </si>
  <si>
    <t>10:20:45</t>
  </si>
  <si>
    <t>10:29:06</t>
  </si>
  <si>
    <t>10:30:11</t>
  </si>
  <si>
    <t>10:32:56</t>
  </si>
  <si>
    <t>10:33:00</t>
  </si>
  <si>
    <t>10:33:10</t>
  </si>
  <si>
    <t>10:42:26</t>
  </si>
  <si>
    <t>10:45:27</t>
  </si>
  <si>
    <t>10:50:52</t>
  </si>
  <si>
    <t>10:53:07</t>
  </si>
  <si>
    <t>10:53:37</t>
  </si>
  <si>
    <t>8:07:59</t>
  </si>
  <si>
    <t>8:10:58</t>
  </si>
  <si>
    <t>8:18:19</t>
  </si>
  <si>
    <t>8:19:50</t>
  </si>
  <si>
    <t>8:19:55</t>
  </si>
  <si>
    <t>8:21:44</t>
  </si>
  <si>
    <t>8:29:24</t>
  </si>
  <si>
    <t>8:31:53</t>
  </si>
  <si>
    <t>8:32:24</t>
  </si>
  <si>
    <t>8:40:15</t>
  </si>
  <si>
    <t>8:41:00</t>
  </si>
  <si>
    <t>02:50</t>
  </si>
  <si>
    <t>05:56</t>
  </si>
  <si>
    <t>8:50:01</t>
  </si>
  <si>
    <t>8:53:02</t>
  </si>
  <si>
    <t>9:01:36</t>
  </si>
  <si>
    <t>9:04:07</t>
  </si>
  <si>
    <t>9:14:29</t>
  </si>
  <si>
    <t>9:15:29</t>
  </si>
  <si>
    <t>9:17:09</t>
  </si>
  <si>
    <t>9:17:14</t>
  </si>
  <si>
    <t>9:26:02</t>
  </si>
  <si>
    <t>9:29:03</t>
  </si>
  <si>
    <t>9:33:11</t>
  </si>
  <si>
    <t>9:35:11</t>
  </si>
  <si>
    <t>9:45:55</t>
  </si>
  <si>
    <t>9:46:00</t>
  </si>
  <si>
    <t>9:47:36</t>
  </si>
  <si>
    <t>9:56:32</t>
  </si>
  <si>
    <t>9:58:47</t>
  </si>
  <si>
    <t>10:09:15</t>
  </si>
  <si>
    <t>10:12:32</t>
  </si>
  <si>
    <t>10:13:03</t>
  </si>
  <si>
    <t>10:18:01</t>
  </si>
  <si>
    <t>10:21:02</t>
  </si>
  <si>
    <t>10:21:16</t>
  </si>
  <si>
    <t>10:27:18</t>
  </si>
  <si>
    <t>10:27:33</t>
  </si>
  <si>
    <t>10:29:48</t>
  </si>
  <si>
    <t>10:30:02</t>
  </si>
  <si>
    <t>10:37:00</t>
  </si>
  <si>
    <t>10:40:32</t>
  </si>
  <si>
    <t>10:50:54</t>
  </si>
  <si>
    <t>10:53:27</t>
  </si>
  <si>
    <t>10:53:57</t>
  </si>
  <si>
    <t>11:12</t>
  </si>
  <si>
    <t>8:11:12</t>
  </si>
  <si>
    <t>8:13:43</t>
  </si>
  <si>
    <t>8:14:13</t>
  </si>
  <si>
    <t>8:24:22</t>
  </si>
  <si>
    <t>8:24:27</t>
  </si>
  <si>
    <t>8:26:31</t>
  </si>
  <si>
    <t>8:33:30</t>
  </si>
  <si>
    <t>8:36:05</t>
  </si>
  <si>
    <t>8:36:35</t>
  </si>
  <si>
    <t>8:37:05</t>
  </si>
  <si>
    <t>07:18</t>
  </si>
  <si>
    <t>8:47:29</t>
  </si>
  <si>
    <t>8:54:25</t>
  </si>
  <si>
    <t>8:57:25</t>
  </si>
  <si>
    <t>8:57:40</t>
  </si>
  <si>
    <t>9:08:09</t>
  </si>
  <si>
    <t>9:20:31</t>
  </si>
  <si>
    <t>9:20:36</t>
  </si>
  <si>
    <t>9:22:10</t>
  </si>
  <si>
    <t>9:22:25</t>
  </si>
  <si>
    <t>9:28:57</t>
  </si>
  <si>
    <t>9:31:57</t>
  </si>
  <si>
    <t>9:32:12</t>
  </si>
  <si>
    <t>9:32:18</t>
  </si>
  <si>
    <t>9:39:26</t>
  </si>
  <si>
    <t>9:41:27</t>
  </si>
  <si>
    <t>9:41:32</t>
  </si>
  <si>
    <t>9:43:02</t>
  </si>
  <si>
    <t>9:49:10</t>
  </si>
  <si>
    <t>9:50:41</t>
  </si>
  <si>
    <t>01:14</t>
  </si>
  <si>
    <t>9:52:10</t>
  </si>
  <si>
    <t>9:52:26</t>
  </si>
  <si>
    <t>9:52:41</t>
  </si>
  <si>
    <t>10:12:23</t>
  </si>
  <si>
    <t>10:14:53</t>
  </si>
  <si>
    <t>10:15:08</t>
  </si>
  <si>
    <t>10:15:39</t>
  </si>
  <si>
    <t>10:20:40</t>
  </si>
  <si>
    <t>10:24:10</t>
  </si>
  <si>
    <t>10:30:27</t>
  </si>
  <si>
    <t>10:30:32</t>
  </si>
  <si>
    <t>10:33:17</t>
  </si>
  <si>
    <t>10:33:26</t>
  </si>
  <si>
    <t>10:33:31</t>
  </si>
  <si>
    <t>10:45:55</t>
  </si>
  <si>
    <t>10:46:10</t>
  </si>
  <si>
    <t>10:46:25</t>
  </si>
  <si>
    <t>10:51:26</t>
  </si>
  <si>
    <t>10:53:56</t>
  </si>
  <si>
    <t>8:13:01</t>
  </si>
  <si>
    <t>8:18:46</t>
  </si>
  <si>
    <t>8:20:21</t>
  </si>
  <si>
    <t>8:21:57</t>
  </si>
  <si>
    <t>10:05</t>
  </si>
  <si>
    <t>8:32:17</t>
  </si>
  <si>
    <t>8:40:29</t>
  </si>
  <si>
    <t>8:42:00</t>
  </si>
  <si>
    <t>8:42:05</t>
  </si>
  <si>
    <t>04:39</t>
  </si>
  <si>
    <t>8:48:31</t>
  </si>
  <si>
    <t>8:51:36</t>
  </si>
  <si>
    <t>8:51:51</t>
  </si>
  <si>
    <t>9:07:41</t>
  </si>
  <si>
    <t>9:08:11</t>
  </si>
  <si>
    <t>9:11:21</t>
  </si>
  <si>
    <t>9:11:37</t>
  </si>
  <si>
    <t>9:15:42</t>
  </si>
  <si>
    <t>9:18:42</t>
  </si>
  <si>
    <t>9:19:12</t>
  </si>
  <si>
    <t>9:24:28</t>
  </si>
  <si>
    <t>9:26:28</t>
  </si>
  <si>
    <t>9:26:33</t>
  </si>
  <si>
    <t>9:28:05</t>
  </si>
  <si>
    <t>26:11</t>
  </si>
  <si>
    <t>9:57:32</t>
  </si>
  <si>
    <t>9:58:02</t>
  </si>
  <si>
    <t>01:20</t>
  </si>
  <si>
    <t>9:59:52</t>
  </si>
  <si>
    <t>10:07:39</t>
  </si>
  <si>
    <t>10:07:54</t>
  </si>
  <si>
    <t>10:08:26</t>
  </si>
  <si>
    <t>10:15:02</t>
  </si>
  <si>
    <t>10:15:12</t>
  </si>
  <si>
    <t>10:17:55</t>
  </si>
  <si>
    <t>10:18:55</t>
  </si>
  <si>
    <t>10:19:00</t>
  </si>
  <si>
    <t>10:21:47</t>
  </si>
  <si>
    <t>10:25:25</t>
  </si>
  <si>
    <t>10:27:55</t>
  </si>
  <si>
    <t>10:28:26</t>
  </si>
  <si>
    <t>26:10</t>
  </si>
  <si>
    <t>10:54:36</t>
  </si>
  <si>
    <t>10:57:22</t>
  </si>
  <si>
    <t>10:57:31</t>
  </si>
  <si>
    <t>01:21</t>
  </si>
  <si>
    <t>10:58:52</t>
  </si>
  <si>
    <t>09:28</t>
  </si>
  <si>
    <t>8:09:28</t>
  </si>
  <si>
    <t>8:12:58</t>
  </si>
  <si>
    <t>8:20:00</t>
  </si>
  <si>
    <t>8:21:30</t>
  </si>
  <si>
    <t>8:21:45</t>
  </si>
  <si>
    <t>8:23:19</t>
  </si>
  <si>
    <t>8:23:34</t>
  </si>
  <si>
    <t>8:30:49</t>
  </si>
  <si>
    <t>8:31:04</t>
  </si>
  <si>
    <t>8:34:04</t>
  </si>
  <si>
    <t>8:34:34</t>
  </si>
  <si>
    <t>05:58</t>
  </si>
  <si>
    <t>8:40:32</t>
  </si>
  <si>
    <t>8:42:32</t>
  </si>
  <si>
    <t>8:44:07</t>
  </si>
  <si>
    <t>8:44:22</t>
  </si>
  <si>
    <t>8:52:20</t>
  </si>
  <si>
    <t>9:02:18</t>
  </si>
  <si>
    <t>9:14:39</t>
  </si>
  <si>
    <t>9:15:40</t>
  </si>
  <si>
    <t>9:15:45</t>
  </si>
  <si>
    <t>9:17:19</t>
  </si>
  <si>
    <t>9:25:11</t>
  </si>
  <si>
    <t>9:28:11</t>
  </si>
  <si>
    <t>01:49</t>
  </si>
  <si>
    <t>9:34:53</t>
  </si>
  <si>
    <t>9:35:23</t>
  </si>
  <si>
    <t>9:42:53</t>
  </si>
  <si>
    <t>9:44:58</t>
  </si>
  <si>
    <t>9:46:29</t>
  </si>
  <si>
    <t>9:46:34</t>
  </si>
  <si>
    <t>9:55:56</t>
  </si>
  <si>
    <t>9:58:11</t>
  </si>
  <si>
    <t>9:58:26</t>
  </si>
  <si>
    <t>10:10:50</t>
  </si>
  <si>
    <t>09:01</t>
  </si>
  <si>
    <t>10:20:22</t>
  </si>
  <si>
    <t>10:23:39</t>
  </si>
  <si>
    <t>10:23:54</t>
  </si>
  <si>
    <t>10:31:38</t>
  </si>
  <si>
    <t>10:32:39</t>
  </si>
  <si>
    <t>10:32:44</t>
  </si>
  <si>
    <t>10:35:00</t>
  </si>
  <si>
    <t>10:35:09</t>
  </si>
  <si>
    <t>10:35:14</t>
  </si>
  <si>
    <t>10:40:38</t>
  </si>
  <si>
    <t>10:43:08</t>
  </si>
  <si>
    <t>10:43:38</t>
  </si>
  <si>
    <t>10:43:43</t>
  </si>
  <si>
    <t>10:49:24</t>
  </si>
  <si>
    <t>10:52:39</t>
  </si>
  <si>
    <t>10:58:53</t>
  </si>
  <si>
    <t>8:13:50</t>
  </si>
  <si>
    <t>8:22:49</t>
  </si>
  <si>
    <t>8:26:08</t>
  </si>
  <si>
    <t>8:26:23</t>
  </si>
  <si>
    <t>8:38:15</t>
  </si>
  <si>
    <t>8:38:31</t>
  </si>
  <si>
    <t>04:27</t>
  </si>
  <si>
    <t>8:52:23</t>
  </si>
  <si>
    <t>9:08:47</t>
  </si>
  <si>
    <t>9:11:17</t>
  </si>
  <si>
    <t>9:11:47</t>
  </si>
  <si>
    <t>9:22:32</t>
  </si>
  <si>
    <t>9:24:17</t>
  </si>
  <si>
    <t>9:26:06</t>
  </si>
  <si>
    <t>9:33:14</t>
  </si>
  <si>
    <t>9:36:13</t>
  </si>
  <si>
    <t>9:43:56</t>
  </si>
  <si>
    <t>9:44:26</t>
  </si>
  <si>
    <t>9:44:41</t>
  </si>
  <si>
    <t>9:55:44</t>
  </si>
  <si>
    <t>03:09</t>
  </si>
  <si>
    <t>10:07:40</t>
  </si>
  <si>
    <t>10:10:11</t>
  </si>
  <si>
    <t>10:10:26</t>
  </si>
  <si>
    <t>10:21:25</t>
  </si>
  <si>
    <t>10:21:55</t>
  </si>
  <si>
    <t>10:30:34</t>
  </si>
  <si>
    <t>10:30:39</t>
  </si>
  <si>
    <t>10:32:54</t>
  </si>
  <si>
    <t>10:37:35</t>
  </si>
  <si>
    <t>10:40:37</t>
  </si>
  <si>
    <t>10:41:07</t>
  </si>
  <si>
    <t>10:47:44</t>
  </si>
  <si>
    <t>10:50:16</t>
  </si>
  <si>
    <t>10:50:31</t>
  </si>
  <si>
    <t>10:50:46</t>
  </si>
  <si>
    <t>8:08:51</t>
  </si>
  <si>
    <t>8:20:31</t>
  </si>
  <si>
    <t>8:21:35</t>
  </si>
  <si>
    <t>8:33:01</t>
  </si>
  <si>
    <t>8:33:31</t>
  </si>
  <si>
    <t>8:42:06</t>
  </si>
  <si>
    <t>8:45:22</t>
  </si>
  <si>
    <t>8:45:52</t>
  </si>
  <si>
    <t>8:52:43</t>
  </si>
  <si>
    <t>8:54:13</t>
  </si>
  <si>
    <t>8:56:13</t>
  </si>
  <si>
    <t>8:56:28</t>
  </si>
  <si>
    <t>9:07:27</t>
  </si>
  <si>
    <t>9:14:35</t>
  </si>
  <si>
    <t>9:16:05</t>
  </si>
  <si>
    <t>9:17:54</t>
  </si>
  <si>
    <t>9:18:24</t>
  </si>
  <si>
    <t>9:26:18</t>
  </si>
  <si>
    <t>9:29:18</t>
  </si>
  <si>
    <t>9:29:33</t>
  </si>
  <si>
    <t>9:36:28</t>
  </si>
  <si>
    <t>9:38:28</t>
  </si>
  <si>
    <t>9:38:33</t>
  </si>
  <si>
    <t>9:40:03</t>
  </si>
  <si>
    <t>9:40:18</t>
  </si>
  <si>
    <t>9:48:22</t>
  </si>
  <si>
    <t>9:51:37</t>
  </si>
  <si>
    <t>10:07:07</t>
  </si>
  <si>
    <t>10:09:08</t>
  </si>
  <si>
    <t>10:09:23</t>
  </si>
  <si>
    <t>10:10:25</t>
  </si>
  <si>
    <t>10:16:26</t>
  </si>
  <si>
    <t>10:19:27</t>
  </si>
  <si>
    <t>10:19:32</t>
  </si>
  <si>
    <t>10:25:09</t>
  </si>
  <si>
    <t>10:26:09</t>
  </si>
  <si>
    <t>10:26:14</t>
  </si>
  <si>
    <t>10:28:59</t>
  </si>
  <si>
    <t>10:38:48</t>
  </si>
  <si>
    <t>10:39:03</t>
  </si>
  <si>
    <t>10:39:33</t>
  </si>
  <si>
    <t>10:48:53</t>
  </si>
  <si>
    <t>10:51:24</t>
  </si>
  <si>
    <t>10:51:39</t>
  </si>
  <si>
    <t>10:51:49</t>
  </si>
  <si>
    <t>10:51:59</t>
  </si>
  <si>
    <t>8:07:53</t>
  </si>
  <si>
    <t>8:10:53</t>
  </si>
  <si>
    <t>8:19:38</t>
  </si>
  <si>
    <t>8:29:07</t>
  </si>
  <si>
    <t>8:32:22</t>
  </si>
  <si>
    <t>8:40:21</t>
  </si>
  <si>
    <t>8:41:36</t>
  </si>
  <si>
    <t>8:43:36</t>
  </si>
  <si>
    <t>8:43:51</t>
  </si>
  <si>
    <t>8:49:48</t>
  </si>
  <si>
    <t>8:52:48</t>
  </si>
  <si>
    <t>8:53:18</t>
  </si>
  <si>
    <t>8:59:25</t>
  </si>
  <si>
    <t>9:06:19</t>
  </si>
  <si>
    <t>9:08:19</t>
  </si>
  <si>
    <t>9:15:05</t>
  </si>
  <si>
    <t>9:16:10</t>
  </si>
  <si>
    <t>9:25:42</t>
  </si>
  <si>
    <t>9:28:12</t>
  </si>
  <si>
    <t>9:28:42</t>
  </si>
  <si>
    <t>9:36:08</t>
  </si>
  <si>
    <t>9:38:23</t>
  </si>
  <si>
    <t>9:46:22</t>
  </si>
  <si>
    <t>9:48:52</t>
  </si>
  <si>
    <t>9:49:27</t>
  </si>
  <si>
    <t>9:57:08</t>
  </si>
  <si>
    <t>9:58:10</t>
  </si>
  <si>
    <t>10:06:48</t>
  </si>
  <si>
    <t>10:08:48</t>
  </si>
  <si>
    <t>10:09:18</t>
  </si>
  <si>
    <t>10:09:33</t>
  </si>
  <si>
    <t>10:17:37</t>
  </si>
  <si>
    <t>02:44</t>
  </si>
  <si>
    <t>10:26:21</t>
  </si>
  <si>
    <t>10:29:22</t>
  </si>
  <si>
    <t>10:29:52</t>
  </si>
  <si>
    <t>10:37:17</t>
  </si>
  <si>
    <t>10:39:48</t>
  </si>
  <si>
    <t>10:40:33</t>
  </si>
  <si>
    <t>10:47:08</t>
  </si>
  <si>
    <t>10:49:37</t>
  </si>
  <si>
    <t>10:49:53</t>
  </si>
  <si>
    <t>10:50:23</t>
  </si>
  <si>
    <t>10:59:25</t>
  </si>
  <si>
    <t>14:04</t>
  </si>
  <si>
    <t>7:14:04</t>
  </si>
  <si>
    <t>7:15:34</t>
  </si>
  <si>
    <t>7:15:49</t>
  </si>
  <si>
    <t>7:16:19</t>
  </si>
  <si>
    <t>7:28:15</t>
  </si>
  <si>
    <t>7:29:30</t>
  </si>
  <si>
    <t>7:29:45</t>
  </si>
  <si>
    <t>7:31:19</t>
  </si>
  <si>
    <t>7:31:49</t>
  </si>
  <si>
    <t>7:43:07</t>
  </si>
  <si>
    <t>7:45:37</t>
  </si>
  <si>
    <t>OTHER</t>
  </si>
  <si>
    <t>7:45:52</t>
  </si>
  <si>
    <t>7:46:22</t>
  </si>
  <si>
    <t>7:50:35</t>
  </si>
  <si>
    <t>7:52:05</t>
  </si>
  <si>
    <t>7:52:10</t>
  </si>
  <si>
    <t>7:54:10</t>
  </si>
  <si>
    <t>7:54:15</t>
  </si>
  <si>
    <t>01:53</t>
  </si>
  <si>
    <t>7:56:08</t>
  </si>
  <si>
    <t>7:58:38</t>
  </si>
  <si>
    <t>7:58:53</t>
  </si>
  <si>
    <t>8:07:27</t>
  </si>
  <si>
    <t>8:10:28</t>
  </si>
  <si>
    <t>8:23:06</t>
  </si>
  <si>
    <t>8:24:45</t>
  </si>
  <si>
    <t>8:32:27</t>
  </si>
  <si>
    <t>8:35:42</t>
  </si>
  <si>
    <t>8:45:29</t>
  </si>
  <si>
    <t>8:52:38</t>
  </si>
  <si>
    <t>8:55:38</t>
  </si>
  <si>
    <t>8:55:53</t>
  </si>
  <si>
    <t>8:59:22</t>
  </si>
  <si>
    <t>9:09:26</t>
  </si>
  <si>
    <t>9:12:27</t>
  </si>
  <si>
    <t>9:12:57</t>
  </si>
  <si>
    <t>9:23:32</t>
  </si>
  <si>
    <t>9:23:37</t>
  </si>
  <si>
    <t>9:25:56</t>
  </si>
  <si>
    <t>9:26:11</t>
  </si>
  <si>
    <t>9:34:23</t>
  </si>
  <si>
    <t>9:37:38</t>
  </si>
  <si>
    <t>9:37:43</t>
  </si>
  <si>
    <t>9:47:21</t>
  </si>
  <si>
    <t>9:48:51</t>
  </si>
  <si>
    <t>9:50:26</t>
  </si>
  <si>
    <t>9:56:24</t>
  </si>
  <si>
    <t>10:08:50</t>
  </si>
  <si>
    <t>10:11:50</t>
  </si>
  <si>
    <t>10:12:22</t>
  </si>
  <si>
    <t>10:19:04</t>
  </si>
  <si>
    <t>10:22:05</t>
  </si>
  <si>
    <t>10:22:34</t>
  </si>
  <si>
    <t>10:27:57</t>
  </si>
  <si>
    <t>10:28:57</t>
  </si>
  <si>
    <t>10:29:02</t>
  </si>
  <si>
    <t>10:31:48</t>
  </si>
  <si>
    <t>10:31:52</t>
  </si>
  <si>
    <t>10:39:16</t>
  </si>
  <si>
    <t>10:42:16</t>
  </si>
  <si>
    <t>10:42:47</t>
  </si>
  <si>
    <t>10:52:35</t>
  </si>
  <si>
    <t>11:00</t>
  </si>
  <si>
    <t>8:11:00</t>
  </si>
  <si>
    <t>8:14:00</t>
  </si>
  <si>
    <t>8:14:16</t>
  </si>
  <si>
    <t>8:14:31</t>
  </si>
  <si>
    <t>8:23:41</t>
  </si>
  <si>
    <t>8:25:15</t>
  </si>
  <si>
    <t>8:32:04</t>
  </si>
  <si>
    <t>8:34:35</t>
  </si>
  <si>
    <t>8:44:33</t>
  </si>
  <si>
    <t>8:46:03</t>
  </si>
  <si>
    <t>8:46:09</t>
  </si>
  <si>
    <t>8:47:39</t>
  </si>
  <si>
    <t>8:47:53</t>
  </si>
  <si>
    <t>06:24</t>
  </si>
  <si>
    <t>8:54:17</t>
  </si>
  <si>
    <t>8:57:33</t>
  </si>
  <si>
    <t>9:07:58</t>
  </si>
  <si>
    <t>9:14:40</t>
  </si>
  <si>
    <t>9:18:35</t>
  </si>
  <si>
    <t>9:25:21</t>
  </si>
  <si>
    <t>9:28:37</t>
  </si>
  <si>
    <t>9:39:48</t>
  </si>
  <si>
    <t>9:41:19</t>
  </si>
  <si>
    <t>9:50:04</t>
  </si>
  <si>
    <t>12:11</t>
  </si>
  <si>
    <t>10:14:42</t>
  </si>
  <si>
    <t>10:14:57</t>
  </si>
  <si>
    <t>10:15:28</t>
  </si>
  <si>
    <t>10:21:20</t>
  </si>
  <si>
    <t>10:22:50</t>
  </si>
  <si>
    <t>10:23:05</t>
  </si>
  <si>
    <t>10:24:51</t>
  </si>
  <si>
    <t>10:30:52</t>
  </si>
  <si>
    <t>10:33:37</t>
  </si>
  <si>
    <t>10:33:46</t>
  </si>
  <si>
    <t>10:41:58</t>
  </si>
  <si>
    <t>10:43:28</t>
  </si>
  <si>
    <t>10:45:28</t>
  </si>
  <si>
    <t>10:53:00</t>
  </si>
  <si>
    <t>10:53:15</t>
  </si>
  <si>
    <t>8:09:14</t>
  </si>
  <si>
    <t>8:12:15</t>
  </si>
  <si>
    <t>8:12:45</t>
  </si>
  <si>
    <t>8:19:56</t>
  </si>
  <si>
    <t>8:30:08</t>
  </si>
  <si>
    <t>8:32:39</t>
  </si>
  <si>
    <t>8:33:08</t>
  </si>
  <si>
    <t>8:40:48</t>
  </si>
  <si>
    <t>8:41:03</t>
  </si>
  <si>
    <t>8:42:33</t>
  </si>
  <si>
    <t>8:52:06</t>
  </si>
  <si>
    <t>8:52:36</t>
  </si>
  <si>
    <t>9:02:06</t>
  </si>
  <si>
    <t>9:05:06</t>
  </si>
  <si>
    <t>9:05:22</t>
  </si>
  <si>
    <t>9:14:17</t>
  </si>
  <si>
    <t>9:16:18</t>
  </si>
  <si>
    <t>9:16:22</t>
  </si>
  <si>
    <t>9:17:56</t>
  </si>
  <si>
    <t>9:18:11</t>
  </si>
  <si>
    <t>9:29:58</t>
  </si>
  <si>
    <t>9:37:36</t>
  </si>
  <si>
    <t>9:52:36</t>
  </si>
  <si>
    <t>10:13:46</t>
  </si>
  <si>
    <t>10:14:01</t>
  </si>
  <si>
    <t>10:14:32</t>
  </si>
  <si>
    <t>10:21:04</t>
  </si>
  <si>
    <t>10:24:04</t>
  </si>
  <si>
    <t>10:30:21</t>
  </si>
  <si>
    <t>10:30:26</t>
  </si>
  <si>
    <t>10:33:20</t>
  </si>
  <si>
    <t>10:33:25</t>
  </si>
  <si>
    <t>10:42:10</t>
  </si>
  <si>
    <t>10:53:09</t>
  </si>
  <si>
    <t>10:53:24</t>
  </si>
  <si>
    <t>10:53:39</t>
  </si>
  <si>
    <t>10:53:54</t>
  </si>
  <si>
    <t>8:09:02</t>
  </si>
  <si>
    <t>8:12:02</t>
  </si>
  <si>
    <t>8:12:17</t>
  </si>
  <si>
    <t>8:12:32</t>
  </si>
  <si>
    <t>8:32:03</t>
  </si>
  <si>
    <t>8:32:33</t>
  </si>
  <si>
    <t>8:39:27</t>
  </si>
  <si>
    <t>8:41:27</t>
  </si>
  <si>
    <t>8:41:32</t>
  </si>
  <si>
    <t>8:43:02</t>
  </si>
  <si>
    <t>8:43:17</t>
  </si>
  <si>
    <t>8:49:37</t>
  </si>
  <si>
    <t>8:52:37</t>
  </si>
  <si>
    <t>8:52:52</t>
  </si>
  <si>
    <t>9:04:21</t>
  </si>
  <si>
    <t>9:06:51</t>
  </si>
  <si>
    <t>9:07:21</t>
  </si>
  <si>
    <t>9:16:26</t>
  </si>
  <si>
    <t>9:16:31</t>
  </si>
  <si>
    <t>9:18:05</t>
  </si>
  <si>
    <t>9:26:17</t>
  </si>
  <si>
    <t>9:32:15</t>
  </si>
  <si>
    <t>9:34:15</t>
  </si>
  <si>
    <t>9:35:00</t>
  </si>
  <si>
    <t>10:55</t>
  </si>
  <si>
    <t>9:49:37</t>
  </si>
  <si>
    <t>9:58:00</t>
  </si>
  <si>
    <t>10:09:02</t>
  </si>
  <si>
    <t>10:12:03</t>
  </si>
  <si>
    <t>10:12:18</t>
  </si>
  <si>
    <t>10:22:36</t>
  </si>
  <si>
    <t>10:31:03</t>
  </si>
  <si>
    <t>10:32:03</t>
  </si>
  <si>
    <t>10:32:08</t>
  </si>
  <si>
    <t>10:34:36</t>
  </si>
  <si>
    <t>10:42:09</t>
  </si>
  <si>
    <t>10:45:40</t>
  </si>
  <si>
    <t>10:52:55</t>
  </si>
  <si>
    <t>8:07:49</t>
  </si>
  <si>
    <t>8:18:05</t>
  </si>
  <si>
    <t>8:21:25</t>
  </si>
  <si>
    <t>8:27:44</t>
  </si>
  <si>
    <t>8:27:59</t>
  </si>
  <si>
    <t>8:31:15</t>
  </si>
  <si>
    <t>8:38:04</t>
  </si>
  <si>
    <t>8:40:04</t>
  </si>
  <si>
    <t>8:40:08</t>
  </si>
  <si>
    <t>8:41:39</t>
  </si>
  <si>
    <t>8:41:54</t>
  </si>
  <si>
    <t>8:47:40</t>
  </si>
  <si>
    <t>9:08:07</t>
  </si>
  <si>
    <t>9:10:37</t>
  </si>
  <si>
    <t>9:11:07</t>
  </si>
  <si>
    <t>11:50</t>
  </si>
  <si>
    <t>9:22:57</t>
  </si>
  <si>
    <t>9:26:32</t>
  </si>
  <si>
    <t>9:33:55</t>
  </si>
  <si>
    <t>9:37:10</t>
  </si>
  <si>
    <t>9:37:25</t>
  </si>
  <si>
    <t>9:45:39</t>
  </si>
  <si>
    <t>9:47:40</t>
  </si>
  <si>
    <t>9:47:43</t>
  </si>
  <si>
    <t>9:49:29</t>
  </si>
  <si>
    <t>9:52:45</t>
  </si>
  <si>
    <t>9:56:02</t>
  </si>
  <si>
    <t>9:56:17</t>
  </si>
  <si>
    <t>10:09:47</t>
  </si>
  <si>
    <t>10:12:33</t>
  </si>
  <si>
    <t>10:18:31</t>
  </si>
  <si>
    <t>10:22:02</t>
  </si>
  <si>
    <t>10:31:34</t>
  </si>
  <si>
    <t>10:31:39</t>
  </si>
  <si>
    <t>10:33:53</t>
  </si>
  <si>
    <t>10:43:39</t>
  </si>
  <si>
    <t>10:43:54</t>
  </si>
  <si>
    <t>10:44:09</t>
  </si>
  <si>
    <t>10:53:28</t>
  </si>
  <si>
    <t>10:53:44</t>
  </si>
  <si>
    <t>10:58:55</t>
  </si>
  <si>
    <t>8:12:30</t>
  </si>
  <si>
    <t>8:29:08</t>
  </si>
  <si>
    <t>8:29:23</t>
  </si>
  <si>
    <t>8:39:08</t>
  </si>
  <si>
    <t>8:40:38</t>
  </si>
  <si>
    <t>8:40:53</t>
  </si>
  <si>
    <t>8:42:24</t>
  </si>
  <si>
    <t>8:51:56</t>
  </si>
  <si>
    <t>8:52:41</t>
  </si>
  <si>
    <t>9:02:19</t>
  </si>
  <si>
    <t>9:05:19</t>
  </si>
  <si>
    <t>9:05:34</t>
  </si>
  <si>
    <t>9:14:30</t>
  </si>
  <si>
    <t>9:17:49</t>
  </si>
  <si>
    <t>9:27:05</t>
  </si>
  <si>
    <t>9:30:21</t>
  </si>
  <si>
    <t>9:39:29</t>
  </si>
  <si>
    <t>9:39:34</t>
  </si>
  <si>
    <t>9:41:04</t>
  </si>
  <si>
    <t>10:07:00</t>
  </si>
  <si>
    <t>10:09:03</t>
  </si>
  <si>
    <t>10:10:17</t>
  </si>
  <si>
    <t>10:15:46</t>
  </si>
  <si>
    <t>10:25:24</t>
  </si>
  <si>
    <t>10:26:25</t>
  </si>
  <si>
    <t>10:26:30</t>
  </si>
  <si>
    <t>10:29:16</t>
  </si>
  <si>
    <t>10:29:19</t>
  </si>
  <si>
    <t>10:38:19</t>
  </si>
  <si>
    <t>10:38:29</t>
  </si>
  <si>
    <t>10:38:39</t>
  </si>
  <si>
    <t>10:38:54</t>
  </si>
  <si>
    <t>10:51:01</t>
  </si>
  <si>
    <t>10:51:22</t>
  </si>
  <si>
    <t>10:51:51</t>
  </si>
  <si>
    <t>FOX</t>
  </si>
  <si>
    <t>8:04:34</t>
  </si>
  <si>
    <t>8:07:24</t>
  </si>
  <si>
    <t>13:20</t>
  </si>
  <si>
    <t>8:20:44</t>
  </si>
  <si>
    <t>8:24:26</t>
  </si>
  <si>
    <t>14:55</t>
  </si>
  <si>
    <t>8:39:21</t>
  </si>
  <si>
    <t>8:42:42</t>
  </si>
  <si>
    <t>8:50:29</t>
  </si>
  <si>
    <t>8:58:11</t>
  </si>
  <si>
    <t>9:11:16</t>
  </si>
  <si>
    <t>9:13:47</t>
  </si>
  <si>
    <t>9:14:07</t>
  </si>
  <si>
    <t>9:22:04</t>
  </si>
  <si>
    <t>9:23:50</t>
  </si>
  <si>
    <t>9:35:40</t>
  </si>
  <si>
    <t>9:35:50</t>
  </si>
  <si>
    <t>9:40:13</t>
  </si>
  <si>
    <t>9:42:13</t>
  </si>
  <si>
    <t>9:42:28</t>
  </si>
  <si>
    <t>9:43:59</t>
  </si>
  <si>
    <t>9:53:33</t>
  </si>
  <si>
    <t>9:53:48</t>
  </si>
  <si>
    <t>9:54:29</t>
  </si>
  <si>
    <t>8:12:22</t>
  </si>
  <si>
    <t>07:10</t>
  </si>
  <si>
    <t>8:19:51</t>
  </si>
  <si>
    <t>8:22:02</t>
  </si>
  <si>
    <t>8:34:54</t>
  </si>
  <si>
    <t>8:47:16</t>
  </si>
  <si>
    <t>9:10:56</t>
  </si>
  <si>
    <t>9:11:11</t>
  </si>
  <si>
    <t>9:16:23</t>
  </si>
  <si>
    <t>9:18:09</t>
  </si>
  <si>
    <t>9:32:30</t>
  </si>
  <si>
    <t>9:40:07</t>
  </si>
  <si>
    <t>9:41:37</t>
  </si>
  <si>
    <t>9:48:59</t>
  </si>
  <si>
    <t>9:57:21</t>
  </si>
  <si>
    <t>9:58:23</t>
  </si>
  <si>
    <t>01:37</t>
  </si>
  <si>
    <t>8:08:12</t>
  </si>
  <si>
    <t>8:08:17</t>
  </si>
  <si>
    <t>8:09:35</t>
  </si>
  <si>
    <t>8:09:55</t>
  </si>
  <si>
    <t>8:14:28</t>
  </si>
  <si>
    <t>8:24:56</t>
  </si>
  <si>
    <t>8:26:42</t>
  </si>
  <si>
    <t>17:10</t>
  </si>
  <si>
    <t>8:45:53</t>
  </si>
  <si>
    <t>8:52:05</t>
  </si>
  <si>
    <t>9:01:33</t>
  </si>
  <si>
    <t>9:03:41</t>
  </si>
  <si>
    <t>9:09:13</t>
  </si>
  <si>
    <t>9:10:59</t>
  </si>
  <si>
    <t>9:11:29</t>
  </si>
  <si>
    <t>9:20:24</t>
  </si>
  <si>
    <t>9:30:53</t>
  </si>
  <si>
    <t>9:33:08</t>
  </si>
  <si>
    <t>9:45:15</t>
  </si>
  <si>
    <t>9:47:16</t>
  </si>
  <si>
    <t>9:53:04</t>
  </si>
  <si>
    <t>9:55:05</t>
  </si>
  <si>
    <t>7:07:44</t>
  </si>
  <si>
    <t>7:09:45</t>
  </si>
  <si>
    <t>7:10:05</t>
  </si>
  <si>
    <t>13:00</t>
  </si>
  <si>
    <t>7:23:05</t>
  </si>
  <si>
    <t>7:25:05</t>
  </si>
  <si>
    <t>7:25:15</t>
  </si>
  <si>
    <t>7:26:16</t>
  </si>
  <si>
    <t>50:36</t>
  </si>
  <si>
    <t>8:18:33</t>
  </si>
  <si>
    <t>8:28:03</t>
  </si>
  <si>
    <t>8:48:12</t>
  </si>
  <si>
    <t>8:50:13</t>
  </si>
  <si>
    <t>8:50:43</t>
  </si>
  <si>
    <t>9:01:54</t>
  </si>
  <si>
    <t>9:10:02</t>
  </si>
  <si>
    <t>9:15:34</t>
  </si>
  <si>
    <t>9:17:05</t>
  </si>
  <si>
    <t>9:17:20</t>
  </si>
  <si>
    <t>01:43</t>
  </si>
  <si>
    <t>9:19:03</t>
  </si>
  <si>
    <t>9:25:38</t>
  </si>
  <si>
    <t>9:27:38</t>
  </si>
  <si>
    <t>9:27:58</t>
  </si>
  <si>
    <t>9:28:19</t>
  </si>
  <si>
    <t>9:28:39</t>
  </si>
  <si>
    <t>9:33:15</t>
  </si>
  <si>
    <t>9:33:45</t>
  </si>
  <si>
    <t>9:33:57</t>
  </si>
  <si>
    <t>9:42:03</t>
  </si>
  <si>
    <t>9:44:04</t>
  </si>
  <si>
    <t>9:51:43</t>
  </si>
  <si>
    <t>9:53:43</t>
  </si>
  <si>
    <t>8:10:25</t>
  </si>
  <si>
    <t>09:17</t>
  </si>
  <si>
    <t>8:21:43</t>
  </si>
  <si>
    <t>8:23:29</t>
  </si>
  <si>
    <t>8:32:36</t>
  </si>
  <si>
    <t>8:32:56</t>
  </si>
  <si>
    <t>8:38:17</t>
  </si>
  <si>
    <t>8:40:03</t>
  </si>
  <si>
    <t>8:42:23</t>
  </si>
  <si>
    <t>8:48:21</t>
  </si>
  <si>
    <t>8:50:22</t>
  </si>
  <si>
    <t>8:50:42</t>
  </si>
  <si>
    <t>8:51:14</t>
  </si>
  <si>
    <t>8:51:29</t>
  </si>
  <si>
    <t>9:00:58</t>
  </si>
  <si>
    <t>9:10:32</t>
  </si>
  <si>
    <t>9:13:03</t>
  </si>
  <si>
    <t>06:21</t>
  </si>
  <si>
    <t>9:19:24</t>
  </si>
  <si>
    <t>9:20:54</t>
  </si>
  <si>
    <t>9:21:09</t>
  </si>
  <si>
    <t>9:30:10</t>
  </si>
  <si>
    <t>9:40:52</t>
  </si>
  <si>
    <t>9:44:24</t>
  </si>
  <si>
    <t>9:52:01</t>
  </si>
  <si>
    <t>9:54:02</t>
  </si>
  <si>
    <t>9:54:17</t>
  </si>
  <si>
    <t>12:10</t>
  </si>
  <si>
    <t>8:12:10</t>
  </si>
  <si>
    <t>8:14:12</t>
  </si>
  <si>
    <t>8:23:01</t>
  </si>
  <si>
    <t>8:23:17</t>
  </si>
  <si>
    <t>8:24:47</t>
  </si>
  <si>
    <t>8:25:04</t>
  </si>
  <si>
    <t>05:18</t>
  </si>
  <si>
    <t>8:33:43</t>
  </si>
  <si>
    <t>8:40:56</t>
  </si>
  <si>
    <t>8:42:26</t>
  </si>
  <si>
    <t>8:44:57</t>
  </si>
  <si>
    <t>8:51:21</t>
  </si>
  <si>
    <t>8:53:07</t>
  </si>
  <si>
    <t>8:53:37</t>
  </si>
  <si>
    <t>9:04:34</t>
  </si>
  <si>
    <t>9:06:49</t>
  </si>
  <si>
    <t>9:15:15</t>
  </si>
  <si>
    <t>9:16:46</t>
  </si>
  <si>
    <t>9:17:00</t>
  </si>
  <si>
    <t>9:18:51</t>
  </si>
  <si>
    <t>9:24:38</t>
  </si>
  <si>
    <t>9:26:24</t>
  </si>
  <si>
    <t>9:26:34</t>
  </si>
  <si>
    <t>02:10</t>
  </si>
  <si>
    <t>9:29:10</t>
  </si>
  <si>
    <t>9:34:48</t>
  </si>
  <si>
    <t>9:36:49</t>
  </si>
  <si>
    <t>9:37:04</t>
  </si>
  <si>
    <t>9:43:53</t>
  </si>
  <si>
    <t>9:44:08</t>
  </si>
  <si>
    <t>9:46:09</t>
  </si>
  <si>
    <t>9:46:20</t>
  </si>
  <si>
    <t>9:51:57</t>
  </si>
  <si>
    <t>9:52:12</t>
  </si>
  <si>
    <t>9:52:32</t>
  </si>
  <si>
    <t>9:56:53</t>
  </si>
  <si>
    <t>09:50</t>
  </si>
  <si>
    <t>8:12:21</t>
  </si>
  <si>
    <t>8:18:59</t>
  </si>
  <si>
    <t>8:20:29</t>
  </si>
  <si>
    <t>8:22:45</t>
  </si>
  <si>
    <t>8:27:56</t>
  </si>
  <si>
    <t>8:31:12</t>
  </si>
  <si>
    <t>8:31:52</t>
  </si>
  <si>
    <t>8:41:43</t>
  </si>
  <si>
    <t>01:52</t>
  </si>
  <si>
    <t>08:50</t>
  </si>
  <si>
    <t>8:52:25</t>
  </si>
  <si>
    <t>8:54:52</t>
  </si>
  <si>
    <t>9:07:31</t>
  </si>
  <si>
    <t>9:19:18</t>
  </si>
  <si>
    <t>9:21:39</t>
  </si>
  <si>
    <t>9:32:00</t>
  </si>
  <si>
    <t>9:34:00</t>
  </si>
  <si>
    <t>9:35:20</t>
  </si>
  <si>
    <t>9:46:08</t>
  </si>
  <si>
    <t>9:52:08</t>
  </si>
  <si>
    <t>9:55:10</t>
  </si>
  <si>
    <t>14:22</t>
  </si>
  <si>
    <t>8:16:23</t>
  </si>
  <si>
    <t>8:17:23</t>
  </si>
  <si>
    <t>8:23:44</t>
  </si>
  <si>
    <t>8:32:13</t>
  </si>
  <si>
    <t>8:35:29</t>
  </si>
  <si>
    <t>8:35:44</t>
  </si>
  <si>
    <t>8:54:04</t>
  </si>
  <si>
    <t>8:56:32</t>
  </si>
  <si>
    <t>03:25</t>
  </si>
  <si>
    <t>9:00:12</t>
  </si>
  <si>
    <t>9:09:50</t>
  </si>
  <si>
    <t>9:12:21</t>
  </si>
  <si>
    <t>9:12:51</t>
  </si>
  <si>
    <t>9:20:52</t>
  </si>
  <si>
    <t>9:22:22</t>
  </si>
  <si>
    <t>9:24:58</t>
  </si>
  <si>
    <t>9:29:16</t>
  </si>
  <si>
    <t>9:32:16</t>
  </si>
  <si>
    <t>9:32:36</t>
  </si>
  <si>
    <t>9:44:25</t>
  </si>
  <si>
    <t>10:17</t>
  </si>
  <si>
    <t>8:10:17</t>
  </si>
  <si>
    <t>8:13:04</t>
  </si>
  <si>
    <t>8:13:24</t>
  </si>
  <si>
    <t>8:13:44</t>
  </si>
  <si>
    <t>8:25:39</t>
  </si>
  <si>
    <t>8:32:00</t>
  </si>
  <si>
    <t>8:35:01</t>
  </si>
  <si>
    <t>8:35:21</t>
  </si>
  <si>
    <t>8:40:58</t>
  </si>
  <si>
    <t>8:42:59</t>
  </si>
  <si>
    <t>8:43:13</t>
  </si>
  <si>
    <t>8:45:04</t>
  </si>
  <si>
    <t>8:54:07</t>
  </si>
  <si>
    <t>8:54:22</t>
  </si>
  <si>
    <t>8:54:33</t>
  </si>
  <si>
    <t>9:00:03</t>
  </si>
  <si>
    <t>14:28</t>
  </si>
  <si>
    <t>9:14:31</t>
  </si>
  <si>
    <t>9:17:02</t>
  </si>
  <si>
    <t>9:17:22</t>
  </si>
  <si>
    <t>9:25:32</t>
  </si>
  <si>
    <t>9:25:47</t>
  </si>
  <si>
    <t>04:52</t>
  </si>
  <si>
    <t>9:36:00</t>
  </si>
  <si>
    <t>9:42:12</t>
  </si>
  <si>
    <t>9:43:43</t>
  </si>
  <si>
    <t>9:43:58</t>
  </si>
  <si>
    <t>9:45:28</t>
  </si>
  <si>
    <t>9:45:50</t>
  </si>
  <si>
    <t>9:54:05</t>
  </si>
  <si>
    <t>9:55:36</t>
  </si>
  <si>
    <t>01:23</t>
  </si>
  <si>
    <t>8:01:23</t>
  </si>
  <si>
    <t>8:03:25</t>
  </si>
  <si>
    <t>11:21</t>
  </si>
  <si>
    <t>8:24:10</t>
  </si>
  <si>
    <t>8:26:26</t>
  </si>
  <si>
    <t>8:29:32</t>
  </si>
  <si>
    <t>8:31:33</t>
  </si>
  <si>
    <t>8:36:59</t>
  </si>
  <si>
    <t>8:48:13</t>
  </si>
  <si>
    <t>8:48:42</t>
  </si>
  <si>
    <t>8:57:34</t>
  </si>
  <si>
    <t>8:57:39</t>
  </si>
  <si>
    <t>02:09</t>
  </si>
  <si>
    <t>9:06:46</t>
  </si>
  <si>
    <t>9:14:32</t>
  </si>
  <si>
    <t>9:24:44</t>
  </si>
  <si>
    <t>02:11</t>
  </si>
  <si>
    <t>9:26:55</t>
  </si>
  <si>
    <t>9:30:24</t>
  </si>
  <si>
    <t>9:32:25</t>
  </si>
  <si>
    <t>9:38:04</t>
  </si>
  <si>
    <t>03:19</t>
  </si>
  <si>
    <t>9:41:23</t>
  </si>
  <si>
    <t>12:22</t>
  </si>
  <si>
    <t>9:58:01</t>
  </si>
  <si>
    <t>7:05:08</t>
  </si>
  <si>
    <t>7:06:39</t>
  </si>
  <si>
    <t>7:06:59</t>
  </si>
  <si>
    <t>7:13:33</t>
  </si>
  <si>
    <t>7:15:04</t>
  </si>
  <si>
    <t>7:15:14</t>
  </si>
  <si>
    <t>7:16:46</t>
  </si>
  <si>
    <t>7:17:01</t>
  </si>
  <si>
    <t>7:23:29</t>
  </si>
  <si>
    <t>7:23:44</t>
  </si>
  <si>
    <t>7:23:55</t>
  </si>
  <si>
    <t>7:24:15</t>
  </si>
  <si>
    <t>7:29:07</t>
  </si>
  <si>
    <t>7:36:41</t>
  </si>
  <si>
    <t>7:38:12</t>
  </si>
  <si>
    <t>7:38:27</t>
  </si>
  <si>
    <t>7:38:46</t>
  </si>
  <si>
    <t>7:44:44</t>
  </si>
  <si>
    <t>7:46:14</t>
  </si>
  <si>
    <t>7:46:30</t>
  </si>
  <si>
    <t>7:47:31</t>
  </si>
  <si>
    <t>7:47:47</t>
  </si>
  <si>
    <t>7:52:50</t>
  </si>
  <si>
    <t>7:54:51</t>
  </si>
  <si>
    <t>7:55:11</t>
  </si>
  <si>
    <t>7:57:48</t>
  </si>
  <si>
    <t>7:58:18</t>
  </si>
  <si>
    <t>7:58:30</t>
  </si>
  <si>
    <t>7:59:30</t>
  </si>
  <si>
    <t>8:06:34</t>
  </si>
  <si>
    <t>8:18:54</t>
  </si>
  <si>
    <t>8:19:03</t>
  </si>
  <si>
    <t>8:20:54</t>
  </si>
  <si>
    <t>04:51</t>
  </si>
  <si>
    <t>8:27:46</t>
  </si>
  <si>
    <t>8:28:01</t>
  </si>
  <si>
    <t>8:28:07</t>
  </si>
  <si>
    <t>8:28:22</t>
  </si>
  <si>
    <t>8:39:39</t>
  </si>
  <si>
    <t>8:39:54</t>
  </si>
  <si>
    <t>8:55:54</t>
  </si>
  <si>
    <t>8:57:55</t>
  </si>
  <si>
    <t>8:58:05</t>
  </si>
  <si>
    <t>01:10</t>
  </si>
  <si>
    <t>9:14:49</t>
  </si>
  <si>
    <t>9:24:13</t>
  </si>
  <si>
    <t>9:39:24</t>
  </si>
  <si>
    <t>9:44:45</t>
  </si>
  <si>
    <t>9:46:46</t>
  </si>
  <si>
    <t>9:47:01</t>
  </si>
  <si>
    <t>05:49</t>
  </si>
  <si>
    <t>9:54:21</t>
  </si>
  <si>
    <t>9:55:52</t>
  </si>
  <si>
    <t>9:56:06</t>
  </si>
  <si>
    <t>9:56:27</t>
  </si>
  <si>
    <t>9:59:08</t>
  </si>
  <si>
    <t>09:12</t>
  </si>
  <si>
    <t>8:09:12</t>
  </si>
  <si>
    <t>8:11:43</t>
  </si>
  <si>
    <t>8:12:13</t>
  </si>
  <si>
    <t>8:20:23</t>
  </si>
  <si>
    <t>8:22:09</t>
  </si>
  <si>
    <t>11:09</t>
  </si>
  <si>
    <t>8:36:19</t>
  </si>
  <si>
    <t>8:36:39</t>
  </si>
  <si>
    <t>8:43:11</t>
  </si>
  <si>
    <t>8:43:21</t>
  </si>
  <si>
    <t>8:45:41</t>
  </si>
  <si>
    <t>8:53:24</t>
  </si>
  <si>
    <t>8:53:56</t>
  </si>
  <si>
    <t>8:54:11</t>
  </si>
  <si>
    <t>9:00:11</t>
  </si>
  <si>
    <t>9:00:41</t>
  </si>
  <si>
    <t>9:00:47</t>
  </si>
  <si>
    <t>10:48</t>
  </si>
  <si>
    <t>9:11:35</t>
  </si>
  <si>
    <t>9:14:06</t>
  </si>
  <si>
    <t>9:14:36</t>
  </si>
  <si>
    <t>06:09</t>
  </si>
  <si>
    <t>9:20:45</t>
  </si>
  <si>
    <t>9:22:15</t>
  </si>
  <si>
    <t>9:24:52</t>
  </si>
  <si>
    <t>09:25</t>
  </si>
  <si>
    <t>9:34:17</t>
  </si>
  <si>
    <t>9:37:18</t>
  </si>
  <si>
    <t>04:24</t>
  </si>
  <si>
    <t>9:41:42</t>
  </si>
  <si>
    <t>9:43:28</t>
  </si>
  <si>
    <t>9:44:59</t>
  </si>
  <si>
    <t>9:51:40</t>
  </si>
  <si>
    <t>9:53:31</t>
  </si>
  <si>
    <t>9:53:52</t>
  </si>
  <si>
    <t>9:54:12</t>
  </si>
  <si>
    <t>9:59:16</t>
  </si>
  <si>
    <t>9:59:46</t>
  </si>
  <si>
    <t>11:43</t>
  </si>
  <si>
    <t>8:13:58</t>
  </si>
  <si>
    <t>8:26:57</t>
  </si>
  <si>
    <t>8:27:12</t>
  </si>
  <si>
    <t>8:28:43</t>
  </si>
  <si>
    <t>8:39:41</t>
  </si>
  <si>
    <t>8:40:26</t>
  </si>
  <si>
    <t>8:47:02</t>
  </si>
  <si>
    <t>8:48:37</t>
  </si>
  <si>
    <t>8:59:02</t>
  </si>
  <si>
    <t>8:59:13</t>
  </si>
  <si>
    <t>8:59:40</t>
  </si>
  <si>
    <t>9:00:10</t>
  </si>
  <si>
    <t>9:05:21</t>
  </si>
  <si>
    <t>9:07:07</t>
  </si>
  <si>
    <t>9:14:10</t>
  </si>
  <si>
    <t>9:18:08</t>
  </si>
  <si>
    <t>9:24:34</t>
  </si>
  <si>
    <t>9:26:20</t>
  </si>
  <si>
    <t>9:26:26</t>
  </si>
  <si>
    <t>9:29:50</t>
  </si>
  <si>
    <t>9:37:02</t>
  </si>
  <si>
    <t>9:38:32</t>
  </si>
  <si>
    <t>9:39:02</t>
  </si>
  <si>
    <t>9:44:48</t>
  </si>
  <si>
    <t>9:46:19</t>
  </si>
  <si>
    <t>9:53:47</t>
  </si>
  <si>
    <t>9:55:18</t>
  </si>
  <si>
    <t>9:55:33</t>
  </si>
  <si>
    <t>9:55:53</t>
  </si>
  <si>
    <t>9:56:08</t>
  </si>
  <si>
    <t>8:08:10</t>
  </si>
  <si>
    <t>8:10:41</t>
  </si>
  <si>
    <t>8:11:01</t>
  </si>
  <si>
    <t>8:11:21</t>
  </si>
  <si>
    <t>8:19:30</t>
  </si>
  <si>
    <t>8:21:01</t>
  </si>
  <si>
    <t>8:21:16</t>
  </si>
  <si>
    <t>8:23:18</t>
  </si>
  <si>
    <t>8:30:53</t>
  </si>
  <si>
    <t>8:33:54</t>
  </si>
  <si>
    <t>8:34:24</t>
  </si>
  <si>
    <t>8:46:01</t>
  </si>
  <si>
    <t>8:54:39</t>
  </si>
  <si>
    <t>8:55:06</t>
  </si>
  <si>
    <t>8:55:26</t>
  </si>
  <si>
    <t>9:07:15</t>
  </si>
  <si>
    <t>9:20:06</t>
  </si>
  <si>
    <t>9:20:21</t>
  </si>
  <si>
    <t>9:44:20</t>
  </si>
  <si>
    <t>9:46:35</t>
  </si>
  <si>
    <t>9:53:00</t>
  </si>
  <si>
    <t>9:55:15</t>
  </si>
  <si>
    <t>9:55:30</t>
  </si>
  <si>
    <t>9:55:51</t>
  </si>
  <si>
    <t>9:59:36</t>
  </si>
  <si>
    <t>8:10:14</t>
  </si>
  <si>
    <t>8:19:32</t>
  </si>
  <si>
    <t>8:21:33</t>
  </si>
  <si>
    <t>8:21:48</t>
  </si>
  <si>
    <t>8:28:55</t>
  </si>
  <si>
    <t>8:32:26</t>
  </si>
  <si>
    <t>8:32:45</t>
  </si>
  <si>
    <t>8:38:07</t>
  </si>
  <si>
    <t>8:39:53</t>
  </si>
  <si>
    <t>8:50:58</t>
  </si>
  <si>
    <t>8:51:09</t>
  </si>
  <si>
    <t>9:21:16</t>
  </si>
  <si>
    <t>9:34:01</t>
  </si>
  <si>
    <t>9:40:28</t>
  </si>
  <si>
    <t>9:42:29</t>
  </si>
  <si>
    <t>9:42:44</t>
  </si>
  <si>
    <t>9:44:14</t>
  </si>
  <si>
    <t>9:51:30</t>
  </si>
  <si>
    <t>9:53:45</t>
  </si>
  <si>
    <t>8:12:23</t>
  </si>
  <si>
    <t>8:26:45</t>
  </si>
  <si>
    <t>8:37:18</t>
  </si>
  <si>
    <t>8:42:49</t>
  </si>
  <si>
    <t>8:52:51</t>
  </si>
  <si>
    <t>8:53:23</t>
  </si>
  <si>
    <t>8:59:44</t>
  </si>
  <si>
    <t>9:04:57</t>
  </si>
  <si>
    <t>9:06:47</t>
  </si>
  <si>
    <t>9:15:18</t>
  </si>
  <si>
    <t>9:23:13</t>
  </si>
  <si>
    <t>9:25:13</t>
  </si>
  <si>
    <t>9:25:19</t>
  </si>
  <si>
    <t>9:25:40</t>
  </si>
  <si>
    <t>9:29:47</t>
  </si>
  <si>
    <t>9:36:37</t>
  </si>
  <si>
    <t>9:38:47</t>
  </si>
  <si>
    <t>9:44:40</t>
  </si>
  <si>
    <t>9:46:10</t>
  </si>
  <si>
    <t>9:46:25</t>
  </si>
  <si>
    <t>9:53:28</t>
  </si>
  <si>
    <t>9:55:28</t>
  </si>
  <si>
    <t>9:55:43</t>
  </si>
  <si>
    <t>8:25:00</t>
  </si>
  <si>
    <t>8:27:22</t>
  </si>
  <si>
    <t>8:41:46</t>
  </si>
  <si>
    <t>8:43:32</t>
  </si>
  <si>
    <t>8:45:43</t>
  </si>
  <si>
    <t>8:53:49</t>
  </si>
  <si>
    <t>8:55:50</t>
  </si>
  <si>
    <t>8:56:21</t>
  </si>
  <si>
    <t>8:56:42</t>
  </si>
  <si>
    <t>9:00:07</t>
  </si>
  <si>
    <t>9:09:45</t>
  </si>
  <si>
    <t>9:12:01</t>
  </si>
  <si>
    <t>9:12:31</t>
  </si>
  <si>
    <t>9:22:17</t>
  </si>
  <si>
    <t>04:17</t>
  </si>
  <si>
    <t>9:28:55</t>
  </si>
  <si>
    <t>9:31:41</t>
  </si>
  <si>
    <t>9:32:01</t>
  </si>
  <si>
    <t>9:43:50</t>
  </si>
  <si>
    <t>9:45:42</t>
  </si>
  <si>
    <t>8:13:51</t>
  </si>
  <si>
    <t>8:14:11</t>
  </si>
  <si>
    <t>8:19:52</t>
  </si>
  <si>
    <t>8:21:23</t>
  </si>
  <si>
    <t>8:31:29</t>
  </si>
  <si>
    <t>8:35:09</t>
  </si>
  <si>
    <t>8:35:20</t>
  </si>
  <si>
    <t>8:45:11</t>
  </si>
  <si>
    <t>8:45:26</t>
  </si>
  <si>
    <t>8:53:57</t>
  </si>
  <si>
    <t>8:54:28</t>
  </si>
  <si>
    <t>8:54:49</t>
  </si>
  <si>
    <t>8:59:58</t>
  </si>
  <si>
    <t>9:15:33</t>
  </si>
  <si>
    <t>9:24:33</t>
  </si>
  <si>
    <t>9:24:48</t>
  </si>
  <si>
    <t>9:45:09</t>
  </si>
  <si>
    <t>9:46:56</t>
  </si>
  <si>
    <t>9:54:33</t>
  </si>
  <si>
    <t>9:56:04</t>
  </si>
  <si>
    <t>9:56:44</t>
  </si>
  <si>
    <t>9:57:05</t>
  </si>
  <si>
    <t>8:05:36</t>
  </si>
  <si>
    <t>8:07:22</t>
  </si>
  <si>
    <t>8:07:42</t>
  </si>
  <si>
    <t>8:07:52</t>
  </si>
  <si>
    <t>8:13:28</t>
  </si>
  <si>
    <t>8:15:28</t>
  </si>
  <si>
    <t>8:29:26</t>
  </si>
  <si>
    <t>8:35:45</t>
  </si>
  <si>
    <t>8:37:59</t>
  </si>
  <si>
    <t>8:44:44</t>
  </si>
  <si>
    <t>8:53:15</t>
  </si>
  <si>
    <t>11:01</t>
  </si>
  <si>
    <t>9:04:16</t>
  </si>
  <si>
    <t>9:07:46</t>
  </si>
  <si>
    <t>9:09:32</t>
  </si>
  <si>
    <t>02:07</t>
  </si>
  <si>
    <t>9:18:22</t>
  </si>
  <si>
    <t>05:10</t>
  </si>
  <si>
    <t>9:25:03</t>
  </si>
  <si>
    <t>9:25:33</t>
  </si>
  <si>
    <t>9:26:36</t>
  </si>
  <si>
    <t>9:28:36</t>
  </si>
  <si>
    <t>9:35:54</t>
  </si>
  <si>
    <t>9:37:03</t>
  </si>
  <si>
    <t>9:39:18</t>
  </si>
  <si>
    <t>9:56:30</t>
  </si>
  <si>
    <t>7:05:25</t>
  </si>
  <si>
    <t>7:07:31</t>
  </si>
  <si>
    <t>7:07:51</t>
  </si>
  <si>
    <t>7:13:38</t>
  </si>
  <si>
    <t>7:17:09</t>
  </si>
  <si>
    <t>7:17:26</t>
  </si>
  <si>
    <t>7:21:56</t>
  </si>
  <si>
    <t>7:23:56</t>
  </si>
  <si>
    <t>7:24:12</t>
  </si>
  <si>
    <t>7:24:23</t>
  </si>
  <si>
    <t>7:30:12</t>
  </si>
  <si>
    <t>7:36:47</t>
  </si>
  <si>
    <t>7:38:33</t>
  </si>
  <si>
    <t>7:38:53</t>
  </si>
  <si>
    <t>7:43:20</t>
  </si>
  <si>
    <t>7:44:35</t>
  </si>
  <si>
    <t>7:44:51</t>
  </si>
  <si>
    <t>7:45:51</t>
  </si>
  <si>
    <t>7:46:08</t>
  </si>
  <si>
    <t>7:51:56</t>
  </si>
  <si>
    <t>7:52:26</t>
  </si>
  <si>
    <t>7:58:33</t>
  </si>
  <si>
    <t>01:11</t>
  </si>
  <si>
    <t>7:59:44</t>
  </si>
  <si>
    <t>8:08:28</t>
  </si>
  <si>
    <t>8:10:29</t>
  </si>
  <si>
    <t>8:10:49</t>
  </si>
  <si>
    <t>8:18:51</t>
  </si>
  <si>
    <t>8:19:05</t>
  </si>
  <si>
    <t>8:28:20</t>
  </si>
  <si>
    <t>8:28:41</t>
  </si>
  <si>
    <t>8:28:57</t>
  </si>
  <si>
    <t>8:30:07</t>
  </si>
  <si>
    <t>8:37:21</t>
  </si>
  <si>
    <t>8:39:22</t>
  </si>
  <si>
    <t>8:39:37</t>
  </si>
  <si>
    <t>8:45:56</t>
  </si>
  <si>
    <t>8:57:56</t>
  </si>
  <si>
    <t>9:13:29</t>
  </si>
  <si>
    <t>9:21:46</t>
  </si>
  <si>
    <t>9:23:17</t>
  </si>
  <si>
    <t>9:23:31</t>
  </si>
  <si>
    <t>9:25:52</t>
  </si>
  <si>
    <t>9:29:53</t>
  </si>
  <si>
    <t>9:32:54</t>
  </si>
  <si>
    <t>9:33:24</t>
  </si>
  <si>
    <t>9:40:59</t>
  </si>
  <si>
    <t>9:42:59</t>
  </si>
  <si>
    <t>9:43:14</t>
  </si>
  <si>
    <t>9:52:04</t>
  </si>
  <si>
    <t>9:53:50</t>
  </si>
  <si>
    <t>9:54:51</t>
  </si>
  <si>
    <t>8:08:19</t>
  </si>
  <si>
    <t>8:11:05</t>
  </si>
  <si>
    <t>8:18:18</t>
  </si>
  <si>
    <t>8:20:33</t>
  </si>
  <si>
    <t>8:22:25</t>
  </si>
  <si>
    <t>8:30:13</t>
  </si>
  <si>
    <t>8:33:14</t>
  </si>
  <si>
    <t>8:41:07</t>
  </si>
  <si>
    <t>8:48:53</t>
  </si>
  <si>
    <t>8:50:54</t>
  </si>
  <si>
    <t>00:55</t>
  </si>
  <si>
    <t>9:00:51</t>
  </si>
  <si>
    <t>9:00:57</t>
  </si>
  <si>
    <t>9:11:12</t>
  </si>
  <si>
    <t>9:20:47</t>
  </si>
  <si>
    <t>9:20:57</t>
  </si>
  <si>
    <t>9:42:15</t>
  </si>
  <si>
    <t>9:42:25</t>
  </si>
  <si>
    <t>9:51:44</t>
  </si>
  <si>
    <t>9:53:14</t>
  </si>
  <si>
    <t>9:53:34</t>
  </si>
  <si>
    <t>9:54:15</t>
  </si>
  <si>
    <t>8:02:30</t>
  </si>
  <si>
    <t>8:04:45</t>
  </si>
  <si>
    <t>8:05:00</t>
  </si>
  <si>
    <t>8:30:43</t>
  </si>
  <si>
    <t>8:38:50</t>
  </si>
  <si>
    <t>8:49:30</t>
  </si>
  <si>
    <t>8:54:01</t>
  </si>
  <si>
    <t>9:02:04</t>
  </si>
  <si>
    <t>9:14:54</t>
  </si>
  <si>
    <t>9:17:40</t>
  </si>
  <si>
    <t>9:25:14</t>
  </si>
  <si>
    <t>9:31:54</t>
  </si>
  <si>
    <t>05:15</t>
  </si>
  <si>
    <t>8:12:59</t>
  </si>
  <si>
    <t>8:13:19</t>
  </si>
  <si>
    <t>8:19:08</t>
  </si>
  <si>
    <t>8:20:39</t>
  </si>
  <si>
    <t>8:22:55</t>
  </si>
  <si>
    <t>8:23:15</t>
  </si>
  <si>
    <t>8:31:36</t>
  </si>
  <si>
    <t>8:34:51</t>
  </si>
  <si>
    <t>8:42:17</t>
  </si>
  <si>
    <t>8:44:02</t>
  </si>
  <si>
    <t>8:44:32</t>
  </si>
  <si>
    <t>8:46:23</t>
  </si>
  <si>
    <t>9:12:25</t>
  </si>
  <si>
    <t>9:14:26</t>
  </si>
  <si>
    <t>9:14:56</t>
  </si>
  <si>
    <t>9:27:10</t>
  </si>
  <si>
    <t>9:34:08</t>
  </si>
  <si>
    <t>9:44:30</t>
  </si>
  <si>
    <t>9:46:45</t>
  </si>
  <si>
    <t>9:47:00</t>
  </si>
  <si>
    <t>9:55:27</t>
  </si>
  <si>
    <t>00:28</t>
  </si>
  <si>
    <t>9:59:47</t>
  </si>
  <si>
    <t>13:46</t>
  </si>
  <si>
    <t>8:13:46</t>
  </si>
  <si>
    <t>8:26:27</t>
  </si>
  <si>
    <t>8:28:59</t>
  </si>
  <si>
    <t>8:38:06</t>
  </si>
  <si>
    <t>8:45:05</t>
  </si>
  <si>
    <t>8:46:56</t>
  </si>
  <si>
    <t>8:54:59</t>
  </si>
  <si>
    <t>8:57:00</t>
  </si>
  <si>
    <t>02:27</t>
  </si>
  <si>
    <t>9:09:51</t>
  </si>
  <si>
    <t>9:11:51</t>
  </si>
  <si>
    <t>9:20:42</t>
  </si>
  <si>
    <t>9:22:12</t>
  </si>
  <si>
    <t>9:22:27</t>
  </si>
  <si>
    <t>9:24:49</t>
  </si>
  <si>
    <t>9:35:34</t>
  </si>
  <si>
    <t>9:36:04</t>
  </si>
  <si>
    <t>9:41:12</t>
  </si>
  <si>
    <t>9:43:48</t>
  </si>
  <si>
    <t>9:45:19</t>
  </si>
  <si>
    <t>9:52:40</t>
  </si>
  <si>
    <t>9:54:30</t>
  </si>
  <si>
    <t>9:55:11</t>
  </si>
  <si>
    <t>8:19:09</t>
  </si>
  <si>
    <t>8:20:25</t>
  </si>
  <si>
    <t>8:20:55</t>
  </si>
  <si>
    <t>8:31:17</t>
  </si>
  <si>
    <t>8:34:38</t>
  </si>
  <si>
    <t>8:41:33</t>
  </si>
  <si>
    <t>8:51:20</t>
  </si>
  <si>
    <t>8:53:51</t>
  </si>
  <si>
    <t>8:54:21</t>
  </si>
  <si>
    <t>8:54:32</t>
  </si>
  <si>
    <t>8:54:53</t>
  </si>
  <si>
    <t>9:16:01</t>
  </si>
  <si>
    <t>9:16:21</t>
  </si>
  <si>
    <t>9:24:40</t>
  </si>
  <si>
    <t>9:28:47</t>
  </si>
  <si>
    <t>9:37:24</t>
  </si>
  <si>
    <t>9:37:54</t>
  </si>
  <si>
    <t>9:43:07</t>
  </si>
  <si>
    <t>9:45:38</t>
  </si>
  <si>
    <t>9:47:09</t>
  </si>
  <si>
    <t>9:54:52</t>
  </si>
  <si>
    <t>9:56:43</t>
  </si>
  <si>
    <t>8:18:29</t>
  </si>
  <si>
    <t>8:20:30</t>
  </si>
  <si>
    <t>8:31:42</t>
  </si>
  <si>
    <t>8:34:43</t>
  </si>
  <si>
    <t>8:35:13</t>
  </si>
  <si>
    <t>8:35:43</t>
  </si>
  <si>
    <t>8:48:30</t>
  </si>
  <si>
    <t>8:48:45</t>
  </si>
  <si>
    <t>8:49:00</t>
  </si>
  <si>
    <t>8:49:15</t>
  </si>
  <si>
    <t>8:49:45</t>
  </si>
  <si>
    <t>8:56:43</t>
  </si>
  <si>
    <t>9:00:29</t>
  </si>
  <si>
    <t>9:01:29</t>
  </si>
  <si>
    <t>9:01:34</t>
  </si>
  <si>
    <t>9:13:04</t>
  </si>
  <si>
    <t>9:13:19</t>
  </si>
  <si>
    <t>9:15:19</t>
  </si>
  <si>
    <t>08:34</t>
  </si>
  <si>
    <t>9:35:04</t>
  </si>
  <si>
    <t>9:35:19</t>
  </si>
  <si>
    <t>9:36:34</t>
  </si>
  <si>
    <t>9:38:07</t>
  </si>
  <si>
    <t>09:39</t>
  </si>
  <si>
    <t>9:51:17</t>
  </si>
  <si>
    <t>9:52:47</t>
  </si>
  <si>
    <t>10:10:28</t>
  </si>
  <si>
    <t>10:17:01</t>
  </si>
  <si>
    <t>10:17:06</t>
  </si>
  <si>
    <t>10:20:21</t>
  </si>
  <si>
    <t>10:33:03</t>
  </si>
  <si>
    <t>10:33:33</t>
  </si>
  <si>
    <t>10:45:03</t>
  </si>
  <si>
    <t>10:54:07</t>
  </si>
  <si>
    <t>8:09:04</t>
  </si>
  <si>
    <t>8:11:36</t>
  </si>
  <si>
    <t>8:11:56</t>
  </si>
  <si>
    <t>8:19:44</t>
  </si>
  <si>
    <t>8:23:05</t>
  </si>
  <si>
    <t>8:35:52</t>
  </si>
  <si>
    <t>8:36:02</t>
  </si>
  <si>
    <t>8:37:07</t>
  </si>
  <si>
    <t>8:42:57</t>
  </si>
  <si>
    <t>8:46:34</t>
  </si>
  <si>
    <t>8:56:55</t>
  </si>
  <si>
    <t>9:04:26</t>
  </si>
  <si>
    <t>9:05:27</t>
  </si>
  <si>
    <t>9:05:37</t>
  </si>
  <si>
    <t>9:17:03</t>
  </si>
  <si>
    <t>9:24:20</t>
  </si>
  <si>
    <t>9:27:54</t>
  </si>
  <si>
    <t>9:37:22</t>
  </si>
  <si>
    <t>9:40:23</t>
  </si>
  <si>
    <t>9:40:53</t>
  </si>
  <si>
    <t>9:56:38</t>
  </si>
  <si>
    <t>9:57:42</t>
  </si>
  <si>
    <t>10:03:44</t>
  </si>
  <si>
    <t>10:04:56</t>
  </si>
  <si>
    <t>10:05:06</t>
  </si>
  <si>
    <t>10:15:26</t>
  </si>
  <si>
    <t>10:17:28</t>
  </si>
  <si>
    <t>10:17:38</t>
  </si>
  <si>
    <t>10:17:58</t>
  </si>
  <si>
    <t>10:26:12</t>
  </si>
  <si>
    <t>10:29:14</t>
  </si>
  <si>
    <t>10:29:24</t>
  </si>
  <si>
    <t>10:29:36</t>
  </si>
  <si>
    <t>10:41:27</t>
  </si>
  <si>
    <t>10:41:47</t>
  </si>
  <si>
    <t>10:41:57</t>
  </si>
  <si>
    <t>10:42:04</t>
  </si>
  <si>
    <t>10:43:44</t>
  </si>
  <si>
    <t>10:50:45</t>
  </si>
  <si>
    <t>10:53:32</t>
  </si>
  <si>
    <t>8:12:43</t>
  </si>
  <si>
    <t>8:21:36</t>
  </si>
  <si>
    <t>8:34:10</t>
  </si>
  <si>
    <t>8:34:25</t>
  </si>
  <si>
    <t>8:34:40</t>
  </si>
  <si>
    <t>8:41:53</t>
  </si>
  <si>
    <t>8:44:09</t>
  </si>
  <si>
    <t>9:07:56</t>
  </si>
  <si>
    <t>9:09:56</t>
  </si>
  <si>
    <t>9:10:41</t>
  </si>
  <si>
    <t>9:16:43</t>
  </si>
  <si>
    <t>9:17:44</t>
  </si>
  <si>
    <t>9:19:54</t>
  </si>
  <si>
    <t>9:20:09</t>
  </si>
  <si>
    <t>9:26:05</t>
  </si>
  <si>
    <t>9:39:08</t>
  </si>
  <si>
    <t>9:39:13</t>
  </si>
  <si>
    <t>9:48:39</t>
  </si>
  <si>
    <t>9:49:09</t>
  </si>
  <si>
    <t>9:59:31</t>
  </si>
  <si>
    <t>10:07:09</t>
  </si>
  <si>
    <t>10:07:24</t>
  </si>
  <si>
    <t>10:16:00</t>
  </si>
  <si>
    <t>10:17:05</t>
  </si>
  <si>
    <t>10:19:49</t>
  </si>
  <si>
    <t>10:19:54</t>
  </si>
  <si>
    <t>10:30:19</t>
  </si>
  <si>
    <t>10:30:49</t>
  </si>
  <si>
    <t>10:40:47</t>
  </si>
  <si>
    <t>10:41:32</t>
  </si>
  <si>
    <t>04:09</t>
  </si>
  <si>
    <t>8:04:09</t>
  </si>
  <si>
    <t>8:04:29</t>
  </si>
  <si>
    <t>8:06:12</t>
  </si>
  <si>
    <t>8:09:41</t>
  </si>
  <si>
    <t>8:18:06</t>
  </si>
  <si>
    <t>8:18:36</t>
  </si>
  <si>
    <t>8:22:17</t>
  </si>
  <si>
    <t>8:26:47</t>
  </si>
  <si>
    <t>03:10</t>
  </si>
  <si>
    <t>8:29:57</t>
  </si>
  <si>
    <t>8:30:27</t>
  </si>
  <si>
    <t>8:30:37</t>
  </si>
  <si>
    <t>8:32:29</t>
  </si>
  <si>
    <t>02:58</t>
  </si>
  <si>
    <t>8:35:57</t>
  </si>
  <si>
    <t>8:36:07</t>
  </si>
  <si>
    <t>8:53:50</t>
  </si>
  <si>
    <t>8:56:41</t>
  </si>
  <si>
    <t>9:03:58</t>
  </si>
  <si>
    <t>9:06:29</t>
  </si>
  <si>
    <t>9:07:45</t>
  </si>
  <si>
    <t>9:09:46</t>
  </si>
  <si>
    <t>9:12:08</t>
  </si>
  <si>
    <t>9:13:39</t>
  </si>
  <si>
    <t>9:21:58</t>
  </si>
  <si>
    <t>9:22:28</t>
  </si>
  <si>
    <t>9:22:58</t>
  </si>
  <si>
    <t>9:29:43</t>
  </si>
  <si>
    <t>08:57</t>
  </si>
  <si>
    <t>9:38:40</t>
  </si>
  <si>
    <t>9:40:55</t>
  </si>
  <si>
    <t>9:46:42</t>
  </si>
  <si>
    <t>9:47:12</t>
  </si>
  <si>
    <t>9:47:42</t>
  </si>
  <si>
    <t>9:48:12</t>
  </si>
  <si>
    <t>9:58:16</t>
  </si>
  <si>
    <t>9:58:36</t>
  </si>
  <si>
    <t>9:58:39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</si>
</sst>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5">
    <font>
      <sz val="11"/>
      <name val="Calibri"/>
    </font>
    <font>
      <b/>
      <sz val="18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/>
    <xf numFmtId="0" fontId="2" fillId="0" borderId="0" xfId="0" applyFont="1"/>
    <xf numFmtId="0" fontId="3" fillId="2" borderId="1" xfId="0" applyFont="1" applyFill="1" applyBorder="1"/>
    <xf numFmtId="0" fontId="0" fillId="0" borderId="1" xfId="0" applyFont="1" applyBorder="1"/>
    <xf numFmtId="164" fontId="0" fillId="0" borderId="0" xfId="0" applyNumberFormat="1" applyFont="1"/>
    <xf numFmtId="164" fontId="3" fillId="2" borderId="1" xfId="0" applyNumberFormat="1" applyFont="1" applyFill="1" applyBorder="1"/>
    <xf numFmtId="164" fontId="0" fillId="0" borderId="1" xfId="0" applyNumberFormat="1" applyFont="1" applyBorder="1"/>
    <xf numFmtId="164" fontId="2" fillId="0" borderId="0" xfId="0" applyNumberFormat="1" applyFont="1"/>
    <xf numFmtId="0" fontId="4" fillId="0" borderId="1" xfId="0" applyFont="1" applyBorder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9"/>
  <sheetViews>
    <sheetView showGridLines="0" topLeftCell="A1949" workbookViewId="0">
      <selection activeCell="A1973" sqref="A1973:G2049"/>
    </sheetView>
  </sheetViews>
  <sheetFormatPr defaultColWidth="30" defaultRowHeight="15"/>
  <cols>
    <col min="1" max="1" width="30" style="4" customWidth="1"/>
  </cols>
  <sheetData>
    <row r="1" spans="1:8" ht="23.25">
      <c r="A1" s="9" t="s">
        <v>0</v>
      </c>
      <c r="B1" s="10" t="s">
        <v>0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1"/>
    </row>
    <row r="4" spans="1:8" s="1" customFormat="1">
      <c r="A4" s="7" t="s">
        <v>1</v>
      </c>
      <c r="B4" s="1" t="s">
        <v>2</v>
      </c>
    </row>
    <row r="5" spans="1:8" s="1" customFormat="1">
      <c r="A5" s="7" t="s">
        <v>3</v>
      </c>
      <c r="B5" s="1" t="s">
        <v>4</v>
      </c>
    </row>
    <row r="7" spans="1:8" s="1" customFormat="1">
      <c r="A7" s="12" t="s">
        <v>5</v>
      </c>
      <c r="B7" s="13"/>
      <c r="C7" s="13"/>
      <c r="D7" s="13"/>
    </row>
    <row r="10" spans="1:8">
      <c r="A10" s="5" t="s">
        <v>6</v>
      </c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</row>
    <row r="11" spans="1:8">
      <c r="A11" s="6">
        <v>42901</v>
      </c>
      <c r="B11" s="3" t="s">
        <v>13</v>
      </c>
      <c r="C11" s="3" t="s">
        <v>14</v>
      </c>
      <c r="D11" s="8" t="str">
        <f>HYPERLINK("http://npthd.inbcu.com/ViewContent.aspx?filename=NPMR_ABC_2017-06-15_E.MP4$128$134","ABC Open")</f>
        <v>ABC Open</v>
      </c>
      <c r="E11" s="3" t="s">
        <v>15</v>
      </c>
      <c r="F11" s="3" t="s">
        <v>16</v>
      </c>
      <c r="G11" s="3" t="s">
        <v>17</v>
      </c>
    </row>
    <row r="12" spans="1:8">
      <c r="A12" s="6">
        <v>42901</v>
      </c>
      <c r="B12" s="3" t="s">
        <v>13</v>
      </c>
      <c r="C12" s="3" t="s">
        <v>18</v>
      </c>
      <c r="D12" s="8" t="str">
        <f>HYPERLINK("http://npthd.inbcu.com/ViewContent.aspx?filename=NPMR_ABC_2017-06-15_E.MP4$134$785","CELEBRITY FAMILY FEUD:")</f>
        <v>CELEBRITY FAMILY FEUD:</v>
      </c>
      <c r="E12" s="3" t="s">
        <v>19</v>
      </c>
      <c r="F12" s="3" t="s">
        <v>17</v>
      </c>
      <c r="G12" s="3" t="s">
        <v>20</v>
      </c>
    </row>
    <row r="13" spans="1:8">
      <c r="A13" s="6">
        <v>42901</v>
      </c>
      <c r="B13" s="3" t="s">
        <v>13</v>
      </c>
      <c r="C13" s="3" t="s">
        <v>21</v>
      </c>
      <c r="D13" s="8" t="str">
        <f>HYPERLINK("http://npthd.inbcu.com/ViewContent.aspx?filename=NPMR_ABC_2017-06-15_E.MP4$785$965","COMMERCIAL")</f>
        <v>COMMERCIAL</v>
      </c>
      <c r="E13" s="3" t="s">
        <v>22</v>
      </c>
      <c r="F13" s="3" t="s">
        <v>20</v>
      </c>
      <c r="G13" s="3" t="s">
        <v>23</v>
      </c>
    </row>
    <row r="14" spans="1:8">
      <c r="A14" s="6">
        <v>42901</v>
      </c>
      <c r="B14" s="3" t="s">
        <v>13</v>
      </c>
      <c r="C14" s="3" t="s">
        <v>14</v>
      </c>
      <c r="D14" s="8" t="str">
        <f>HYPERLINK("http://npthd.inbcu.com/ViewContent.aspx?filename=NPMR_ABC_2017-06-15_E.MP4$965$994","ABC Summer Fun &amp; Games")</f>
        <v>ABC Summer Fun &amp; Games</v>
      </c>
      <c r="E14" s="3" t="s">
        <v>24</v>
      </c>
      <c r="F14" s="3" t="s">
        <v>23</v>
      </c>
      <c r="G14" s="3" t="s">
        <v>25</v>
      </c>
    </row>
    <row r="15" spans="1:8">
      <c r="A15" s="6">
        <v>42901</v>
      </c>
      <c r="B15" s="3" t="s">
        <v>13</v>
      </c>
      <c r="C15" s="3" t="s">
        <v>18</v>
      </c>
      <c r="D15" s="8" t="str">
        <f>HYPERLINK("http://npthd.inbcu.com/ViewContent.aspx?filename=NPMR_ABC_2017-06-15_E.MP4$994$1414","CELEBRITY FAMILY FEUD:")</f>
        <v>CELEBRITY FAMILY FEUD:</v>
      </c>
      <c r="E15" s="3" t="s">
        <v>26</v>
      </c>
      <c r="F15" s="3" t="s">
        <v>25</v>
      </c>
      <c r="G15" s="3" t="s">
        <v>27</v>
      </c>
    </row>
    <row r="16" spans="1:8">
      <c r="A16" s="6">
        <v>42901</v>
      </c>
      <c r="B16" s="3" t="s">
        <v>13</v>
      </c>
      <c r="C16" s="3" t="s">
        <v>21</v>
      </c>
      <c r="D16" s="8" t="str">
        <f>HYPERLINK("http://npthd.inbcu.com/ViewContent.aspx?filename=NPMR_ABC_2017-06-15_E.MP4$1414$1564","COMMERCIAL")</f>
        <v>COMMERCIAL</v>
      </c>
      <c r="E16" s="3" t="s">
        <v>28</v>
      </c>
      <c r="F16" s="3" t="s">
        <v>27</v>
      </c>
      <c r="G16" s="3" t="s">
        <v>29</v>
      </c>
    </row>
    <row r="17" spans="1:7">
      <c r="A17" s="6">
        <v>42901</v>
      </c>
      <c r="B17" s="3" t="s">
        <v>13</v>
      </c>
      <c r="C17" s="3" t="s">
        <v>14</v>
      </c>
      <c r="D17" s="8" t="str">
        <f>HYPERLINK("http://npthd.inbcu.com/ViewContent.aspx?filename=NPMR_ABC_2017-06-15_E.MP4$1564$1579","Watergate special")</f>
        <v>Watergate special</v>
      </c>
      <c r="E17" s="3" t="s">
        <v>30</v>
      </c>
      <c r="F17" s="3" t="s">
        <v>29</v>
      </c>
      <c r="G17" s="3" t="s">
        <v>31</v>
      </c>
    </row>
    <row r="18" spans="1:7">
      <c r="A18" s="6">
        <v>42901</v>
      </c>
      <c r="B18" s="3" t="s">
        <v>13</v>
      </c>
      <c r="C18" s="3" t="s">
        <v>32</v>
      </c>
      <c r="D18" s="8" t="str">
        <f>HYPERLINK("http://npthd.inbcu.com/ViewContent.aspx?filename=NPMR_ABC_2017-06-15_E.MP4$1579$1640","LOCAL")</f>
        <v>LOCAL</v>
      </c>
      <c r="E18" s="3" t="s">
        <v>33</v>
      </c>
      <c r="F18" s="3" t="s">
        <v>31</v>
      </c>
      <c r="G18" s="3" t="s">
        <v>34</v>
      </c>
    </row>
    <row r="19" spans="1:7">
      <c r="A19" s="6">
        <v>42901</v>
      </c>
      <c r="B19" s="3" t="s">
        <v>13</v>
      </c>
      <c r="C19" s="3" t="s">
        <v>18</v>
      </c>
      <c r="D19" s="8" t="str">
        <f>HYPERLINK("http://npthd.inbcu.com/ViewContent.aspx?filename=NPMR_ABC_2017-06-15_E.MP4$1640$1910","CELEBRITY FAMILY FEUD:")</f>
        <v>CELEBRITY FAMILY FEUD:</v>
      </c>
      <c r="E19" s="3" t="s">
        <v>35</v>
      </c>
      <c r="F19" s="3" t="s">
        <v>34</v>
      </c>
      <c r="G19" s="3" t="s">
        <v>36</v>
      </c>
    </row>
    <row r="20" spans="1:7">
      <c r="A20" s="6">
        <v>42901</v>
      </c>
      <c r="B20" s="3" t="s">
        <v>13</v>
      </c>
      <c r="C20" s="3" t="s">
        <v>21</v>
      </c>
      <c r="D20" s="8" t="str">
        <f>HYPERLINK("http://npthd.inbcu.com/ViewContent.aspx?filename=NPMR_ABC_2017-06-15_E.MP4$1910$2060","COMMERCIAL")</f>
        <v>COMMERCIAL</v>
      </c>
      <c r="E20" s="3" t="s">
        <v>28</v>
      </c>
      <c r="F20" s="3" t="s">
        <v>36</v>
      </c>
      <c r="G20" s="3" t="s">
        <v>37</v>
      </c>
    </row>
    <row r="21" spans="1:7">
      <c r="A21" s="6">
        <v>42901</v>
      </c>
      <c r="B21" s="3" t="s">
        <v>13</v>
      </c>
      <c r="C21" s="3" t="s">
        <v>14</v>
      </c>
      <c r="D21" s="8" t="str">
        <f>HYPERLINK("http://npthd.inbcu.com/ViewContent.aspx?filename=NPMR_ABC_2017-06-15_E.MP4$2060$2090","Boy Band")</f>
        <v>Boy Band</v>
      </c>
      <c r="E21" s="3" t="s">
        <v>38</v>
      </c>
      <c r="F21" s="3" t="s">
        <v>37</v>
      </c>
      <c r="G21" s="3" t="s">
        <v>39</v>
      </c>
    </row>
    <row r="22" spans="1:7">
      <c r="A22" s="6">
        <v>42901</v>
      </c>
      <c r="B22" s="3" t="s">
        <v>13</v>
      </c>
      <c r="C22" s="3" t="s">
        <v>14</v>
      </c>
      <c r="D22" s="8" t="str">
        <f>HYPERLINK("http://npthd.inbcu.com/ViewContent.aspx?filename=NPMR_ABC_2017-06-15_E.MP4$2090$2120","Gong Show, The")</f>
        <v>Gong Show, The</v>
      </c>
      <c r="E22" s="3" t="s">
        <v>38</v>
      </c>
      <c r="F22" s="3" t="s">
        <v>39</v>
      </c>
      <c r="G22" s="3" t="s">
        <v>40</v>
      </c>
    </row>
    <row r="23" spans="1:7">
      <c r="A23" s="6">
        <v>42901</v>
      </c>
      <c r="B23" s="3" t="s">
        <v>13</v>
      </c>
      <c r="C23" s="3" t="s">
        <v>18</v>
      </c>
      <c r="D23" s="8" t="str">
        <f>HYPERLINK("http://npthd.inbcu.com/ViewContent.aspx?filename=NPMR_ABC_2017-06-15_E.MP4$2120$2669","CELEBRITY FAMILY FEUD:")</f>
        <v>CELEBRITY FAMILY FEUD:</v>
      </c>
      <c r="E23" s="3" t="s">
        <v>41</v>
      </c>
      <c r="F23" s="3" t="s">
        <v>40</v>
      </c>
      <c r="G23" s="3" t="s">
        <v>42</v>
      </c>
    </row>
    <row r="24" spans="1:7">
      <c r="A24" s="6">
        <v>42901</v>
      </c>
      <c r="B24" s="3" t="s">
        <v>13</v>
      </c>
      <c r="C24" s="3" t="s">
        <v>21</v>
      </c>
      <c r="D24" s="8" t="str">
        <f>HYPERLINK("http://npthd.inbcu.com/ViewContent.aspx?filename=NPMR_ABC_2017-06-15_E.MP4$2669$2789","COMMERCIAL")</f>
        <v>COMMERCIAL</v>
      </c>
      <c r="E24" s="3" t="s">
        <v>43</v>
      </c>
      <c r="F24" s="3" t="s">
        <v>42</v>
      </c>
      <c r="G24" s="3" t="s">
        <v>44</v>
      </c>
    </row>
    <row r="25" spans="1:7">
      <c r="A25" s="6">
        <v>42901</v>
      </c>
      <c r="B25" s="3" t="s">
        <v>13</v>
      </c>
      <c r="C25" s="3" t="s">
        <v>14</v>
      </c>
      <c r="D25" s="8" t="str">
        <f>HYPERLINK("http://npthd.inbcu.com/ViewContent.aspx?filename=NPMR_ABC_2017-06-15_E.MP4$2789$2804","To Tell the Truth")</f>
        <v>To Tell the Truth</v>
      </c>
      <c r="E25" s="3" t="s">
        <v>30</v>
      </c>
      <c r="F25" s="3" t="s">
        <v>44</v>
      </c>
      <c r="G25" s="3" t="s">
        <v>45</v>
      </c>
    </row>
    <row r="26" spans="1:7">
      <c r="A26" s="6">
        <v>42901</v>
      </c>
      <c r="B26" s="3" t="s">
        <v>13</v>
      </c>
      <c r="C26" s="3" t="s">
        <v>32</v>
      </c>
      <c r="D26" s="8" t="str">
        <f>HYPERLINK("http://npthd.inbcu.com/ViewContent.aspx?filename=NPMR_ABC_2017-06-15_E.MP4$2804$2894","LOCAL")</f>
        <v>LOCAL</v>
      </c>
      <c r="E26" s="3" t="s">
        <v>46</v>
      </c>
      <c r="F26" s="3" t="s">
        <v>45</v>
      </c>
      <c r="G26" s="3" t="s">
        <v>47</v>
      </c>
    </row>
    <row r="27" spans="1:7">
      <c r="A27" s="6">
        <v>42901</v>
      </c>
      <c r="B27" s="3" t="s">
        <v>13</v>
      </c>
      <c r="C27" s="3" t="s">
        <v>18</v>
      </c>
      <c r="D27" s="8" t="str">
        <f>HYPERLINK("http://npthd.inbcu.com/ViewContent.aspx?filename=NPMR_ABC_2017-06-15_E.MP4$2894$3256","CELEBRITY FAMILY FEUD:")</f>
        <v>CELEBRITY FAMILY FEUD:</v>
      </c>
      <c r="E27" s="3" t="s">
        <v>48</v>
      </c>
      <c r="F27" s="3" t="s">
        <v>47</v>
      </c>
      <c r="G27" s="3" t="s">
        <v>49</v>
      </c>
    </row>
    <row r="28" spans="1:7">
      <c r="A28" s="6">
        <v>42901</v>
      </c>
      <c r="B28" s="3" t="s">
        <v>13</v>
      </c>
      <c r="C28" s="3" t="s">
        <v>21</v>
      </c>
      <c r="D28" s="8" t="str">
        <f>HYPERLINK("http://npthd.inbcu.com/ViewContent.aspx?filename=NPMR_ABC_2017-06-15_E.MP4$3256$3436","COMMERCIAL")</f>
        <v>COMMERCIAL</v>
      </c>
      <c r="E28" s="3" t="s">
        <v>22</v>
      </c>
      <c r="F28" s="3" t="s">
        <v>49</v>
      </c>
      <c r="G28" s="3" t="s">
        <v>50</v>
      </c>
    </row>
    <row r="29" spans="1:7">
      <c r="A29" s="6">
        <v>42901</v>
      </c>
      <c r="B29" s="3" t="s">
        <v>13</v>
      </c>
      <c r="C29" s="3" t="s">
        <v>14</v>
      </c>
      <c r="D29" s="8" t="str">
        <f>HYPERLINK("http://npthd.inbcu.com/ViewContent.aspx?filename=NPMR_ABC_2017-06-15_E.MP4$3436$3451","Battle of the Network Stars")</f>
        <v>Battle of the Network Stars</v>
      </c>
      <c r="E29" s="3" t="s">
        <v>30</v>
      </c>
      <c r="F29" s="3" t="s">
        <v>50</v>
      </c>
      <c r="G29" s="3" t="s">
        <v>51</v>
      </c>
    </row>
    <row r="30" spans="1:7">
      <c r="A30" s="6">
        <v>42901</v>
      </c>
      <c r="B30" s="3" t="s">
        <v>13</v>
      </c>
      <c r="C30" s="3" t="s">
        <v>18</v>
      </c>
      <c r="D30" s="8" t="str">
        <f>HYPERLINK("http://npthd.inbcu.com/ViewContent.aspx?filename=NPMR_ABC_2017-06-15_E.MP4$3451$3729","CELEBRITY FAMILY FEUD:")</f>
        <v>CELEBRITY FAMILY FEUD:</v>
      </c>
      <c r="E30" s="3" t="s">
        <v>52</v>
      </c>
      <c r="F30" s="3" t="s">
        <v>51</v>
      </c>
      <c r="G30" s="3" t="s">
        <v>53</v>
      </c>
    </row>
    <row r="31" spans="1:7">
      <c r="A31" s="6">
        <v>42901</v>
      </c>
      <c r="B31" s="3" t="s">
        <v>13</v>
      </c>
      <c r="C31" s="3" t="s">
        <v>14</v>
      </c>
      <c r="D31" s="8" t="str">
        <f>HYPERLINK("http://npthd.inbcu.com/ViewContent.aspx?filename=NPMR_ABC_2017-06-15_E.MP4$3729$3734","To Tell the Truth")</f>
        <v>To Tell the Truth</v>
      </c>
      <c r="E31" s="3" t="s">
        <v>54</v>
      </c>
      <c r="F31" s="3" t="s">
        <v>53</v>
      </c>
      <c r="G31" s="3" t="s">
        <v>55</v>
      </c>
    </row>
    <row r="32" spans="1:7">
      <c r="A32" s="6">
        <v>42901</v>
      </c>
      <c r="B32" s="3" t="s">
        <v>13</v>
      </c>
      <c r="C32" s="3" t="s">
        <v>18</v>
      </c>
      <c r="D32" s="8" t="str">
        <f>HYPERLINK("http://npthd.inbcu.com/ViewContent.aspx?filename=NPMR_ABC_2017-06-15_E.MP4$3734$4263","TO TELL THE TRUTH:")</f>
        <v>TO TELL THE TRUTH:</v>
      </c>
      <c r="E32" s="3" t="s">
        <v>56</v>
      </c>
      <c r="F32" s="3" t="s">
        <v>55</v>
      </c>
      <c r="G32" s="3" t="s">
        <v>57</v>
      </c>
    </row>
    <row r="33" spans="1:7">
      <c r="A33" s="6">
        <v>42901</v>
      </c>
      <c r="B33" s="3" t="s">
        <v>13</v>
      </c>
      <c r="C33" s="3" t="s">
        <v>21</v>
      </c>
      <c r="D33" s="8" t="str">
        <f>HYPERLINK("http://npthd.inbcu.com/ViewContent.aspx?filename=NPMR_ABC_2017-06-15_E.MP4$4263$4413","COMMERCIAL")</f>
        <v>COMMERCIAL</v>
      </c>
      <c r="E33" s="3" t="s">
        <v>28</v>
      </c>
      <c r="F33" s="3" t="s">
        <v>57</v>
      </c>
      <c r="G33" s="3" t="s">
        <v>58</v>
      </c>
    </row>
    <row r="34" spans="1:7">
      <c r="A34" s="6">
        <v>42901</v>
      </c>
      <c r="B34" s="3" t="s">
        <v>13</v>
      </c>
      <c r="C34" s="3" t="s">
        <v>14</v>
      </c>
      <c r="D34" s="8" t="str">
        <f>HYPERLINK("http://npthd.inbcu.com/ViewContent.aspx?filename=NPMR_ABC_2017-06-15_E.MP4$4413$4443","ABC Summer Fun &amp; Games")</f>
        <v>ABC Summer Fun &amp; Games</v>
      </c>
      <c r="E34" s="3" t="s">
        <v>38</v>
      </c>
      <c r="F34" s="3" t="s">
        <v>58</v>
      </c>
      <c r="G34" s="3" t="s">
        <v>59</v>
      </c>
    </row>
    <row r="35" spans="1:7">
      <c r="A35" s="6">
        <v>42901</v>
      </c>
      <c r="B35" s="3" t="s">
        <v>13</v>
      </c>
      <c r="C35" s="3" t="s">
        <v>14</v>
      </c>
      <c r="D35" s="8" t="str">
        <f>HYPERLINK("http://npthd.inbcu.com/ViewContent.aspx?filename=NPMR_ABC_2017-06-15_E.MP4$4443$4472","Boy Band")</f>
        <v>Boy Band</v>
      </c>
      <c r="E35" s="3" t="s">
        <v>24</v>
      </c>
      <c r="F35" s="3" t="s">
        <v>59</v>
      </c>
      <c r="G35" s="3" t="s">
        <v>60</v>
      </c>
    </row>
    <row r="36" spans="1:7">
      <c r="A36" s="6">
        <v>42901</v>
      </c>
      <c r="B36" s="3" t="s">
        <v>13</v>
      </c>
      <c r="C36" s="3" t="s">
        <v>18</v>
      </c>
      <c r="D36" s="8" t="str">
        <f>HYPERLINK("http://npthd.inbcu.com/ViewContent.aspx?filename=NPMR_ABC_2017-06-15_E.MP4$4472$4900","TO TELL THE TRUTH:")</f>
        <v>TO TELL THE TRUTH:</v>
      </c>
      <c r="E36" s="3" t="s">
        <v>61</v>
      </c>
      <c r="F36" s="3" t="s">
        <v>60</v>
      </c>
      <c r="G36" s="3" t="s">
        <v>62</v>
      </c>
    </row>
    <row r="37" spans="1:7">
      <c r="A37" s="6">
        <v>42901</v>
      </c>
      <c r="B37" s="3" t="s">
        <v>13</v>
      </c>
      <c r="C37" s="3" t="s">
        <v>21</v>
      </c>
      <c r="D37" s="8" t="str">
        <f>HYPERLINK("http://npthd.inbcu.com/ViewContent.aspx?filename=NPMR_ABC_2017-06-15_E.MP4$4900$5050","COMMERCIAL")</f>
        <v>COMMERCIAL</v>
      </c>
      <c r="E37" s="3" t="s">
        <v>28</v>
      </c>
      <c r="F37" s="3" t="s">
        <v>62</v>
      </c>
      <c r="G37" s="3" t="s">
        <v>63</v>
      </c>
    </row>
    <row r="38" spans="1:7">
      <c r="A38" s="6">
        <v>42901</v>
      </c>
      <c r="B38" s="3" t="s">
        <v>13</v>
      </c>
      <c r="C38" s="3" t="s">
        <v>14</v>
      </c>
      <c r="D38" s="8" t="str">
        <f>HYPERLINK("http://npthd.inbcu.com/ViewContent.aspx?filename=NPMR_ABC_2017-06-15_E.MP4$5050$5066","Bachelorette")</f>
        <v>Bachelorette</v>
      </c>
      <c r="E38" s="3" t="s">
        <v>64</v>
      </c>
      <c r="F38" s="3" t="s">
        <v>63</v>
      </c>
      <c r="G38" s="3" t="s">
        <v>65</v>
      </c>
    </row>
    <row r="39" spans="1:7">
      <c r="A39" s="6">
        <v>42901</v>
      </c>
      <c r="B39" s="3" t="s">
        <v>13</v>
      </c>
      <c r="C39" s="3" t="s">
        <v>32</v>
      </c>
      <c r="D39" s="8" t="str">
        <f>HYPERLINK("http://npthd.inbcu.com/ViewContent.aspx?filename=NPMR_ABC_2017-06-15_E.MP4$5066$5126","LOCAL")</f>
        <v>LOCAL</v>
      </c>
      <c r="E39" s="3" t="s">
        <v>66</v>
      </c>
      <c r="F39" s="3" t="s">
        <v>65</v>
      </c>
      <c r="G39" s="3" t="s">
        <v>67</v>
      </c>
    </row>
    <row r="40" spans="1:7">
      <c r="A40" s="6">
        <v>42901</v>
      </c>
      <c r="B40" s="3" t="s">
        <v>13</v>
      </c>
      <c r="C40" s="3" t="s">
        <v>18</v>
      </c>
      <c r="D40" s="8" t="str">
        <f>HYPERLINK("http://npthd.inbcu.com/ViewContent.aspx?filename=NPMR_ABC_2017-06-15_E.MP4$5126$5593","TO TELL THE TRUTH:")</f>
        <v>TO TELL THE TRUTH:</v>
      </c>
      <c r="E40" s="3" t="s">
        <v>68</v>
      </c>
      <c r="F40" s="3" t="s">
        <v>67</v>
      </c>
      <c r="G40" s="3" t="s">
        <v>69</v>
      </c>
    </row>
    <row r="41" spans="1:7">
      <c r="A41" s="6">
        <v>42901</v>
      </c>
      <c r="B41" s="3" t="s">
        <v>13</v>
      </c>
      <c r="C41" s="3" t="s">
        <v>21</v>
      </c>
      <c r="D41" s="8" t="str">
        <f>HYPERLINK("http://npthd.inbcu.com/ViewContent.aspx?filename=NPMR_ABC_2017-06-15_E.MP4$5593$5773","COMMERCIAL")</f>
        <v>COMMERCIAL</v>
      </c>
      <c r="E41" s="3" t="s">
        <v>22</v>
      </c>
      <c r="F41" s="3" t="s">
        <v>69</v>
      </c>
      <c r="G41" s="3" t="s">
        <v>70</v>
      </c>
    </row>
    <row r="42" spans="1:7">
      <c r="A42" s="6">
        <v>42901</v>
      </c>
      <c r="B42" s="3" t="s">
        <v>13</v>
      </c>
      <c r="C42" s="3" t="s">
        <v>14</v>
      </c>
      <c r="D42" s="8" t="str">
        <f>HYPERLINK("http://npthd.inbcu.com/ViewContent.aspx?filename=NPMR_ABC_2017-06-15_E.MP4$5773$5803","Gong Show, The")</f>
        <v>Gong Show, The</v>
      </c>
      <c r="E42" s="3" t="s">
        <v>38</v>
      </c>
      <c r="F42" s="3" t="s">
        <v>70</v>
      </c>
      <c r="G42" s="3" t="s">
        <v>71</v>
      </c>
    </row>
    <row r="43" spans="1:7">
      <c r="A43" s="6">
        <v>42901</v>
      </c>
      <c r="B43" s="3" t="s">
        <v>13</v>
      </c>
      <c r="C43" s="3" t="s">
        <v>14</v>
      </c>
      <c r="D43" s="8" t="str">
        <f>HYPERLINK("http://npthd.inbcu.com/ViewContent.aspx?filename=NPMR_ABC_2017-06-15_E.MP4$5803$5818","Battle of the Network Stars")</f>
        <v>Battle of the Network Stars</v>
      </c>
      <c r="E43" s="3" t="s">
        <v>30</v>
      </c>
      <c r="F43" s="3" t="s">
        <v>71</v>
      </c>
      <c r="G43" s="3" t="s">
        <v>72</v>
      </c>
    </row>
    <row r="44" spans="1:7">
      <c r="A44" s="6">
        <v>42901</v>
      </c>
      <c r="B44" s="3" t="s">
        <v>13</v>
      </c>
      <c r="C44" s="3" t="s">
        <v>18</v>
      </c>
      <c r="D44" s="8" t="str">
        <f>HYPERLINK("http://npthd.inbcu.com/ViewContent.aspx?filename=NPMR_ABC_2017-06-15_E.MP4$5818$6302","TO TELL THE TRUTH:")</f>
        <v>TO TELL THE TRUTH:</v>
      </c>
      <c r="E44" s="3" t="s">
        <v>73</v>
      </c>
      <c r="F44" s="3" t="s">
        <v>72</v>
      </c>
      <c r="G44" s="3" t="s">
        <v>74</v>
      </c>
    </row>
    <row r="45" spans="1:7">
      <c r="A45" s="6">
        <v>42901</v>
      </c>
      <c r="B45" s="3" t="s">
        <v>13</v>
      </c>
      <c r="C45" s="3" t="s">
        <v>21</v>
      </c>
      <c r="D45" s="8" t="str">
        <f>HYPERLINK("http://npthd.inbcu.com/ViewContent.aspx?filename=NPMR_ABC_2017-06-15_E.MP4$6302$6422","COMMERCIAL")</f>
        <v>COMMERCIAL</v>
      </c>
      <c r="E45" s="3" t="s">
        <v>43</v>
      </c>
      <c r="F45" s="3" t="s">
        <v>74</v>
      </c>
      <c r="G45" s="3" t="s">
        <v>75</v>
      </c>
    </row>
    <row r="46" spans="1:7">
      <c r="A46" s="6">
        <v>42901</v>
      </c>
      <c r="B46" s="3" t="s">
        <v>13</v>
      </c>
      <c r="C46" s="3" t="s">
        <v>14</v>
      </c>
      <c r="D46" s="8" t="str">
        <f>HYPERLINK("http://npthd.inbcu.com/ViewContent.aspx?filename=NPMR_ABC_2017-06-15_E.MP4$6422$6452","Watergate special")</f>
        <v>Watergate special</v>
      </c>
      <c r="E46" s="3" t="s">
        <v>38</v>
      </c>
      <c r="F46" s="3" t="s">
        <v>75</v>
      </c>
      <c r="G46" s="3" t="s">
        <v>76</v>
      </c>
    </row>
    <row r="47" spans="1:7">
      <c r="A47" s="6">
        <v>42901</v>
      </c>
      <c r="B47" s="3" t="s">
        <v>13</v>
      </c>
      <c r="C47" s="3" t="s">
        <v>32</v>
      </c>
      <c r="D47" s="8" t="str">
        <f>HYPERLINK("http://npthd.inbcu.com/ViewContent.aspx?filename=NPMR_ABC_2017-06-15_E.MP4$6452$6543","LOCAL")</f>
        <v>LOCAL</v>
      </c>
      <c r="E47" s="3" t="s">
        <v>77</v>
      </c>
      <c r="F47" s="3" t="s">
        <v>76</v>
      </c>
      <c r="G47" s="3" t="s">
        <v>78</v>
      </c>
    </row>
    <row r="48" spans="1:7">
      <c r="A48" s="6">
        <v>42901</v>
      </c>
      <c r="B48" s="3" t="s">
        <v>13</v>
      </c>
      <c r="C48" s="3" t="s">
        <v>18</v>
      </c>
      <c r="D48" s="8" t="str">
        <f>HYPERLINK("http://npthd.inbcu.com/ViewContent.aspx?filename=NPMR_ABC_2017-06-15_E.MP4$6543$6919","TO TELL THE TRUTH:")</f>
        <v>TO TELL THE TRUTH:</v>
      </c>
      <c r="E48" s="3" t="s">
        <v>79</v>
      </c>
      <c r="F48" s="3" t="s">
        <v>78</v>
      </c>
      <c r="G48" s="3" t="s">
        <v>80</v>
      </c>
    </row>
    <row r="49" spans="1:7">
      <c r="A49" s="6">
        <v>42901</v>
      </c>
      <c r="B49" s="3" t="s">
        <v>13</v>
      </c>
      <c r="C49" s="3" t="s">
        <v>21</v>
      </c>
      <c r="D49" s="8" t="str">
        <f>HYPERLINK("http://npthd.inbcu.com/ViewContent.aspx?filename=NPMR_ABC_2017-06-15_E.MP4$6919$7069","COMMERCIAL")</f>
        <v>COMMERCIAL</v>
      </c>
      <c r="E49" s="3" t="s">
        <v>28</v>
      </c>
      <c r="F49" s="3" t="s">
        <v>80</v>
      </c>
      <c r="G49" s="3" t="s">
        <v>81</v>
      </c>
    </row>
    <row r="50" spans="1:7">
      <c r="A50" s="6">
        <v>42901</v>
      </c>
      <c r="B50" s="3" t="s">
        <v>13</v>
      </c>
      <c r="C50" s="3" t="s">
        <v>14</v>
      </c>
      <c r="D50" s="8" t="str">
        <f>HYPERLINK("http://npthd.inbcu.com/ViewContent.aspx?filename=NPMR_ABC_2017-06-15_E.MP4$7069$7085","Battle of the Network Stars")</f>
        <v>Battle of the Network Stars</v>
      </c>
      <c r="E50" s="3" t="s">
        <v>64</v>
      </c>
      <c r="F50" s="3" t="s">
        <v>81</v>
      </c>
      <c r="G50" s="3" t="s">
        <v>82</v>
      </c>
    </row>
    <row r="51" spans="1:7">
      <c r="A51" s="6">
        <v>42901</v>
      </c>
      <c r="B51" s="3" t="s">
        <v>13</v>
      </c>
      <c r="C51" s="3" t="s">
        <v>14</v>
      </c>
      <c r="D51" s="8" t="str">
        <f>HYPERLINK("http://npthd.inbcu.com/ViewContent.aspx?filename=NPMR_ABC_2017-06-15_E.MP4$7085$7100","To Tell the Truth")</f>
        <v>To Tell the Truth</v>
      </c>
      <c r="E51" s="3" t="s">
        <v>30</v>
      </c>
      <c r="F51" s="3" t="s">
        <v>82</v>
      </c>
      <c r="G51" s="3" t="s">
        <v>83</v>
      </c>
    </row>
    <row r="52" spans="1:7">
      <c r="A52" s="6">
        <v>42901</v>
      </c>
      <c r="B52" s="3" t="s">
        <v>13</v>
      </c>
      <c r="C52" s="3" t="s">
        <v>32</v>
      </c>
      <c r="D52" s="8" t="str">
        <f>HYPERLINK("http://npthd.inbcu.com/ViewContent.aspx?filename=NPMR_ABC_2017-06-15_E.MP4$7100$7104","LOCAL")</f>
        <v>LOCAL</v>
      </c>
      <c r="E52" s="3" t="s">
        <v>84</v>
      </c>
      <c r="F52" s="3" t="s">
        <v>83</v>
      </c>
      <c r="G52" s="3" t="s">
        <v>85</v>
      </c>
    </row>
    <row r="53" spans="1:7">
      <c r="A53" s="6">
        <v>42901</v>
      </c>
      <c r="B53" s="3" t="s">
        <v>13</v>
      </c>
      <c r="C53" s="3" t="s">
        <v>18</v>
      </c>
      <c r="D53" s="8" t="str">
        <f>HYPERLINK("http://npthd.inbcu.com/ViewContent.aspx?filename=NPMR_ABC_2017-06-15_E.MP4$7104$7329","TO TELL THE TRUTH:")</f>
        <v>TO TELL THE TRUTH:</v>
      </c>
      <c r="E53" s="3" t="s">
        <v>86</v>
      </c>
      <c r="F53" s="3" t="s">
        <v>85</v>
      </c>
      <c r="G53" s="3" t="s">
        <v>87</v>
      </c>
    </row>
    <row r="54" spans="1:7">
      <c r="A54" s="6">
        <v>42901</v>
      </c>
      <c r="B54" s="3" t="s">
        <v>13</v>
      </c>
      <c r="C54" s="3" t="s">
        <v>14</v>
      </c>
      <c r="D54" s="8" t="str">
        <f>HYPERLINK("http://npthd.inbcu.com/ViewContent.aspx?filename=NPMR_ABC_2017-06-15_E.MP4$7329$7334","100,000 Pyramid")</f>
        <v>100,000 Pyramid</v>
      </c>
      <c r="E54" s="3" t="s">
        <v>54</v>
      </c>
      <c r="F54" s="3" t="s">
        <v>87</v>
      </c>
      <c r="G54" s="3" t="s">
        <v>88</v>
      </c>
    </row>
    <row r="55" spans="1:7">
      <c r="A55" s="6">
        <v>42901</v>
      </c>
      <c r="B55" s="3" t="s">
        <v>13</v>
      </c>
      <c r="C55" s="3" t="s">
        <v>18</v>
      </c>
      <c r="D55" s="8" t="str">
        <f>HYPERLINK("http://npthd.inbcu.com/ViewContent.aspx?filename=NPMR_ABC_2017-06-15_E.MP4$7334$7909","THE $100,000 PYRAMID:")</f>
        <v>THE $100,000 PYRAMID:</v>
      </c>
      <c r="E55" s="3" t="s">
        <v>89</v>
      </c>
      <c r="F55" s="3" t="s">
        <v>88</v>
      </c>
      <c r="G55" s="3" t="s">
        <v>90</v>
      </c>
    </row>
    <row r="56" spans="1:7">
      <c r="A56" s="6">
        <v>42901</v>
      </c>
      <c r="B56" s="3" t="s">
        <v>13</v>
      </c>
      <c r="C56" s="3" t="s">
        <v>21</v>
      </c>
      <c r="D56" s="8" t="str">
        <f>HYPERLINK("http://npthd.inbcu.com/ViewContent.aspx?filename=NPMR_ABC_2017-06-15_E.MP4$7909$8060","COMMERCIAL")</f>
        <v>COMMERCIAL</v>
      </c>
      <c r="E56" s="3" t="s">
        <v>91</v>
      </c>
      <c r="F56" s="3" t="s">
        <v>90</v>
      </c>
      <c r="G56" s="3" t="s">
        <v>92</v>
      </c>
    </row>
    <row r="57" spans="1:7">
      <c r="A57" s="6">
        <v>42901</v>
      </c>
      <c r="B57" s="3" t="s">
        <v>13</v>
      </c>
      <c r="C57" s="3" t="s">
        <v>14</v>
      </c>
      <c r="D57" s="8" t="str">
        <f>HYPERLINK("http://npthd.inbcu.com/ViewContent.aspx?filename=NPMR_ABC_2017-06-15_E.MP4$8060$8075","100,000 Pyramid")</f>
        <v>100,000 Pyramid</v>
      </c>
      <c r="E57" s="3" t="s">
        <v>30</v>
      </c>
      <c r="F57" s="3" t="s">
        <v>92</v>
      </c>
      <c r="G57" s="3" t="s">
        <v>93</v>
      </c>
    </row>
    <row r="58" spans="1:7">
      <c r="A58" s="6">
        <v>42901</v>
      </c>
      <c r="B58" s="3" t="s">
        <v>13</v>
      </c>
      <c r="C58" s="3" t="s">
        <v>14</v>
      </c>
      <c r="D58" s="8" t="str">
        <f>HYPERLINK("http://npthd.inbcu.com/ViewContent.aspx?filename=NPMR_ABC_2017-06-15_E.MP4$8075$8090","Boy Band")</f>
        <v>Boy Band</v>
      </c>
      <c r="E58" s="3" t="s">
        <v>30</v>
      </c>
      <c r="F58" s="3" t="s">
        <v>93</v>
      </c>
      <c r="G58" s="3" t="s">
        <v>94</v>
      </c>
    </row>
    <row r="59" spans="1:7">
      <c r="A59" s="6">
        <v>42901</v>
      </c>
      <c r="B59" s="3" t="s">
        <v>13</v>
      </c>
      <c r="C59" s="3" t="s">
        <v>18</v>
      </c>
      <c r="D59" s="8" t="str">
        <f>HYPERLINK("http://npthd.inbcu.com/ViewContent.aspx?filename=NPMR_ABC_2017-06-15_E.MP4$8090$8238","THE $100,000 PYRAMID:")</f>
        <v>THE $100,000 PYRAMID:</v>
      </c>
      <c r="E59" s="3" t="s">
        <v>95</v>
      </c>
      <c r="F59" s="3" t="s">
        <v>94</v>
      </c>
      <c r="G59" s="3" t="s">
        <v>96</v>
      </c>
    </row>
    <row r="60" spans="1:7">
      <c r="A60" s="6">
        <v>42901</v>
      </c>
      <c r="B60" s="3" t="s">
        <v>13</v>
      </c>
      <c r="C60" s="3" t="s">
        <v>21</v>
      </c>
      <c r="D60" s="8" t="str">
        <f>HYPERLINK("http://npthd.inbcu.com/ViewContent.aspx?filename=NPMR_ABC_2017-06-15_E.MP4$8238$8358","COMMERCIAL")</f>
        <v>COMMERCIAL</v>
      </c>
      <c r="E60" s="3" t="s">
        <v>43</v>
      </c>
      <c r="F60" s="3" t="s">
        <v>96</v>
      </c>
      <c r="G60" s="3" t="s">
        <v>97</v>
      </c>
    </row>
    <row r="61" spans="1:7">
      <c r="A61" s="6">
        <v>42901</v>
      </c>
      <c r="B61" s="3" t="s">
        <v>13</v>
      </c>
      <c r="C61" s="3" t="s">
        <v>14</v>
      </c>
      <c r="D61" s="8" t="str">
        <f>HYPERLINK("http://npthd.inbcu.com/ViewContent.aspx?filename=NPMR_ABC_2017-06-15_E.MP4$8358$8389","Gong Show, The")</f>
        <v>Gong Show, The</v>
      </c>
      <c r="E61" s="3" t="s">
        <v>98</v>
      </c>
      <c r="F61" s="3" t="s">
        <v>97</v>
      </c>
      <c r="G61" s="3" t="s">
        <v>99</v>
      </c>
    </row>
    <row r="62" spans="1:7">
      <c r="A62" s="6">
        <v>42901</v>
      </c>
      <c r="B62" s="3" t="s">
        <v>13</v>
      </c>
      <c r="C62" s="3" t="s">
        <v>18</v>
      </c>
      <c r="D62" s="8" t="str">
        <f>HYPERLINK("http://npthd.inbcu.com/ViewContent.aspx?filename=NPMR_ABC_2017-06-15_E.MP4$8389$8800","THE $100,000 PYRAMID:")</f>
        <v>THE $100,000 PYRAMID:</v>
      </c>
      <c r="E62" s="3" t="s">
        <v>100</v>
      </c>
      <c r="F62" s="3" t="s">
        <v>99</v>
      </c>
      <c r="G62" s="3" t="s">
        <v>101</v>
      </c>
    </row>
    <row r="63" spans="1:7">
      <c r="A63" s="6">
        <v>42901</v>
      </c>
      <c r="B63" s="3" t="s">
        <v>13</v>
      </c>
      <c r="C63" s="3" t="s">
        <v>21</v>
      </c>
      <c r="D63" s="8" t="str">
        <f>HYPERLINK("http://npthd.inbcu.com/ViewContent.aspx?filename=NPMR_ABC_2017-06-15_E.MP4$8800$8891","COMMERCIAL")</f>
        <v>COMMERCIAL</v>
      </c>
      <c r="E63" s="3" t="s">
        <v>77</v>
      </c>
      <c r="F63" s="3" t="s">
        <v>101</v>
      </c>
      <c r="G63" s="3" t="s">
        <v>102</v>
      </c>
    </row>
    <row r="64" spans="1:7">
      <c r="A64" s="6">
        <v>42901</v>
      </c>
      <c r="B64" s="3" t="s">
        <v>13</v>
      </c>
      <c r="C64" s="3" t="s">
        <v>14</v>
      </c>
      <c r="D64" s="8" t="str">
        <f>HYPERLINK("http://npthd.inbcu.com/ViewContent.aspx?filename=NPMR_ABC_2017-06-15_E.MP4$8891$8906","To Tell the Truth")</f>
        <v>To Tell the Truth</v>
      </c>
      <c r="E64" s="3" t="s">
        <v>30</v>
      </c>
      <c r="F64" s="3" t="s">
        <v>102</v>
      </c>
      <c r="G64" s="3" t="s">
        <v>103</v>
      </c>
    </row>
    <row r="65" spans="1:7">
      <c r="A65" s="6">
        <v>42901</v>
      </c>
      <c r="B65" s="3" t="s">
        <v>13</v>
      </c>
      <c r="C65" s="3" t="s">
        <v>32</v>
      </c>
      <c r="D65" s="8" t="str">
        <f>HYPERLINK("http://npthd.inbcu.com/ViewContent.aspx?filename=NPMR_ABC_2017-06-15_E.MP4$8906$9013","LOCAL")</f>
        <v>LOCAL</v>
      </c>
      <c r="E65" s="3" t="s">
        <v>104</v>
      </c>
      <c r="F65" s="3" t="s">
        <v>103</v>
      </c>
      <c r="G65" s="3" t="s">
        <v>105</v>
      </c>
    </row>
    <row r="66" spans="1:7">
      <c r="A66" s="6">
        <v>42901</v>
      </c>
      <c r="B66" s="3" t="s">
        <v>13</v>
      </c>
      <c r="C66" s="3" t="s">
        <v>18</v>
      </c>
      <c r="D66" s="8" t="str">
        <f>HYPERLINK("http://npthd.inbcu.com/ViewContent.aspx?filename=NPMR_ABC_2017-06-15_E.MP4$9013$9670","THE $100,000 PYRAMID:")</f>
        <v>THE $100,000 PYRAMID:</v>
      </c>
      <c r="E66" s="3" t="s">
        <v>106</v>
      </c>
      <c r="F66" s="3" t="s">
        <v>105</v>
      </c>
      <c r="G66" s="3" t="s">
        <v>107</v>
      </c>
    </row>
    <row r="67" spans="1:7">
      <c r="A67" s="6">
        <v>42901</v>
      </c>
      <c r="B67" s="3" t="s">
        <v>13</v>
      </c>
      <c r="C67" s="3" t="s">
        <v>21</v>
      </c>
      <c r="D67" s="8" t="str">
        <f>HYPERLINK("http://npthd.inbcu.com/ViewContent.aspx?filename=NPMR_ABC_2017-06-15_E.MP4$9670$9851","COMMERCIAL")</f>
        <v>COMMERCIAL</v>
      </c>
      <c r="E67" s="3" t="s">
        <v>108</v>
      </c>
      <c r="F67" s="3" t="s">
        <v>107</v>
      </c>
      <c r="G67" s="3" t="s">
        <v>109</v>
      </c>
    </row>
    <row r="68" spans="1:7">
      <c r="A68" s="6">
        <v>42901</v>
      </c>
      <c r="B68" s="3" t="s">
        <v>13</v>
      </c>
      <c r="C68" s="3" t="s">
        <v>14</v>
      </c>
      <c r="D68" s="8" t="str">
        <f>HYPERLINK("http://npthd.inbcu.com/ViewContent.aspx?filename=NPMR_ABC_2017-06-15_E.MP4$9851$9866","Good Morning America")</f>
        <v>Good Morning America</v>
      </c>
      <c r="E68" s="3" t="s">
        <v>30</v>
      </c>
      <c r="F68" s="3" t="s">
        <v>109</v>
      </c>
      <c r="G68" s="3" t="s">
        <v>110</v>
      </c>
    </row>
    <row r="69" spans="1:7">
      <c r="A69" s="6">
        <v>42901</v>
      </c>
      <c r="B69" s="3" t="s">
        <v>13</v>
      </c>
      <c r="C69" s="3" t="s">
        <v>18</v>
      </c>
      <c r="D69" s="8" t="str">
        <f>HYPERLINK("http://npthd.inbcu.com/ViewContent.aspx?filename=NPMR_ABC_2017-06-15_E.MP4$9866$10010","THE $100,000 PYRAMID:")</f>
        <v>THE $100,000 PYRAMID:</v>
      </c>
      <c r="E69" s="3" t="s">
        <v>111</v>
      </c>
      <c r="F69" s="3" t="s">
        <v>110</v>
      </c>
      <c r="G69" s="3" t="s">
        <v>112</v>
      </c>
    </row>
    <row r="70" spans="1:7">
      <c r="A70" s="6">
        <v>42901</v>
      </c>
      <c r="B70" s="3" t="s">
        <v>13</v>
      </c>
      <c r="C70" s="3" t="s">
        <v>21</v>
      </c>
      <c r="D70" s="8" t="str">
        <f>HYPERLINK("http://npthd.inbcu.com/ViewContent.aspx?filename=NPMR_ABC_2017-06-15_E.MP4$10010$10070","COMMERCIAL")</f>
        <v>COMMERCIAL</v>
      </c>
      <c r="E70" s="3" t="s">
        <v>66</v>
      </c>
      <c r="F70" s="3" t="s">
        <v>112</v>
      </c>
      <c r="G70" s="3" t="s">
        <v>113</v>
      </c>
    </row>
    <row r="71" spans="1:7">
      <c r="A71" s="6">
        <v>42901</v>
      </c>
      <c r="B71" s="3" t="s">
        <v>13</v>
      </c>
      <c r="C71" s="3" t="s">
        <v>14</v>
      </c>
      <c r="D71" s="8" t="str">
        <f>HYPERLINK("http://npthd.inbcu.com/ViewContent.aspx?filename=NPMR_ABC_2017-06-15_E.MP4$10070$10076","Jimmy Kimmel Live!")</f>
        <v>Jimmy Kimmel Live!</v>
      </c>
      <c r="E71" s="3" t="s">
        <v>15</v>
      </c>
      <c r="F71" s="3" t="s">
        <v>113</v>
      </c>
      <c r="G71" s="3" t="s">
        <v>114</v>
      </c>
    </row>
    <row r="72" spans="1:7">
      <c r="A72" s="6">
        <v>42901</v>
      </c>
      <c r="B72" s="3" t="s">
        <v>13</v>
      </c>
      <c r="C72" s="3" t="s">
        <v>32</v>
      </c>
      <c r="D72" s="8" t="str">
        <f>HYPERLINK("http://npthd.inbcu.com/ViewContent.aspx?filename=NPMR_ABC_2017-06-15_E.MP4$10076$10166","LOCAL")</f>
        <v>LOCAL</v>
      </c>
      <c r="E72" s="3" t="s">
        <v>46</v>
      </c>
      <c r="F72" s="3" t="s">
        <v>114</v>
      </c>
      <c r="G72" s="3" t="s">
        <v>115</v>
      </c>
    </row>
    <row r="73" spans="1:7">
      <c r="A73" s="6">
        <v>42901</v>
      </c>
      <c r="B73" s="3" t="s">
        <v>13</v>
      </c>
      <c r="C73" s="3" t="s">
        <v>18</v>
      </c>
      <c r="D73" s="8" t="str">
        <f>HYPERLINK("http://npthd.inbcu.com/ViewContent.aspx?filename=NPMR_ABC_2017-06-15_E.MP4$10166$10603","THE $100,000 PYRAMID:")</f>
        <v>THE $100,000 PYRAMID:</v>
      </c>
      <c r="E73" s="3" t="s">
        <v>116</v>
      </c>
      <c r="F73" s="3" t="s">
        <v>115</v>
      </c>
      <c r="G73" s="3" t="s">
        <v>117</v>
      </c>
    </row>
    <row r="74" spans="1:7">
      <c r="A74" s="6">
        <v>42901</v>
      </c>
      <c r="B74" s="3" t="s">
        <v>13</v>
      </c>
      <c r="C74" s="3" t="s">
        <v>32</v>
      </c>
      <c r="D74" s="8" t="str">
        <f>HYPERLINK("http://npthd.inbcu.com/ViewContent.aspx?filename=NPMR_ABC_2017-06-15_E.MP4$10603$10619","LOCAL")</f>
        <v>LOCAL</v>
      </c>
      <c r="E74" s="3" t="s">
        <v>64</v>
      </c>
      <c r="F74" s="3" t="s">
        <v>117</v>
      </c>
      <c r="G74" s="3" t="s">
        <v>118</v>
      </c>
    </row>
    <row r="75" spans="1:7">
      <c r="A75" s="6">
        <v>42901</v>
      </c>
      <c r="B75" s="3" t="s">
        <v>13</v>
      </c>
      <c r="C75" s="3" t="s">
        <v>21</v>
      </c>
      <c r="D75" s="8" t="str">
        <f>HYPERLINK("http://npthd.inbcu.com/ViewContent.aspx?filename=NPMR_ABC_2017-06-15_E.MP4$10619$10738","COMMERCIAL")</f>
        <v>COMMERCIAL</v>
      </c>
      <c r="E75" s="3" t="s">
        <v>119</v>
      </c>
      <c r="F75" s="3" t="s">
        <v>118</v>
      </c>
      <c r="G75" s="3" t="s">
        <v>120</v>
      </c>
    </row>
    <row r="76" spans="1:7">
      <c r="A76" s="6">
        <v>42901</v>
      </c>
      <c r="B76" s="3" t="s">
        <v>13</v>
      </c>
      <c r="C76" s="3" t="s">
        <v>14</v>
      </c>
      <c r="D76" s="8" t="str">
        <f>HYPERLINK("http://npthd.inbcu.com/ViewContent.aspx?filename=NPMR_ABC_2017-06-15_E.MP4$10738$10754","Nightline")</f>
        <v>Nightline</v>
      </c>
      <c r="E76" s="3" t="s">
        <v>64</v>
      </c>
      <c r="F76" s="3" t="s">
        <v>120</v>
      </c>
      <c r="G76" s="3" t="s">
        <v>121</v>
      </c>
    </row>
    <row r="77" spans="1:7">
      <c r="A77" s="6">
        <v>42901</v>
      </c>
      <c r="B77" s="3" t="s">
        <v>13</v>
      </c>
      <c r="C77" s="3" t="s">
        <v>18</v>
      </c>
      <c r="D77" s="8" t="str">
        <f>HYPERLINK("http://npthd.inbcu.com/ViewContent.aspx?filename=NPMR_ABC_2017-06-15_E.MP4$10754$10913","THE $100,000 PYRAMID:")</f>
        <v>THE $100,000 PYRAMID:</v>
      </c>
      <c r="E77" s="3" t="s">
        <v>122</v>
      </c>
      <c r="F77" s="3" t="s">
        <v>121</v>
      </c>
      <c r="G77" s="3" t="s">
        <v>123</v>
      </c>
    </row>
    <row r="78" spans="1:7">
      <c r="A78" s="6">
        <v>42901</v>
      </c>
      <c r="B78" s="3" t="s">
        <v>13</v>
      </c>
      <c r="C78" s="3" t="s">
        <v>32</v>
      </c>
      <c r="D78" s="8" t="str">
        <f>HYPERLINK("http://npthd.inbcu.com/ViewContent.aspx?filename=NPMR_ABC_2017-06-15_E.MP4$10913$10928","LOCAL")</f>
        <v>LOCAL</v>
      </c>
      <c r="E78" s="3" t="s">
        <v>30</v>
      </c>
      <c r="F78" s="3" t="s">
        <v>123</v>
      </c>
      <c r="G78" s="3" t="s">
        <v>124</v>
      </c>
    </row>
    <row r="79" spans="1:7">
      <c r="A79" s="6">
        <v>42902</v>
      </c>
      <c r="B79" s="3" t="s">
        <v>13</v>
      </c>
      <c r="C79" s="3" t="s">
        <v>14</v>
      </c>
      <c r="D79" s="8" t="str">
        <f>HYPERLINK("http://npthd.inbcu.com/ViewContent.aspx?filename=NPMR_ABC_2017-06-16_E.MP4$130$135","ABC Open")</f>
        <v>ABC Open</v>
      </c>
      <c r="E79" s="3" t="s">
        <v>54</v>
      </c>
      <c r="F79" s="3" t="s">
        <v>16</v>
      </c>
      <c r="G79" s="3" t="s">
        <v>125</v>
      </c>
    </row>
    <row r="80" spans="1:7">
      <c r="A80" s="6">
        <v>42902</v>
      </c>
      <c r="B80" s="3" t="s">
        <v>13</v>
      </c>
      <c r="C80" s="3" t="s">
        <v>18</v>
      </c>
      <c r="D80" s="8" t="str">
        <f>HYPERLINK("http://npthd.inbcu.com/ViewContent.aspx?filename=NPMR_ABC_2017-06-16_E.MP4$135$823","SHARK TANK: 815")</f>
        <v>SHARK TANK: 815</v>
      </c>
      <c r="E80" s="3" t="s">
        <v>126</v>
      </c>
      <c r="F80" s="3" t="s">
        <v>125</v>
      </c>
      <c r="G80" s="3" t="s">
        <v>127</v>
      </c>
    </row>
    <row r="81" spans="1:7">
      <c r="A81" s="6">
        <v>42902</v>
      </c>
      <c r="B81" s="3" t="s">
        <v>13</v>
      </c>
      <c r="C81" s="3" t="s">
        <v>21</v>
      </c>
      <c r="D81" s="8" t="str">
        <f>HYPERLINK("http://npthd.inbcu.com/ViewContent.aspx?filename=NPMR_ABC_2017-06-16_E.MP4$823$975","COMMERCIAL")</f>
        <v>COMMERCIAL</v>
      </c>
      <c r="E81" s="3" t="s">
        <v>128</v>
      </c>
      <c r="F81" s="3" t="s">
        <v>127</v>
      </c>
      <c r="G81" s="3" t="s">
        <v>129</v>
      </c>
    </row>
    <row r="82" spans="1:7">
      <c r="A82" s="6">
        <v>42902</v>
      </c>
      <c r="B82" s="3" t="s">
        <v>13</v>
      </c>
      <c r="C82" s="3" t="s">
        <v>14</v>
      </c>
      <c r="D82" s="8" t="str">
        <f>HYPERLINK("http://npthd.inbcu.com/ViewContent.aspx?filename=NPMR_ABC_2017-06-16_E.MP4$975$1005","Watergate special")</f>
        <v>Watergate special</v>
      </c>
      <c r="E82" s="3" t="s">
        <v>38</v>
      </c>
      <c r="F82" s="3" t="s">
        <v>129</v>
      </c>
      <c r="G82" s="3" t="s">
        <v>130</v>
      </c>
    </row>
    <row r="83" spans="1:7">
      <c r="A83" s="6">
        <v>42902</v>
      </c>
      <c r="B83" s="3" t="s">
        <v>13</v>
      </c>
      <c r="C83" s="3" t="s">
        <v>18</v>
      </c>
      <c r="D83" s="8" t="str">
        <f>HYPERLINK("http://npthd.inbcu.com/ViewContent.aspx?filename=NPMR_ABC_2017-06-16_E.MP4$1005$1550","SHARK TANK: 815")</f>
        <v>SHARK TANK: 815</v>
      </c>
      <c r="E83" s="3" t="s">
        <v>131</v>
      </c>
      <c r="F83" s="3" t="s">
        <v>130</v>
      </c>
      <c r="G83" s="3" t="s">
        <v>132</v>
      </c>
    </row>
    <row r="84" spans="1:7">
      <c r="A84" s="6">
        <v>42902</v>
      </c>
      <c r="B84" s="3" t="s">
        <v>13</v>
      </c>
      <c r="C84" s="3" t="s">
        <v>21</v>
      </c>
      <c r="D84" s="8" t="str">
        <f>HYPERLINK("http://npthd.inbcu.com/ViewContent.aspx?filename=NPMR_ABC_2017-06-16_E.MP4$1550$1670","COMMERCIAL")</f>
        <v>COMMERCIAL</v>
      </c>
      <c r="E84" s="3" t="s">
        <v>43</v>
      </c>
      <c r="F84" s="3" t="s">
        <v>132</v>
      </c>
      <c r="G84" s="3" t="s">
        <v>133</v>
      </c>
    </row>
    <row r="85" spans="1:7">
      <c r="A85" s="6">
        <v>42902</v>
      </c>
      <c r="B85" s="3" t="s">
        <v>13</v>
      </c>
      <c r="C85" s="3" t="s">
        <v>14</v>
      </c>
      <c r="D85" s="8" t="str">
        <f>HYPERLINK("http://npthd.inbcu.com/ViewContent.aspx?filename=NPMR_ABC_2017-06-16_E.MP4$1670$1685","To Tell the Truth")</f>
        <v>To Tell the Truth</v>
      </c>
      <c r="E85" s="3" t="s">
        <v>30</v>
      </c>
      <c r="F85" s="3" t="s">
        <v>133</v>
      </c>
      <c r="G85" s="3" t="s">
        <v>134</v>
      </c>
    </row>
    <row r="86" spans="1:7">
      <c r="A86" s="6">
        <v>42902</v>
      </c>
      <c r="B86" s="3" t="s">
        <v>13</v>
      </c>
      <c r="C86" s="3" t="s">
        <v>14</v>
      </c>
      <c r="D86" s="8" t="str">
        <f>HYPERLINK("http://npthd.inbcu.com/ViewContent.aspx?filename=NPMR_ABC_2017-06-16_E.MP4$1685$1715","Boy Band")</f>
        <v>Boy Band</v>
      </c>
      <c r="E86" s="3" t="s">
        <v>38</v>
      </c>
      <c r="F86" s="3" t="s">
        <v>134</v>
      </c>
      <c r="G86" s="3" t="s">
        <v>135</v>
      </c>
    </row>
    <row r="87" spans="1:7">
      <c r="A87" s="6">
        <v>42902</v>
      </c>
      <c r="B87" s="3" t="s">
        <v>13</v>
      </c>
      <c r="C87" s="3" t="s">
        <v>32</v>
      </c>
      <c r="D87" s="8" t="str">
        <f>HYPERLINK("http://npthd.inbcu.com/ViewContent.aspx?filename=NPMR_ABC_2017-06-16_E.MP4$1715$1776","LOCAL")</f>
        <v>LOCAL</v>
      </c>
      <c r="E87" s="3" t="s">
        <v>33</v>
      </c>
      <c r="F87" s="3" t="s">
        <v>135</v>
      </c>
      <c r="G87" s="3" t="s">
        <v>136</v>
      </c>
    </row>
    <row r="88" spans="1:7">
      <c r="A88" s="6">
        <v>42902</v>
      </c>
      <c r="B88" s="3" t="s">
        <v>13</v>
      </c>
      <c r="C88" s="3" t="s">
        <v>18</v>
      </c>
      <c r="D88" s="8" t="str">
        <f>HYPERLINK("http://npthd.inbcu.com/ViewContent.aspx?filename=NPMR_ABC_2017-06-16_E.MP4$1776$1977","SHARK TANK: 815")</f>
        <v>SHARK TANK: 815</v>
      </c>
      <c r="E88" s="3" t="s">
        <v>137</v>
      </c>
      <c r="F88" s="3" t="s">
        <v>136</v>
      </c>
      <c r="G88" s="3" t="s">
        <v>138</v>
      </c>
    </row>
    <row r="89" spans="1:7">
      <c r="A89" s="6">
        <v>42902</v>
      </c>
      <c r="B89" s="3" t="s">
        <v>13</v>
      </c>
      <c r="C89" s="3" t="s">
        <v>21</v>
      </c>
      <c r="D89" s="8" t="str">
        <f>HYPERLINK("http://npthd.inbcu.com/ViewContent.aspx?filename=NPMR_ABC_2017-06-16_E.MP4$1977$2128","COMMERCIAL")</f>
        <v>COMMERCIAL</v>
      </c>
      <c r="E89" s="3" t="s">
        <v>91</v>
      </c>
      <c r="F89" s="3" t="s">
        <v>138</v>
      </c>
      <c r="G89" s="3" t="s">
        <v>139</v>
      </c>
    </row>
    <row r="90" spans="1:7">
      <c r="A90" s="6">
        <v>42902</v>
      </c>
      <c r="B90" s="3" t="s">
        <v>13</v>
      </c>
      <c r="C90" s="3" t="s">
        <v>14</v>
      </c>
      <c r="D90" s="8" t="str">
        <f>HYPERLINK("http://npthd.inbcu.com/ViewContent.aspx?filename=NPMR_ABC_2017-06-16_E.MP4$2128$2158","Gong Show, The")</f>
        <v>Gong Show, The</v>
      </c>
      <c r="E90" s="3" t="s">
        <v>38</v>
      </c>
      <c r="F90" s="3" t="s">
        <v>139</v>
      </c>
      <c r="G90" s="3" t="s">
        <v>140</v>
      </c>
    </row>
    <row r="91" spans="1:7">
      <c r="A91" s="6">
        <v>42902</v>
      </c>
      <c r="B91" s="3" t="s">
        <v>13</v>
      </c>
      <c r="C91" s="3" t="s">
        <v>14</v>
      </c>
      <c r="D91" s="8" t="str">
        <f>HYPERLINK("http://npthd.inbcu.com/ViewContent.aspx?filename=NPMR_ABC_2017-06-16_E.MP4$2158$2188","Battle of the Network Stars")</f>
        <v>Battle of the Network Stars</v>
      </c>
      <c r="E91" s="3" t="s">
        <v>38</v>
      </c>
      <c r="F91" s="3" t="s">
        <v>140</v>
      </c>
      <c r="G91" s="3" t="s">
        <v>141</v>
      </c>
    </row>
    <row r="92" spans="1:7">
      <c r="A92" s="6">
        <v>42902</v>
      </c>
      <c r="B92" s="3" t="s">
        <v>13</v>
      </c>
      <c r="C92" s="3" t="s">
        <v>18</v>
      </c>
      <c r="D92" s="8" t="str">
        <f>HYPERLINK("http://npthd.inbcu.com/ViewContent.aspx?filename=NPMR_ABC_2017-06-16_E.MP4$2188$2528","SHARK TANK: 815")</f>
        <v>SHARK TANK: 815</v>
      </c>
      <c r="E92" s="3" t="s">
        <v>142</v>
      </c>
      <c r="F92" s="3" t="s">
        <v>141</v>
      </c>
      <c r="G92" s="3" t="s">
        <v>143</v>
      </c>
    </row>
    <row r="93" spans="1:7">
      <c r="A93" s="6">
        <v>42902</v>
      </c>
      <c r="B93" s="3" t="s">
        <v>13</v>
      </c>
      <c r="C93" s="3" t="s">
        <v>21</v>
      </c>
      <c r="D93" s="8" t="str">
        <f>HYPERLINK("http://npthd.inbcu.com/ViewContent.aspx?filename=NPMR_ABC_2017-06-16_E.MP4$2528$2694","COMMERCIAL")</f>
        <v>COMMERCIAL</v>
      </c>
      <c r="E93" s="3" t="s">
        <v>144</v>
      </c>
      <c r="F93" s="3" t="s">
        <v>143</v>
      </c>
      <c r="G93" s="3" t="s">
        <v>145</v>
      </c>
    </row>
    <row r="94" spans="1:7">
      <c r="A94" s="6">
        <v>42902</v>
      </c>
      <c r="B94" s="3" t="s">
        <v>13</v>
      </c>
      <c r="C94" s="3" t="s">
        <v>14</v>
      </c>
      <c r="D94" s="8" t="str">
        <f>HYPERLINK("http://npthd.inbcu.com/ViewContent.aspx?filename=NPMR_ABC_2017-06-16_E.MP4$2694$2724","ABC Summer Fun &amp; Games")</f>
        <v>ABC Summer Fun &amp; Games</v>
      </c>
      <c r="E94" s="3" t="s">
        <v>38</v>
      </c>
      <c r="F94" s="3" t="s">
        <v>145</v>
      </c>
      <c r="G94" s="3" t="s">
        <v>146</v>
      </c>
    </row>
    <row r="95" spans="1:7">
      <c r="A95" s="6">
        <v>42902</v>
      </c>
      <c r="B95" s="3" t="s">
        <v>13</v>
      </c>
      <c r="C95" s="3" t="s">
        <v>32</v>
      </c>
      <c r="D95" s="8" t="str">
        <f>HYPERLINK("http://npthd.inbcu.com/ViewContent.aspx?filename=NPMR_ABC_2017-06-16_E.MP4$2724$2784","LOCAL")</f>
        <v>LOCAL</v>
      </c>
      <c r="E95" s="3" t="s">
        <v>66</v>
      </c>
      <c r="F95" s="3" t="s">
        <v>146</v>
      </c>
      <c r="G95" s="3" t="s">
        <v>147</v>
      </c>
    </row>
    <row r="96" spans="1:7">
      <c r="A96" s="6">
        <v>42902</v>
      </c>
      <c r="B96" s="3" t="s">
        <v>13</v>
      </c>
      <c r="C96" s="3" t="s">
        <v>18</v>
      </c>
      <c r="D96" s="8" t="str">
        <f>HYPERLINK("http://npthd.inbcu.com/ViewContent.aspx?filename=NPMR_ABC_2017-06-16_E.MP4$2784$3327","SHARK TANK: 815")</f>
        <v>SHARK TANK: 815</v>
      </c>
      <c r="E96" s="3" t="s">
        <v>148</v>
      </c>
      <c r="F96" s="3" t="s">
        <v>147</v>
      </c>
      <c r="G96" s="3" t="s">
        <v>149</v>
      </c>
    </row>
    <row r="97" spans="1:7">
      <c r="A97" s="6">
        <v>42902</v>
      </c>
      <c r="B97" s="3" t="s">
        <v>13</v>
      </c>
      <c r="C97" s="3" t="s">
        <v>21</v>
      </c>
      <c r="D97" s="8" t="str">
        <f>HYPERLINK("http://npthd.inbcu.com/ViewContent.aspx?filename=NPMR_ABC_2017-06-16_E.MP4$3327$3537","COMMERCIAL")</f>
        <v>COMMERCIAL</v>
      </c>
      <c r="E97" s="3" t="s">
        <v>150</v>
      </c>
      <c r="F97" s="3" t="s">
        <v>149</v>
      </c>
      <c r="G97" s="3" t="s">
        <v>151</v>
      </c>
    </row>
    <row r="98" spans="1:7">
      <c r="A98" s="6">
        <v>42902</v>
      </c>
      <c r="B98" s="3" t="s">
        <v>13</v>
      </c>
      <c r="C98" s="3" t="s">
        <v>14</v>
      </c>
      <c r="D98" s="8" t="str">
        <f>HYPERLINK("http://npthd.inbcu.com/ViewContent.aspx?filename=NPMR_ABC_2017-06-16_E.MP4$3537$3567","Watergate special")</f>
        <v>Watergate special</v>
      </c>
      <c r="E98" s="3" t="s">
        <v>38</v>
      </c>
      <c r="F98" s="3" t="s">
        <v>151</v>
      </c>
      <c r="G98" s="3" t="s">
        <v>152</v>
      </c>
    </row>
    <row r="99" spans="1:7">
      <c r="A99" s="6">
        <v>42902</v>
      </c>
      <c r="B99" s="3" t="s">
        <v>13</v>
      </c>
      <c r="C99" s="3" t="s">
        <v>32</v>
      </c>
      <c r="D99" s="8" t="str">
        <f>HYPERLINK("http://npthd.inbcu.com/ViewContent.aspx?filename=NPMR_ABC_2017-06-16_E.MP4$3567$3571","LOCAL")</f>
        <v>LOCAL</v>
      </c>
      <c r="E99" s="3" t="s">
        <v>84</v>
      </c>
      <c r="F99" s="3" t="s">
        <v>152</v>
      </c>
      <c r="G99" s="3" t="s">
        <v>153</v>
      </c>
    </row>
    <row r="100" spans="1:7">
      <c r="A100" s="6">
        <v>42902</v>
      </c>
      <c r="B100" s="3" t="s">
        <v>13</v>
      </c>
      <c r="C100" s="3" t="s">
        <v>18</v>
      </c>
      <c r="D100" s="8" t="str">
        <f>HYPERLINK("http://npthd.inbcu.com/ViewContent.aspx?filename=NPMR_ABC_2017-06-16_E.MP4$3571$3754","SHARK TANK: 815")</f>
        <v>SHARK TANK: 815</v>
      </c>
      <c r="E100" s="3" t="s">
        <v>154</v>
      </c>
      <c r="F100" s="3" t="s">
        <v>153</v>
      </c>
      <c r="G100" s="3" t="s">
        <v>155</v>
      </c>
    </row>
    <row r="101" spans="1:7">
      <c r="A101" s="6">
        <v>42902</v>
      </c>
      <c r="B101" s="3" t="s">
        <v>13</v>
      </c>
      <c r="C101" s="3" t="s">
        <v>14</v>
      </c>
      <c r="D101" s="8" t="str">
        <f>HYPERLINK("http://npthd.inbcu.com/ViewContent.aspx?filename=NPMR_ABC_2017-06-16_E.MP4$3754$3784","Boy Band")</f>
        <v>Boy Band</v>
      </c>
      <c r="E101" s="3" t="s">
        <v>38</v>
      </c>
      <c r="F101" s="3" t="s">
        <v>155</v>
      </c>
      <c r="G101" s="3" t="s">
        <v>156</v>
      </c>
    </row>
    <row r="102" spans="1:7">
      <c r="A102" s="6">
        <v>42902</v>
      </c>
      <c r="B102" s="3" t="s">
        <v>13</v>
      </c>
      <c r="C102" s="3" t="s">
        <v>18</v>
      </c>
      <c r="D102" s="8" t="str">
        <f>HYPERLINK("http://npthd.inbcu.com/ViewContent.aspx?filename=NPMR_ABC_2017-06-16_E.MP4$3784$3790","SHARK TANK: 815")</f>
        <v>SHARK TANK: 815</v>
      </c>
      <c r="E102" s="3" t="s">
        <v>15</v>
      </c>
      <c r="F102" s="3" t="s">
        <v>156</v>
      </c>
      <c r="G102" s="3" t="s">
        <v>157</v>
      </c>
    </row>
    <row r="103" spans="1:7">
      <c r="A103" s="6">
        <v>42902</v>
      </c>
      <c r="B103" s="3" t="s">
        <v>13</v>
      </c>
      <c r="C103" s="3" t="s">
        <v>18</v>
      </c>
      <c r="D103" s="8" t="str">
        <f>HYPERLINK("http://npthd.inbcu.com/ViewContent.aspx?filename=NPMR_ABC_2017-06-16_E.MP4$3790$4512","ABC NEWS SPECIALS: truth and lies: watergate")</f>
        <v>ABC NEWS SPECIALS: truth and lies: watergate</v>
      </c>
      <c r="E103" s="3" t="s">
        <v>158</v>
      </c>
      <c r="F103" s="3" t="s">
        <v>157</v>
      </c>
      <c r="G103" s="3" t="s">
        <v>159</v>
      </c>
    </row>
    <row r="104" spans="1:7">
      <c r="A104" s="6">
        <v>42902</v>
      </c>
      <c r="B104" s="3" t="s">
        <v>13</v>
      </c>
      <c r="C104" s="3" t="s">
        <v>21</v>
      </c>
      <c r="D104" s="8" t="str">
        <f>HYPERLINK("http://npthd.inbcu.com/ViewContent.aspx?filename=NPMR_ABC_2017-06-16_E.MP4$4512$4693","COMMERCIAL")</f>
        <v>COMMERCIAL</v>
      </c>
      <c r="E104" s="3" t="s">
        <v>108</v>
      </c>
      <c r="F104" s="3" t="s">
        <v>159</v>
      </c>
      <c r="G104" s="3" t="s">
        <v>160</v>
      </c>
    </row>
    <row r="105" spans="1:7">
      <c r="A105" s="6">
        <v>42902</v>
      </c>
      <c r="B105" s="3" t="s">
        <v>13</v>
      </c>
      <c r="C105" s="3" t="s">
        <v>14</v>
      </c>
      <c r="D105" s="8" t="str">
        <f>HYPERLINK("http://npthd.inbcu.com/ViewContent.aspx?filename=NPMR_ABC_2017-06-16_E.MP4$4693$4723","ABC Sunday Fun and Games")</f>
        <v>ABC Sunday Fun and Games</v>
      </c>
      <c r="E105" s="3" t="s">
        <v>38</v>
      </c>
      <c r="F105" s="3" t="s">
        <v>160</v>
      </c>
      <c r="G105" s="3" t="s">
        <v>161</v>
      </c>
    </row>
    <row r="106" spans="1:7">
      <c r="A106" s="6">
        <v>42902</v>
      </c>
      <c r="B106" s="3" t="s">
        <v>13</v>
      </c>
      <c r="C106" s="3" t="s">
        <v>14</v>
      </c>
      <c r="D106" s="8" t="str">
        <f>HYPERLINK("http://npthd.inbcu.com/ViewContent.aspx?filename=NPMR_ABC_2017-06-16_E.MP4$4723$4738","Gong Show, The")</f>
        <v>Gong Show, The</v>
      </c>
      <c r="E106" s="3" t="s">
        <v>30</v>
      </c>
      <c r="F106" s="3" t="s">
        <v>161</v>
      </c>
      <c r="G106" s="3" t="s">
        <v>162</v>
      </c>
    </row>
    <row r="107" spans="1:7">
      <c r="A107" s="6">
        <v>42902</v>
      </c>
      <c r="B107" s="3" t="s">
        <v>13</v>
      </c>
      <c r="C107" s="3" t="s">
        <v>18</v>
      </c>
      <c r="D107" s="8" t="str">
        <f>HYPERLINK("http://npthd.inbcu.com/ViewContent.aspx?filename=NPMR_ABC_2017-06-16_E.MP4$4738$5186","ABC NEWS SPECIALS: truth and lies: watergate")</f>
        <v>ABC NEWS SPECIALS: truth and lies: watergate</v>
      </c>
      <c r="E107" s="3" t="s">
        <v>163</v>
      </c>
      <c r="F107" s="3" t="s">
        <v>162</v>
      </c>
      <c r="G107" s="3" t="s">
        <v>164</v>
      </c>
    </row>
    <row r="108" spans="1:7">
      <c r="A108" s="6">
        <v>42902</v>
      </c>
      <c r="B108" s="3" t="s">
        <v>13</v>
      </c>
      <c r="C108" s="3" t="s">
        <v>21</v>
      </c>
      <c r="D108" s="8" t="str">
        <f>HYPERLINK("http://npthd.inbcu.com/ViewContent.aspx?filename=NPMR_ABC_2017-06-16_E.MP4$5186$5337","COMMERCIAL")</f>
        <v>COMMERCIAL</v>
      </c>
      <c r="E108" s="3" t="s">
        <v>91</v>
      </c>
      <c r="F108" s="3" t="s">
        <v>164</v>
      </c>
      <c r="G108" s="3" t="s">
        <v>165</v>
      </c>
    </row>
    <row r="109" spans="1:7">
      <c r="A109" s="6">
        <v>42902</v>
      </c>
      <c r="B109" s="3" t="s">
        <v>13</v>
      </c>
      <c r="C109" s="3" t="s">
        <v>14</v>
      </c>
      <c r="D109" s="8" t="str">
        <f>HYPERLINK("http://npthd.inbcu.com/ViewContent.aspx?filename=NPMR_ABC_2017-06-16_E.MP4$5337$5367","What Would You Do?")</f>
        <v>What Would You Do?</v>
      </c>
      <c r="E109" s="3" t="s">
        <v>38</v>
      </c>
      <c r="F109" s="3" t="s">
        <v>165</v>
      </c>
      <c r="G109" s="3" t="s">
        <v>166</v>
      </c>
    </row>
    <row r="110" spans="1:7">
      <c r="A110" s="6">
        <v>42902</v>
      </c>
      <c r="B110" s="3" t="s">
        <v>13</v>
      </c>
      <c r="C110" s="3" t="s">
        <v>32</v>
      </c>
      <c r="D110" s="8" t="str">
        <f>HYPERLINK("http://npthd.inbcu.com/ViewContent.aspx?filename=NPMR_ABC_2017-06-16_E.MP4$5367$5427","LOCAL")</f>
        <v>LOCAL</v>
      </c>
      <c r="E110" s="3" t="s">
        <v>66</v>
      </c>
      <c r="F110" s="3" t="s">
        <v>166</v>
      </c>
      <c r="G110" s="3" t="s">
        <v>167</v>
      </c>
    </row>
    <row r="111" spans="1:7">
      <c r="A111" s="6">
        <v>42902</v>
      </c>
      <c r="B111" s="3" t="s">
        <v>13</v>
      </c>
      <c r="C111" s="3" t="s">
        <v>18</v>
      </c>
      <c r="D111" s="8" t="str">
        <f>HYPERLINK("http://npthd.inbcu.com/ViewContent.aspx?filename=NPMR_ABC_2017-06-16_E.MP4$5427$5824","ABC NEWS SPECIALS: truth and lies: watergate")</f>
        <v>ABC NEWS SPECIALS: truth and lies: watergate</v>
      </c>
      <c r="E111" s="3" t="s">
        <v>168</v>
      </c>
      <c r="F111" s="3" t="s">
        <v>167</v>
      </c>
      <c r="G111" s="3" t="s">
        <v>169</v>
      </c>
    </row>
    <row r="112" spans="1:7">
      <c r="A112" s="6">
        <v>42902</v>
      </c>
      <c r="B112" s="3" t="s">
        <v>13</v>
      </c>
      <c r="C112" s="3" t="s">
        <v>21</v>
      </c>
      <c r="D112" s="8" t="str">
        <f>HYPERLINK("http://npthd.inbcu.com/ViewContent.aspx?filename=NPMR_ABC_2017-06-16_E.MP4$5824$6005","COMMERCIAL")</f>
        <v>COMMERCIAL</v>
      </c>
      <c r="E112" s="3" t="s">
        <v>108</v>
      </c>
      <c r="F112" s="3" t="s">
        <v>169</v>
      </c>
      <c r="G112" s="3" t="s">
        <v>170</v>
      </c>
    </row>
    <row r="113" spans="1:7">
      <c r="A113" s="6">
        <v>42902</v>
      </c>
      <c r="B113" s="3" t="s">
        <v>13</v>
      </c>
      <c r="C113" s="3" t="s">
        <v>14</v>
      </c>
      <c r="D113" s="8" t="str">
        <f>HYPERLINK("http://npthd.inbcu.com/ViewContent.aspx?filename=NPMR_ABC_2017-06-16_E.MP4$6005$6020","Good Morning America")</f>
        <v>Good Morning America</v>
      </c>
      <c r="E113" s="3" t="s">
        <v>30</v>
      </c>
      <c r="F113" s="3" t="s">
        <v>170</v>
      </c>
      <c r="G113" s="3" t="s">
        <v>171</v>
      </c>
    </row>
    <row r="114" spans="1:7">
      <c r="A114" s="6">
        <v>42902</v>
      </c>
      <c r="B114" s="3" t="s">
        <v>13</v>
      </c>
      <c r="C114" s="3" t="s">
        <v>14</v>
      </c>
      <c r="D114" s="8" t="str">
        <f>HYPERLINK("http://npthd.inbcu.com/ViewContent.aspx?filename=NPMR_ABC_2017-06-16_E.MP4$6020$6035","World News Tonight")</f>
        <v>World News Tonight</v>
      </c>
      <c r="E114" s="3" t="s">
        <v>30</v>
      </c>
      <c r="F114" s="3" t="s">
        <v>171</v>
      </c>
      <c r="G114" s="3" t="s">
        <v>172</v>
      </c>
    </row>
    <row r="115" spans="1:7">
      <c r="A115" s="6">
        <v>42902</v>
      </c>
      <c r="B115" s="3" t="s">
        <v>13</v>
      </c>
      <c r="C115" s="3" t="s">
        <v>14</v>
      </c>
      <c r="D115" s="8" t="str">
        <f>HYPERLINK("http://npthd.inbcu.com/ViewContent.aspx?filename=NPMR_ABC_2017-06-16_E.MP4$6035$6065","Battle of the Network Stars")</f>
        <v>Battle of the Network Stars</v>
      </c>
      <c r="E115" s="3" t="s">
        <v>38</v>
      </c>
      <c r="F115" s="3" t="s">
        <v>172</v>
      </c>
      <c r="G115" s="3" t="s">
        <v>173</v>
      </c>
    </row>
    <row r="116" spans="1:7">
      <c r="A116" s="6">
        <v>42902</v>
      </c>
      <c r="B116" s="3" t="s">
        <v>13</v>
      </c>
      <c r="C116" s="3" t="s">
        <v>18</v>
      </c>
      <c r="D116" s="8" t="str">
        <f>HYPERLINK("http://npthd.inbcu.com/ViewContent.aspx?filename=NPMR_ABC_2017-06-16_E.MP4$6065$6549","ABC NEWS SPECIALS: truth and lies: watergate")</f>
        <v>ABC NEWS SPECIALS: truth and lies: watergate</v>
      </c>
      <c r="E116" s="3" t="s">
        <v>73</v>
      </c>
      <c r="F116" s="3" t="s">
        <v>173</v>
      </c>
      <c r="G116" s="3" t="s">
        <v>174</v>
      </c>
    </row>
    <row r="117" spans="1:7">
      <c r="A117" s="6">
        <v>42902</v>
      </c>
      <c r="B117" s="3" t="s">
        <v>13</v>
      </c>
      <c r="C117" s="3" t="s">
        <v>21</v>
      </c>
      <c r="D117" s="8" t="str">
        <f>HYPERLINK("http://npthd.inbcu.com/ViewContent.aspx?filename=NPMR_ABC_2017-06-16_E.MP4$6549$6670","COMMERCIAL")</f>
        <v>COMMERCIAL</v>
      </c>
      <c r="E117" s="3" t="s">
        <v>175</v>
      </c>
      <c r="F117" s="3" t="s">
        <v>174</v>
      </c>
      <c r="G117" s="3" t="s">
        <v>176</v>
      </c>
    </row>
    <row r="118" spans="1:7">
      <c r="A118" s="6">
        <v>42902</v>
      </c>
      <c r="B118" s="3" t="s">
        <v>13</v>
      </c>
      <c r="C118" s="3" t="s">
        <v>14</v>
      </c>
      <c r="D118" s="8" t="str">
        <f>HYPERLINK("http://npthd.inbcu.com/ViewContent.aspx?filename=NPMR_ABC_2017-06-16_E.MP4$6670$6685","To Tell the Truth")</f>
        <v>To Tell the Truth</v>
      </c>
      <c r="E118" s="3" t="s">
        <v>30</v>
      </c>
      <c r="F118" s="3" t="s">
        <v>176</v>
      </c>
      <c r="G118" s="3" t="s">
        <v>177</v>
      </c>
    </row>
    <row r="119" spans="1:7">
      <c r="A119" s="6">
        <v>42902</v>
      </c>
      <c r="B119" s="3" t="s">
        <v>13</v>
      </c>
      <c r="C119" s="3" t="s">
        <v>32</v>
      </c>
      <c r="D119" s="8" t="str">
        <f>HYPERLINK("http://npthd.inbcu.com/ViewContent.aspx?filename=NPMR_ABC_2017-06-16_E.MP4$6685$6775","LOCAL")</f>
        <v>LOCAL</v>
      </c>
      <c r="E119" s="3" t="s">
        <v>46</v>
      </c>
      <c r="F119" s="3" t="s">
        <v>177</v>
      </c>
      <c r="G119" s="3" t="s">
        <v>178</v>
      </c>
    </row>
    <row r="120" spans="1:7">
      <c r="A120" s="6">
        <v>42902</v>
      </c>
      <c r="B120" s="3" t="s">
        <v>13</v>
      </c>
      <c r="C120" s="3" t="s">
        <v>18</v>
      </c>
      <c r="D120" s="8" t="str">
        <f>HYPERLINK("http://npthd.inbcu.com/ViewContent.aspx?filename=NPMR_ABC_2017-06-16_E.MP4$6775$7113","ABC NEWS SPECIALS: truth and lies: watergate")</f>
        <v>ABC NEWS SPECIALS: truth and lies: watergate</v>
      </c>
      <c r="E120" s="3" t="s">
        <v>179</v>
      </c>
      <c r="F120" s="3" t="s">
        <v>178</v>
      </c>
      <c r="G120" s="3" t="s">
        <v>180</v>
      </c>
    </row>
    <row r="121" spans="1:7">
      <c r="A121" s="6">
        <v>42902</v>
      </c>
      <c r="B121" s="3" t="s">
        <v>13</v>
      </c>
      <c r="C121" s="3" t="s">
        <v>21</v>
      </c>
      <c r="D121" s="8" t="str">
        <f>HYPERLINK("http://npthd.inbcu.com/ViewContent.aspx?filename=NPMR_ABC_2017-06-16_E.MP4$7113$7294","COMMERCIAL")</f>
        <v>COMMERCIAL</v>
      </c>
      <c r="E121" s="3" t="s">
        <v>108</v>
      </c>
      <c r="F121" s="3" t="s">
        <v>180</v>
      </c>
      <c r="G121" s="3" t="s">
        <v>181</v>
      </c>
    </row>
    <row r="122" spans="1:7">
      <c r="A122" s="6">
        <v>42902</v>
      </c>
      <c r="B122" s="3" t="s">
        <v>13</v>
      </c>
      <c r="C122" s="3" t="s">
        <v>14</v>
      </c>
      <c r="D122" s="8" t="str">
        <f>HYPERLINK("http://npthd.inbcu.com/ViewContent.aspx?filename=NPMR_ABC_2017-06-16_E.MP4$7294$7309","Bachelorette")</f>
        <v>Bachelorette</v>
      </c>
      <c r="E122" s="3" t="s">
        <v>30</v>
      </c>
      <c r="F122" s="3" t="s">
        <v>181</v>
      </c>
      <c r="G122" s="3" t="s">
        <v>182</v>
      </c>
    </row>
    <row r="123" spans="1:7">
      <c r="A123" s="6">
        <v>42902</v>
      </c>
      <c r="B123" s="3" t="s">
        <v>13</v>
      </c>
      <c r="C123" s="3" t="s">
        <v>14</v>
      </c>
      <c r="D123" s="8" t="str">
        <f>HYPERLINK("http://npthd.inbcu.com/ViewContent.aspx?filename=NPMR_ABC_2017-06-16_E.MP4$7309$7324","Boy Band")</f>
        <v>Boy Band</v>
      </c>
      <c r="E123" s="3" t="s">
        <v>30</v>
      </c>
      <c r="F123" s="3" t="s">
        <v>182</v>
      </c>
      <c r="G123" s="3" t="s">
        <v>183</v>
      </c>
    </row>
    <row r="124" spans="1:7">
      <c r="A124" s="6">
        <v>42902</v>
      </c>
      <c r="B124" s="3" t="s">
        <v>13</v>
      </c>
      <c r="C124" s="3" t="s">
        <v>32</v>
      </c>
      <c r="D124" s="8" t="str">
        <f>HYPERLINK("http://npthd.inbcu.com/ViewContent.aspx?filename=NPMR_ABC_2017-06-16_E.MP4$7324$7328","LOCAL")</f>
        <v>LOCAL</v>
      </c>
      <c r="E124" s="3" t="s">
        <v>84</v>
      </c>
      <c r="F124" s="3" t="s">
        <v>183</v>
      </c>
      <c r="G124" s="3" t="s">
        <v>184</v>
      </c>
    </row>
    <row r="125" spans="1:7">
      <c r="A125" s="6">
        <v>42902</v>
      </c>
      <c r="B125" s="3" t="s">
        <v>13</v>
      </c>
      <c r="C125" s="3" t="s">
        <v>18</v>
      </c>
      <c r="D125" s="8" t="str">
        <f>HYPERLINK("http://npthd.inbcu.com/ViewContent.aspx?filename=NPMR_ABC_2017-06-16_E.MP4$7328$8069","ABC NEWS SPECIALS: truth and lies: watergate")</f>
        <v>ABC NEWS SPECIALS: truth and lies: watergate</v>
      </c>
      <c r="E125" s="3" t="s">
        <v>185</v>
      </c>
      <c r="F125" s="3" t="s">
        <v>184</v>
      </c>
      <c r="G125" s="3" t="s">
        <v>186</v>
      </c>
    </row>
    <row r="126" spans="1:7">
      <c r="A126" s="6">
        <v>42902</v>
      </c>
      <c r="B126" s="3" t="s">
        <v>13</v>
      </c>
      <c r="C126" s="3" t="s">
        <v>21</v>
      </c>
      <c r="D126" s="8" t="str">
        <f>HYPERLINK("http://npthd.inbcu.com/ViewContent.aspx?filename=NPMR_ABC_2017-06-16_E.MP4$8069$8250","COMMERCIAL")</f>
        <v>COMMERCIAL</v>
      </c>
      <c r="E126" s="3" t="s">
        <v>108</v>
      </c>
      <c r="F126" s="3" t="s">
        <v>186</v>
      </c>
      <c r="G126" s="3" t="s">
        <v>187</v>
      </c>
    </row>
    <row r="127" spans="1:7">
      <c r="A127" s="6">
        <v>42902</v>
      </c>
      <c r="B127" s="3" t="s">
        <v>13</v>
      </c>
      <c r="C127" s="3" t="s">
        <v>14</v>
      </c>
      <c r="D127" s="8" t="str">
        <f>HYPERLINK("http://npthd.inbcu.com/ViewContent.aspx?filename=NPMR_ABC_2017-06-16_E.MP4$8250$8280","Gong Show, The")</f>
        <v>Gong Show, The</v>
      </c>
      <c r="E127" s="3" t="s">
        <v>38</v>
      </c>
      <c r="F127" s="3" t="s">
        <v>187</v>
      </c>
      <c r="G127" s="3" t="s">
        <v>188</v>
      </c>
    </row>
    <row r="128" spans="1:7">
      <c r="A128" s="6">
        <v>42902</v>
      </c>
      <c r="B128" s="3" t="s">
        <v>13</v>
      </c>
      <c r="C128" s="3" t="s">
        <v>14</v>
      </c>
      <c r="D128" s="8" t="str">
        <f>HYPERLINK("http://npthd.inbcu.com/ViewContent.aspx?filename=NPMR_ABC_2017-06-16_E.MP4$8280$8310","Battle of the Network Stars")</f>
        <v>Battle of the Network Stars</v>
      </c>
      <c r="E128" s="3" t="s">
        <v>38</v>
      </c>
      <c r="F128" s="3" t="s">
        <v>188</v>
      </c>
      <c r="G128" s="3" t="s">
        <v>189</v>
      </c>
    </row>
    <row r="129" spans="1:7">
      <c r="A129" s="6">
        <v>42902</v>
      </c>
      <c r="B129" s="3" t="s">
        <v>13</v>
      </c>
      <c r="C129" s="3" t="s">
        <v>18</v>
      </c>
      <c r="D129" s="8" t="str">
        <f>HYPERLINK("http://npthd.inbcu.com/ViewContent.aspx?filename=NPMR_ABC_2017-06-16_E.MP4$8310$8670","ABC NEWS SPECIALS: truth and lies: watergate")</f>
        <v>ABC NEWS SPECIALS: truth and lies: watergate</v>
      </c>
      <c r="E129" s="3" t="s">
        <v>190</v>
      </c>
      <c r="F129" s="3" t="s">
        <v>189</v>
      </c>
      <c r="G129" s="3" t="s">
        <v>191</v>
      </c>
    </row>
    <row r="130" spans="1:7">
      <c r="A130" s="6">
        <v>42902</v>
      </c>
      <c r="B130" s="3" t="s">
        <v>13</v>
      </c>
      <c r="C130" s="3" t="s">
        <v>21</v>
      </c>
      <c r="D130" s="8" t="str">
        <f>HYPERLINK("http://npthd.inbcu.com/ViewContent.aspx?filename=NPMR_ABC_2017-06-16_E.MP4$8670$8851","COMMERCIAL")</f>
        <v>COMMERCIAL</v>
      </c>
      <c r="E130" s="3" t="s">
        <v>108</v>
      </c>
      <c r="F130" s="3" t="s">
        <v>191</v>
      </c>
      <c r="G130" s="3" t="s">
        <v>192</v>
      </c>
    </row>
    <row r="131" spans="1:7">
      <c r="A131" s="6">
        <v>42902</v>
      </c>
      <c r="B131" s="3" t="s">
        <v>13</v>
      </c>
      <c r="C131" s="3" t="s">
        <v>14</v>
      </c>
      <c r="D131" s="8" t="str">
        <f>HYPERLINK("http://npthd.inbcu.com/ViewContent.aspx?filename=NPMR_ABC_2017-06-16_E.MP4$8851$8882","ABC Summer Fun &amp; Games")</f>
        <v>ABC Summer Fun &amp; Games</v>
      </c>
      <c r="E131" s="3" t="s">
        <v>98</v>
      </c>
      <c r="F131" s="3" t="s">
        <v>192</v>
      </c>
      <c r="G131" s="3" t="s">
        <v>193</v>
      </c>
    </row>
    <row r="132" spans="1:7">
      <c r="A132" s="6">
        <v>42902</v>
      </c>
      <c r="B132" s="3" t="s">
        <v>13</v>
      </c>
      <c r="C132" s="3" t="s">
        <v>18</v>
      </c>
      <c r="D132" s="8" t="str">
        <f>HYPERLINK("http://npthd.inbcu.com/ViewContent.aspx?filename=NPMR_ABC_2017-06-16_E.MP4$8882$9334","ABC NEWS SPECIALS: truth and lies: watergate")</f>
        <v>ABC NEWS SPECIALS: truth and lies: watergate</v>
      </c>
      <c r="E132" s="3" t="s">
        <v>194</v>
      </c>
      <c r="F132" s="3" t="s">
        <v>193</v>
      </c>
      <c r="G132" s="3" t="s">
        <v>195</v>
      </c>
    </row>
    <row r="133" spans="1:7">
      <c r="A133" s="6">
        <v>42902</v>
      </c>
      <c r="B133" s="3" t="s">
        <v>13</v>
      </c>
      <c r="C133" s="3" t="s">
        <v>21</v>
      </c>
      <c r="D133" s="8" t="str">
        <f>HYPERLINK("http://npthd.inbcu.com/ViewContent.aspx?filename=NPMR_ABC_2017-06-16_E.MP4$9334$9425","COMMERCIAL")</f>
        <v>COMMERCIAL</v>
      </c>
      <c r="E133" s="3" t="s">
        <v>77</v>
      </c>
      <c r="F133" s="3" t="s">
        <v>195</v>
      </c>
      <c r="G133" s="3" t="s">
        <v>196</v>
      </c>
    </row>
    <row r="134" spans="1:7">
      <c r="A134" s="6">
        <v>42902</v>
      </c>
      <c r="B134" s="3" t="s">
        <v>13</v>
      </c>
      <c r="C134" s="3" t="s">
        <v>14</v>
      </c>
      <c r="D134" s="8" t="str">
        <f>HYPERLINK("http://npthd.inbcu.com/ViewContent.aspx?filename=NPMR_ABC_2017-06-16_E.MP4$9425$9435","World News Tonight")</f>
        <v>World News Tonight</v>
      </c>
      <c r="E134" s="3" t="s">
        <v>197</v>
      </c>
      <c r="F134" s="3" t="s">
        <v>196</v>
      </c>
      <c r="G134" s="3" t="s">
        <v>198</v>
      </c>
    </row>
    <row r="135" spans="1:7">
      <c r="A135" s="6">
        <v>42902</v>
      </c>
      <c r="B135" s="3" t="s">
        <v>13</v>
      </c>
      <c r="C135" s="3" t="s">
        <v>32</v>
      </c>
      <c r="D135" s="8" t="str">
        <f>HYPERLINK("http://npthd.inbcu.com/ViewContent.aspx?filename=NPMR_ABC_2017-06-16_E.MP4$9435$9540","LOCAL")</f>
        <v>LOCAL</v>
      </c>
      <c r="E135" s="3" t="s">
        <v>199</v>
      </c>
      <c r="F135" s="3" t="s">
        <v>198</v>
      </c>
      <c r="G135" s="3" t="s">
        <v>200</v>
      </c>
    </row>
    <row r="136" spans="1:7">
      <c r="A136" s="6">
        <v>42902</v>
      </c>
      <c r="B136" s="3" t="s">
        <v>13</v>
      </c>
      <c r="C136" s="3" t="s">
        <v>18</v>
      </c>
      <c r="D136" s="8" t="str">
        <f>HYPERLINK("http://npthd.inbcu.com/ViewContent.aspx?filename=NPMR_ABC_2017-06-16_E.MP4$9540$9872","ABC NEWS SPECIALS: truth and lies: watergate")</f>
        <v>ABC NEWS SPECIALS: truth and lies: watergate</v>
      </c>
      <c r="E136" s="3" t="s">
        <v>201</v>
      </c>
      <c r="F136" s="3" t="s">
        <v>200</v>
      </c>
      <c r="G136" s="3" t="s">
        <v>202</v>
      </c>
    </row>
    <row r="137" spans="1:7">
      <c r="A137" s="6">
        <v>42902</v>
      </c>
      <c r="B137" s="3" t="s">
        <v>13</v>
      </c>
      <c r="C137" s="3" t="s">
        <v>21</v>
      </c>
      <c r="D137" s="8" t="str">
        <f>HYPERLINK("http://npthd.inbcu.com/ViewContent.aspx?filename=NPMR_ABC_2017-06-16_E.MP4$9872$9962","COMMERCIAL")</f>
        <v>COMMERCIAL</v>
      </c>
      <c r="E137" s="3" t="s">
        <v>46</v>
      </c>
      <c r="F137" s="3" t="s">
        <v>202</v>
      </c>
      <c r="G137" s="3" t="s">
        <v>203</v>
      </c>
    </row>
    <row r="138" spans="1:7">
      <c r="A138" s="6">
        <v>42902</v>
      </c>
      <c r="B138" s="3" t="s">
        <v>13</v>
      </c>
      <c r="C138" s="3" t="s">
        <v>14</v>
      </c>
      <c r="D138" s="8" t="str">
        <f>HYPERLINK("http://npthd.inbcu.com/ViewContent.aspx?filename=NPMR_ABC_2017-06-16_E.MP4$9962$9992","What Would You Do?")</f>
        <v>What Would You Do?</v>
      </c>
      <c r="E138" s="3" t="s">
        <v>38</v>
      </c>
      <c r="F138" s="3" t="s">
        <v>203</v>
      </c>
      <c r="G138" s="3" t="s">
        <v>204</v>
      </c>
    </row>
    <row r="139" spans="1:7">
      <c r="A139" s="6">
        <v>42902</v>
      </c>
      <c r="B139" s="3" t="s">
        <v>13</v>
      </c>
      <c r="C139" s="3" t="s">
        <v>14</v>
      </c>
      <c r="D139" s="8" t="str">
        <f>HYPERLINK("http://npthd.inbcu.com/ViewContent.aspx?filename=NPMR_ABC_2017-06-16_E.MP4$9992$10022","Gong Show, The")</f>
        <v>Gong Show, The</v>
      </c>
      <c r="E139" s="3" t="s">
        <v>38</v>
      </c>
      <c r="F139" s="3" t="s">
        <v>204</v>
      </c>
      <c r="G139" s="3" t="s">
        <v>205</v>
      </c>
    </row>
    <row r="140" spans="1:7">
      <c r="A140" s="6">
        <v>42902</v>
      </c>
      <c r="B140" s="3" t="s">
        <v>13</v>
      </c>
      <c r="C140" s="3" t="s">
        <v>32</v>
      </c>
      <c r="D140" s="8" t="str">
        <f>HYPERLINK("http://npthd.inbcu.com/ViewContent.aspx?filename=NPMR_ABC_2017-06-16_E.MP4$10022$10112","LOCAL")</f>
        <v>LOCAL</v>
      </c>
      <c r="E140" s="3" t="s">
        <v>46</v>
      </c>
      <c r="F140" s="3" t="s">
        <v>205</v>
      </c>
      <c r="G140" s="3" t="s">
        <v>206</v>
      </c>
    </row>
    <row r="141" spans="1:7">
      <c r="A141" s="6">
        <v>42902</v>
      </c>
      <c r="B141" s="3" t="s">
        <v>13</v>
      </c>
      <c r="C141" s="3" t="s">
        <v>18</v>
      </c>
      <c r="D141" s="8" t="str">
        <f>HYPERLINK("http://npthd.inbcu.com/ViewContent.aspx?filename=NPMR_ABC_2017-06-16_E.MP4$10112$10511","ABC NEWS SPECIALS: truth and lies: watergate")</f>
        <v>ABC NEWS SPECIALS: truth and lies: watergate</v>
      </c>
      <c r="E141" s="3" t="s">
        <v>207</v>
      </c>
      <c r="F141" s="3" t="s">
        <v>206</v>
      </c>
      <c r="G141" s="3" t="s">
        <v>208</v>
      </c>
    </row>
    <row r="142" spans="1:7">
      <c r="A142" s="6">
        <v>42902</v>
      </c>
      <c r="B142" s="3" t="s">
        <v>13</v>
      </c>
      <c r="C142" s="3" t="s">
        <v>32</v>
      </c>
      <c r="D142" s="8" t="str">
        <f>HYPERLINK("http://npthd.inbcu.com/ViewContent.aspx?filename=NPMR_ABC_2017-06-16_E.MP4$10511$10526","LOCAL")</f>
        <v>LOCAL</v>
      </c>
      <c r="E142" s="3" t="s">
        <v>30</v>
      </c>
      <c r="F142" s="3" t="s">
        <v>208</v>
      </c>
      <c r="G142" s="3" t="s">
        <v>209</v>
      </c>
    </row>
    <row r="143" spans="1:7">
      <c r="A143" s="6">
        <v>42902</v>
      </c>
      <c r="B143" s="3" t="s">
        <v>13</v>
      </c>
      <c r="C143" s="3" t="s">
        <v>14</v>
      </c>
      <c r="D143" s="8" t="str">
        <f>HYPERLINK("http://npthd.inbcu.com/ViewContent.aspx?filename=NPMR_ABC_2017-06-16_E.MP4$10526$10528","To Tell the Truth")</f>
        <v>To Tell the Truth</v>
      </c>
      <c r="E143" s="3" t="s">
        <v>210</v>
      </c>
      <c r="F143" s="3" t="s">
        <v>209</v>
      </c>
      <c r="G143" s="3" t="s">
        <v>211</v>
      </c>
    </row>
    <row r="144" spans="1:7">
      <c r="A144" s="6">
        <v>42902</v>
      </c>
      <c r="B144" s="3" t="s">
        <v>13</v>
      </c>
      <c r="C144" s="3" t="s">
        <v>21</v>
      </c>
      <c r="D144" s="8" t="str">
        <f>HYPERLINK("http://npthd.inbcu.com/ViewContent.aspx?filename=NPMR_ABC_2017-06-16_E.MP4$10528$10647","COMMERCIAL")</f>
        <v>COMMERCIAL</v>
      </c>
      <c r="E144" s="3" t="s">
        <v>119</v>
      </c>
      <c r="F144" s="3" t="s">
        <v>211</v>
      </c>
      <c r="G144" s="3" t="s">
        <v>212</v>
      </c>
    </row>
    <row r="145" spans="1:7">
      <c r="A145" s="6">
        <v>42902</v>
      </c>
      <c r="B145" s="3" t="s">
        <v>13</v>
      </c>
      <c r="C145" s="3" t="s">
        <v>14</v>
      </c>
      <c r="D145" s="8" t="str">
        <f>HYPERLINK("http://npthd.inbcu.com/ViewContent.aspx?filename=NPMR_ABC_2017-06-16_E.MP4$10647$10679","Bachelorette")</f>
        <v>Bachelorette</v>
      </c>
      <c r="E145" s="3" t="s">
        <v>213</v>
      </c>
      <c r="F145" s="3" t="s">
        <v>212</v>
      </c>
      <c r="G145" s="3" t="s">
        <v>214</v>
      </c>
    </row>
    <row r="146" spans="1:7">
      <c r="A146" s="6">
        <v>42902</v>
      </c>
      <c r="B146" s="3" t="s">
        <v>13</v>
      </c>
      <c r="C146" s="3" t="s">
        <v>18</v>
      </c>
      <c r="D146" s="8" t="str">
        <f>HYPERLINK("http://npthd.inbcu.com/ViewContent.aspx?filename=NPMR_ABC_2017-06-16_E.MP4$10679$10910","ABC NEWS SPECIALS: truth and lies: watergate")</f>
        <v>ABC NEWS SPECIALS: truth and lies: watergate</v>
      </c>
      <c r="E146" s="3" t="s">
        <v>215</v>
      </c>
      <c r="F146" s="3" t="s">
        <v>214</v>
      </c>
      <c r="G146" s="3" t="s">
        <v>216</v>
      </c>
    </row>
    <row r="147" spans="1:7">
      <c r="A147" s="6">
        <v>42902</v>
      </c>
      <c r="B147" s="3" t="s">
        <v>13</v>
      </c>
      <c r="C147" s="3" t="s">
        <v>14</v>
      </c>
      <c r="D147" s="8" t="str">
        <f>HYPERLINK("http://npthd.inbcu.com/ViewContent.aspx?filename=NPMR_ABC_2017-06-16_E.MP4$10910$10915","Boy Band")</f>
        <v>Boy Band</v>
      </c>
      <c r="E147" s="3" t="s">
        <v>54</v>
      </c>
      <c r="F147" s="3" t="s">
        <v>216</v>
      </c>
      <c r="G147" s="3" t="s">
        <v>123</v>
      </c>
    </row>
    <row r="148" spans="1:7">
      <c r="A148" s="6">
        <v>42902</v>
      </c>
      <c r="B148" s="3" t="s">
        <v>13</v>
      </c>
      <c r="C148" s="3" t="s">
        <v>32</v>
      </c>
      <c r="D148" s="8" t="str">
        <f>HYPERLINK("http://npthd.inbcu.com/ViewContent.aspx?filename=NPMR_ABC_2017-06-16_E.MP4$10915$10930","LOCAL")</f>
        <v>LOCAL</v>
      </c>
      <c r="E148" s="3" t="s">
        <v>30</v>
      </c>
      <c r="F148" s="3" t="s">
        <v>123</v>
      </c>
      <c r="G148" s="3" t="s">
        <v>124</v>
      </c>
    </row>
    <row r="149" spans="1:7">
      <c r="A149" s="6">
        <v>42903</v>
      </c>
      <c r="B149" s="3" t="s">
        <v>13</v>
      </c>
      <c r="C149" s="3" t="s">
        <v>14</v>
      </c>
      <c r="D149" s="8" t="str">
        <f>HYPERLINK("http://npthd.inbcu.com/ViewContent.aspx?filename=NPMR_ABC_2017-06-17_E.MP4$99$104","ABC Open")</f>
        <v>ABC Open</v>
      </c>
      <c r="E149" s="3" t="s">
        <v>54</v>
      </c>
      <c r="F149" s="3" t="s">
        <v>16</v>
      </c>
      <c r="G149" s="3" t="s">
        <v>125</v>
      </c>
    </row>
    <row r="150" spans="1:7">
      <c r="A150" s="6">
        <v>42903</v>
      </c>
      <c r="B150" s="3" t="s">
        <v>13</v>
      </c>
      <c r="C150" s="3" t="s">
        <v>18</v>
      </c>
      <c r="D150" s="8" t="str">
        <f>HYPERLINK("http://npthd.inbcu.com/ViewContent.aspx?filename=NPMR_ABC_2017-06-17_E.MP4$104$658","TO TELL THE TRUTH: iglesias, robinson, plattern, ash")</f>
        <v>TO TELL THE TRUTH: iglesias, robinson, plattern, ash</v>
      </c>
      <c r="E150" s="3" t="s">
        <v>217</v>
      </c>
      <c r="F150" s="3" t="s">
        <v>125</v>
      </c>
      <c r="G150" s="3" t="s">
        <v>218</v>
      </c>
    </row>
    <row r="151" spans="1:7">
      <c r="A151" s="6">
        <v>42903</v>
      </c>
      <c r="B151" s="3" t="s">
        <v>13</v>
      </c>
      <c r="C151" s="3" t="s">
        <v>21</v>
      </c>
      <c r="D151" s="8" t="str">
        <f>HYPERLINK("http://npthd.inbcu.com/ViewContent.aspx?filename=NPMR_ABC_2017-06-17_E.MP4$658$808","COMMERCIAL")</f>
        <v>COMMERCIAL</v>
      </c>
      <c r="E151" s="3" t="s">
        <v>28</v>
      </c>
      <c r="F151" s="3" t="s">
        <v>218</v>
      </c>
      <c r="G151" s="3" t="s">
        <v>219</v>
      </c>
    </row>
    <row r="152" spans="1:7">
      <c r="A152" s="6">
        <v>42903</v>
      </c>
      <c r="B152" s="3" t="s">
        <v>13</v>
      </c>
      <c r="C152" s="3" t="s">
        <v>14</v>
      </c>
      <c r="D152" s="8" t="str">
        <f>HYPERLINK("http://npthd.inbcu.com/ViewContent.aspx?filename=NPMR_ABC_2017-06-17_E.MP4$808$838","ABC Sunday")</f>
        <v>ABC Sunday</v>
      </c>
      <c r="E152" s="3" t="s">
        <v>38</v>
      </c>
      <c r="F152" s="3" t="s">
        <v>219</v>
      </c>
      <c r="G152" s="3" t="s">
        <v>220</v>
      </c>
    </row>
    <row r="153" spans="1:7">
      <c r="A153" s="6">
        <v>42903</v>
      </c>
      <c r="B153" s="3" t="s">
        <v>13</v>
      </c>
      <c r="C153" s="3" t="s">
        <v>14</v>
      </c>
      <c r="D153" s="8" t="str">
        <f>HYPERLINK("http://npthd.inbcu.com/ViewContent.aspx?filename=NPMR_ABC_2017-06-17_E.MP4$838$853","To Tell the Truth")</f>
        <v>To Tell the Truth</v>
      </c>
      <c r="E153" s="3" t="s">
        <v>30</v>
      </c>
      <c r="F153" s="3" t="s">
        <v>220</v>
      </c>
      <c r="G153" s="3" t="s">
        <v>221</v>
      </c>
    </row>
    <row r="154" spans="1:7">
      <c r="A154" s="6">
        <v>42903</v>
      </c>
      <c r="B154" s="3" t="s">
        <v>13</v>
      </c>
      <c r="C154" s="3" t="s">
        <v>18</v>
      </c>
      <c r="D154" s="8" t="str">
        <f>HYPERLINK("http://npthd.inbcu.com/ViewContent.aspx?filename=NPMR_ABC_2017-06-17_E.MP4$853$1214","TO TELL THE TRUTH: iglesias, robinson, plattern, ash")</f>
        <v>TO TELL THE TRUTH: iglesias, robinson, plattern, ash</v>
      </c>
      <c r="E154" s="3" t="s">
        <v>222</v>
      </c>
      <c r="F154" s="3" t="s">
        <v>221</v>
      </c>
      <c r="G154" s="3" t="s">
        <v>223</v>
      </c>
    </row>
    <row r="155" spans="1:7">
      <c r="A155" s="6">
        <v>42903</v>
      </c>
      <c r="B155" s="3" t="s">
        <v>13</v>
      </c>
      <c r="C155" s="3" t="s">
        <v>21</v>
      </c>
      <c r="D155" s="8" t="str">
        <f>HYPERLINK("http://npthd.inbcu.com/ViewContent.aspx?filename=NPMR_ABC_2017-06-17_E.MP4$1214$1334","COMMERCIAL")</f>
        <v>COMMERCIAL</v>
      </c>
      <c r="E155" s="3" t="s">
        <v>43</v>
      </c>
      <c r="F155" s="3" t="s">
        <v>223</v>
      </c>
      <c r="G155" s="3" t="s">
        <v>224</v>
      </c>
    </row>
    <row r="156" spans="1:7">
      <c r="A156" s="6">
        <v>42903</v>
      </c>
      <c r="B156" s="3" t="s">
        <v>13</v>
      </c>
      <c r="C156" s="3" t="s">
        <v>14</v>
      </c>
      <c r="D156" s="8" t="str">
        <f>HYPERLINK("http://npthd.inbcu.com/ViewContent.aspx?filename=NPMR_ABC_2017-06-17_E.MP4$1334$1364","Boy Band")</f>
        <v>Boy Band</v>
      </c>
      <c r="E156" s="3" t="s">
        <v>38</v>
      </c>
      <c r="F156" s="3" t="s">
        <v>224</v>
      </c>
      <c r="G156" s="3" t="s">
        <v>225</v>
      </c>
    </row>
    <row r="157" spans="1:7">
      <c r="A157" s="6">
        <v>42903</v>
      </c>
      <c r="B157" s="3" t="s">
        <v>13</v>
      </c>
      <c r="C157" s="3" t="s">
        <v>32</v>
      </c>
      <c r="D157" s="8" t="str">
        <f>HYPERLINK("http://npthd.inbcu.com/ViewContent.aspx?filename=NPMR_ABC_2017-06-17_E.MP4$1364$1425","LOCAL")</f>
        <v>LOCAL</v>
      </c>
      <c r="E157" s="3" t="s">
        <v>33</v>
      </c>
      <c r="F157" s="3" t="s">
        <v>225</v>
      </c>
      <c r="G157" s="3" t="s">
        <v>226</v>
      </c>
    </row>
    <row r="158" spans="1:7">
      <c r="A158" s="6">
        <v>42903</v>
      </c>
      <c r="B158" s="3" t="s">
        <v>13</v>
      </c>
      <c r="C158" s="3" t="s">
        <v>18</v>
      </c>
      <c r="D158" s="8" t="str">
        <f>HYPERLINK("http://npthd.inbcu.com/ViewContent.aspx?filename=NPMR_ABC_2017-06-17_E.MP4$1425$1915","TO TELL THE TRUTH: iglesias, robinson, plattern, ash")</f>
        <v>TO TELL THE TRUTH: iglesias, robinson, plattern, ash</v>
      </c>
      <c r="E158" s="3" t="s">
        <v>227</v>
      </c>
      <c r="F158" s="3" t="s">
        <v>226</v>
      </c>
      <c r="G158" s="3" t="s">
        <v>228</v>
      </c>
    </row>
    <row r="159" spans="1:7">
      <c r="A159" s="6">
        <v>42903</v>
      </c>
      <c r="B159" s="3" t="s">
        <v>13</v>
      </c>
      <c r="C159" s="3" t="s">
        <v>21</v>
      </c>
      <c r="D159" s="8" t="str">
        <f>HYPERLINK("http://npthd.inbcu.com/ViewContent.aspx?filename=NPMR_ABC_2017-06-17_E.MP4$1915$2095","COMMERCIAL")</f>
        <v>COMMERCIAL</v>
      </c>
      <c r="E159" s="3" t="s">
        <v>22</v>
      </c>
      <c r="F159" s="3" t="s">
        <v>228</v>
      </c>
      <c r="G159" s="3" t="s">
        <v>229</v>
      </c>
    </row>
    <row r="160" spans="1:7">
      <c r="A160" s="6">
        <v>42903</v>
      </c>
      <c r="B160" s="3" t="s">
        <v>13</v>
      </c>
      <c r="C160" s="3" t="s">
        <v>14</v>
      </c>
      <c r="D160" s="8" t="str">
        <f>HYPERLINK("http://npthd.inbcu.com/ViewContent.aspx?filename=NPMR_ABC_2017-06-17_E.MP4$2095$2125","Gong Show, The")</f>
        <v>Gong Show, The</v>
      </c>
      <c r="E160" s="3" t="s">
        <v>38</v>
      </c>
      <c r="F160" s="3" t="s">
        <v>229</v>
      </c>
      <c r="G160" s="3" t="s">
        <v>230</v>
      </c>
    </row>
    <row r="161" spans="1:7">
      <c r="A161" s="6">
        <v>42903</v>
      </c>
      <c r="B161" s="3" t="s">
        <v>13</v>
      </c>
      <c r="C161" s="3" t="s">
        <v>14</v>
      </c>
      <c r="D161" s="8" t="str">
        <f>HYPERLINK("http://npthd.inbcu.com/ViewContent.aspx?filename=NPMR_ABC_2017-06-17_E.MP4$2125$2155","Battle of the Network Stars")</f>
        <v>Battle of the Network Stars</v>
      </c>
      <c r="E161" s="3" t="s">
        <v>38</v>
      </c>
      <c r="F161" s="3" t="s">
        <v>230</v>
      </c>
      <c r="G161" s="3" t="s">
        <v>231</v>
      </c>
    </row>
    <row r="162" spans="1:7">
      <c r="A162" s="6">
        <v>42903</v>
      </c>
      <c r="B162" s="3" t="s">
        <v>13</v>
      </c>
      <c r="C162" s="3" t="s">
        <v>18</v>
      </c>
      <c r="D162" s="8" t="str">
        <f>HYPERLINK("http://npthd.inbcu.com/ViewContent.aspx?filename=NPMR_ABC_2017-06-17_E.MP4$2155$2618","TO TELL THE TRUTH: iglesias, robinson, plattern, ash")</f>
        <v>TO TELL THE TRUTH: iglesias, robinson, plattern, ash</v>
      </c>
      <c r="E162" s="3" t="s">
        <v>232</v>
      </c>
      <c r="F162" s="3" t="s">
        <v>231</v>
      </c>
      <c r="G162" s="3" t="s">
        <v>233</v>
      </c>
    </row>
    <row r="163" spans="1:7">
      <c r="A163" s="6">
        <v>42903</v>
      </c>
      <c r="B163" s="3" t="s">
        <v>13</v>
      </c>
      <c r="C163" s="3" t="s">
        <v>21</v>
      </c>
      <c r="D163" s="8" t="str">
        <f>HYPERLINK("http://npthd.inbcu.com/ViewContent.aspx?filename=NPMR_ABC_2017-06-17_E.MP4$2618$2723","COMMERCIAL")</f>
        <v>COMMERCIAL</v>
      </c>
      <c r="E163" s="3" t="s">
        <v>199</v>
      </c>
      <c r="F163" s="3" t="s">
        <v>233</v>
      </c>
      <c r="G163" s="3" t="s">
        <v>234</v>
      </c>
    </row>
    <row r="164" spans="1:7">
      <c r="A164" s="6">
        <v>42903</v>
      </c>
      <c r="B164" s="3" t="s">
        <v>13</v>
      </c>
      <c r="C164" s="3" t="s">
        <v>14</v>
      </c>
      <c r="D164" s="8" t="str">
        <f>HYPERLINK("http://npthd.inbcu.com/ViewContent.aspx?filename=NPMR_ABC_2017-06-17_E.MP4$2723$2738","Funderdome")</f>
        <v>Funderdome</v>
      </c>
      <c r="E164" s="3" t="s">
        <v>30</v>
      </c>
      <c r="F164" s="3" t="s">
        <v>234</v>
      </c>
      <c r="G164" s="3" t="s">
        <v>235</v>
      </c>
    </row>
    <row r="165" spans="1:7">
      <c r="A165" s="6">
        <v>42903</v>
      </c>
      <c r="B165" s="3" t="s">
        <v>13</v>
      </c>
      <c r="C165" s="3" t="s">
        <v>14</v>
      </c>
      <c r="D165" s="8" t="str">
        <f>HYPERLINK("http://npthd.inbcu.com/ViewContent.aspx?filename=NPMR_ABC_2017-06-17_E.MP4$2738$2753","Black-ish")</f>
        <v>Black-ish</v>
      </c>
      <c r="E165" s="3" t="s">
        <v>30</v>
      </c>
      <c r="F165" s="3" t="s">
        <v>235</v>
      </c>
      <c r="G165" s="3" t="s">
        <v>147</v>
      </c>
    </row>
    <row r="166" spans="1:7">
      <c r="A166" s="6">
        <v>42903</v>
      </c>
      <c r="B166" s="3" t="s">
        <v>13</v>
      </c>
      <c r="C166" s="3" t="s">
        <v>32</v>
      </c>
      <c r="D166" s="8" t="str">
        <f>HYPERLINK("http://npthd.inbcu.com/ViewContent.aspx?filename=NPMR_ABC_2017-06-17_E.MP4$2753$2843","LOCAL")</f>
        <v>LOCAL</v>
      </c>
      <c r="E166" s="3" t="s">
        <v>46</v>
      </c>
      <c r="F166" s="3" t="s">
        <v>147</v>
      </c>
      <c r="G166" s="3" t="s">
        <v>236</v>
      </c>
    </row>
    <row r="167" spans="1:7">
      <c r="A167" s="6">
        <v>42903</v>
      </c>
      <c r="B167" s="3" t="s">
        <v>13</v>
      </c>
      <c r="C167" s="3" t="s">
        <v>18</v>
      </c>
      <c r="D167" s="8" t="str">
        <f>HYPERLINK("http://npthd.inbcu.com/ViewContent.aspx?filename=NPMR_ABC_2017-06-17_E.MP4$2843$3240","TO TELL THE TRUTH: iglesias, robinson, plattern, ash")</f>
        <v>TO TELL THE TRUTH: iglesias, robinson, plattern, ash</v>
      </c>
      <c r="E167" s="3" t="s">
        <v>168</v>
      </c>
      <c r="F167" s="3" t="s">
        <v>236</v>
      </c>
      <c r="G167" s="3" t="s">
        <v>237</v>
      </c>
    </row>
    <row r="168" spans="1:7">
      <c r="A168" s="6">
        <v>42903</v>
      </c>
      <c r="B168" s="3" t="s">
        <v>13</v>
      </c>
      <c r="C168" s="3" t="s">
        <v>21</v>
      </c>
      <c r="D168" s="8" t="str">
        <f>HYPERLINK("http://npthd.inbcu.com/ViewContent.aspx?filename=NPMR_ABC_2017-06-17_E.MP4$3240$3420","COMMERCIAL")</f>
        <v>COMMERCIAL</v>
      </c>
      <c r="E168" s="3" t="s">
        <v>22</v>
      </c>
      <c r="F168" s="3" t="s">
        <v>237</v>
      </c>
      <c r="G168" s="3" t="s">
        <v>238</v>
      </c>
    </row>
    <row r="169" spans="1:7">
      <c r="A169" s="6">
        <v>42903</v>
      </c>
      <c r="B169" s="3" t="s">
        <v>13</v>
      </c>
      <c r="C169" s="3" t="s">
        <v>14</v>
      </c>
      <c r="D169" s="8" t="str">
        <f>HYPERLINK("http://npthd.inbcu.com/ViewContent.aspx?filename=NPMR_ABC_2017-06-17_E.MP4$3420$3450","To Tell the Truth")</f>
        <v>To Tell the Truth</v>
      </c>
      <c r="E169" s="3" t="s">
        <v>38</v>
      </c>
      <c r="F169" s="3" t="s">
        <v>238</v>
      </c>
      <c r="G169" s="3" t="s">
        <v>239</v>
      </c>
    </row>
    <row r="170" spans="1:7">
      <c r="A170" s="6">
        <v>42903</v>
      </c>
      <c r="B170" s="3" t="s">
        <v>13</v>
      </c>
      <c r="C170" s="3" t="s">
        <v>32</v>
      </c>
      <c r="D170" s="8" t="str">
        <f>HYPERLINK("http://npthd.inbcu.com/ViewContent.aspx?filename=NPMR_ABC_2017-06-17_E.MP4$3450$3455","LOCAL")</f>
        <v>LOCAL</v>
      </c>
      <c r="E170" s="3" t="s">
        <v>54</v>
      </c>
      <c r="F170" s="3" t="s">
        <v>239</v>
      </c>
      <c r="G170" s="3" t="s">
        <v>240</v>
      </c>
    </row>
    <row r="171" spans="1:7">
      <c r="A171" s="6">
        <v>42903</v>
      </c>
      <c r="B171" s="3" t="s">
        <v>13</v>
      </c>
      <c r="C171" s="3" t="s">
        <v>18</v>
      </c>
      <c r="D171" s="8" t="str">
        <f>HYPERLINK("http://npthd.inbcu.com/ViewContent.aspx?filename=NPMR_ABC_2017-06-17_E.MP4$3455$3699","TO TELL THE TRUTH: iglesias, robinson, plattern, ash")</f>
        <v>TO TELL THE TRUTH: iglesias, robinson, plattern, ash</v>
      </c>
      <c r="E171" s="3" t="s">
        <v>241</v>
      </c>
      <c r="F171" s="3" t="s">
        <v>240</v>
      </c>
      <c r="G171" s="3" t="s">
        <v>242</v>
      </c>
    </row>
    <row r="172" spans="1:7">
      <c r="A172" s="6">
        <v>42903</v>
      </c>
      <c r="B172" s="3" t="s">
        <v>13</v>
      </c>
      <c r="C172" s="3" t="s">
        <v>14</v>
      </c>
      <c r="D172" s="8" t="str">
        <f>HYPERLINK("http://npthd.inbcu.com/ViewContent.aspx?filename=NPMR_ABC_2017-06-17_E.MP4$3699$3704","In An Instant")</f>
        <v>In An Instant</v>
      </c>
      <c r="E172" s="3" t="s">
        <v>54</v>
      </c>
      <c r="F172" s="3" t="s">
        <v>242</v>
      </c>
      <c r="G172" s="3" t="s">
        <v>243</v>
      </c>
    </row>
    <row r="173" spans="1:7">
      <c r="A173" s="6">
        <v>42903</v>
      </c>
      <c r="B173" s="3" t="s">
        <v>13</v>
      </c>
      <c r="C173" s="3" t="s">
        <v>18</v>
      </c>
      <c r="D173" s="8" t="str">
        <f>HYPERLINK("http://npthd.inbcu.com/ViewContent.aspx?filename=NPMR_ABC_2017-06-17_E.MP4$3704$4148","20/20: IN AN INSTANT: lost in snow")</f>
        <v>20/20: IN AN INSTANT: lost in snow</v>
      </c>
      <c r="E173" s="3" t="s">
        <v>244</v>
      </c>
      <c r="F173" s="3" t="s">
        <v>243</v>
      </c>
      <c r="G173" s="3" t="s">
        <v>245</v>
      </c>
    </row>
    <row r="174" spans="1:7">
      <c r="A174" s="6">
        <v>42903</v>
      </c>
      <c r="B174" s="3" t="s">
        <v>13</v>
      </c>
      <c r="C174" s="3" t="s">
        <v>21</v>
      </c>
      <c r="D174" s="8" t="str">
        <f>HYPERLINK("http://npthd.inbcu.com/ViewContent.aspx?filename=NPMR_ABC_2017-06-17_E.MP4$4148$4298","COMMERCIAL")</f>
        <v>COMMERCIAL</v>
      </c>
      <c r="E174" s="3" t="s">
        <v>28</v>
      </c>
      <c r="F174" s="3" t="s">
        <v>245</v>
      </c>
      <c r="G174" s="3" t="s">
        <v>246</v>
      </c>
    </row>
    <row r="175" spans="1:7">
      <c r="A175" s="6">
        <v>42903</v>
      </c>
      <c r="B175" s="3" t="s">
        <v>13</v>
      </c>
      <c r="C175" s="3" t="s">
        <v>14</v>
      </c>
      <c r="D175" s="8" t="str">
        <f>HYPERLINK("http://npthd.inbcu.com/ViewContent.aspx?filename=NPMR_ABC_2017-06-17_E.MP4$4298$4313","To Tell the Truth")</f>
        <v>To Tell the Truth</v>
      </c>
      <c r="E175" s="3" t="s">
        <v>30</v>
      </c>
      <c r="F175" s="3" t="s">
        <v>246</v>
      </c>
      <c r="G175" s="3" t="s">
        <v>247</v>
      </c>
    </row>
    <row r="176" spans="1:7">
      <c r="A176" s="6">
        <v>42903</v>
      </c>
      <c r="B176" s="3" t="s">
        <v>13</v>
      </c>
      <c r="C176" s="3" t="s">
        <v>14</v>
      </c>
      <c r="D176" s="8" t="str">
        <f>HYPERLINK("http://npthd.inbcu.com/ViewContent.aspx?filename=NPMR_ABC_2017-06-17_E.MP4$4313$4343","Boy Band")</f>
        <v>Boy Band</v>
      </c>
      <c r="E176" s="3" t="s">
        <v>38</v>
      </c>
      <c r="F176" s="3" t="s">
        <v>247</v>
      </c>
      <c r="G176" s="3" t="s">
        <v>248</v>
      </c>
    </row>
    <row r="177" spans="1:7">
      <c r="A177" s="6">
        <v>42903</v>
      </c>
      <c r="B177" s="3" t="s">
        <v>13</v>
      </c>
      <c r="C177" s="3" t="s">
        <v>14</v>
      </c>
      <c r="D177" s="8" t="str">
        <f>HYPERLINK("http://npthd.inbcu.com/ViewContent.aspx?filename=NPMR_ABC_2017-06-17_E.MP4$4343$4373","Gong Show, The")</f>
        <v>Gong Show, The</v>
      </c>
      <c r="E177" s="3" t="s">
        <v>38</v>
      </c>
      <c r="F177" s="3" t="s">
        <v>248</v>
      </c>
      <c r="G177" s="3" t="s">
        <v>249</v>
      </c>
    </row>
    <row r="178" spans="1:7">
      <c r="A178" s="6">
        <v>42903</v>
      </c>
      <c r="B178" s="3" t="s">
        <v>13</v>
      </c>
      <c r="C178" s="3" t="s">
        <v>18</v>
      </c>
      <c r="D178" s="8" t="str">
        <f>HYPERLINK("http://npthd.inbcu.com/ViewContent.aspx?filename=NPMR_ABC_2017-06-17_E.MP4$4373$4848","20/20: IN AN INSTANT: lost in snow")</f>
        <v>20/20: IN AN INSTANT: lost in snow</v>
      </c>
      <c r="E178" s="3" t="s">
        <v>250</v>
      </c>
      <c r="F178" s="3" t="s">
        <v>249</v>
      </c>
      <c r="G178" s="3" t="s">
        <v>251</v>
      </c>
    </row>
    <row r="179" spans="1:7">
      <c r="A179" s="6">
        <v>42903</v>
      </c>
      <c r="B179" s="3" t="s">
        <v>13</v>
      </c>
      <c r="C179" s="3" t="s">
        <v>21</v>
      </c>
      <c r="D179" s="8" t="str">
        <f>HYPERLINK("http://npthd.inbcu.com/ViewContent.aspx?filename=NPMR_ABC_2017-06-17_E.MP4$4848$4970","COMMERCIAL")</f>
        <v>COMMERCIAL</v>
      </c>
      <c r="E179" s="3" t="s">
        <v>252</v>
      </c>
      <c r="F179" s="3" t="s">
        <v>251</v>
      </c>
      <c r="G179" s="3" t="s">
        <v>253</v>
      </c>
    </row>
    <row r="180" spans="1:7">
      <c r="A180" s="6">
        <v>42903</v>
      </c>
      <c r="B180" s="3" t="s">
        <v>13</v>
      </c>
      <c r="C180" s="3" t="s">
        <v>14</v>
      </c>
      <c r="D180" s="8" t="str">
        <f>HYPERLINK("http://npthd.inbcu.com/ViewContent.aspx?filename=NPMR_ABC_2017-06-17_E.MP4$4970$5000","Battle of the Network Stars")</f>
        <v>Battle of the Network Stars</v>
      </c>
      <c r="E180" s="3" t="s">
        <v>38</v>
      </c>
      <c r="F180" s="3" t="s">
        <v>253</v>
      </c>
      <c r="G180" s="3" t="s">
        <v>254</v>
      </c>
    </row>
    <row r="181" spans="1:7">
      <c r="A181" s="6">
        <v>42903</v>
      </c>
      <c r="B181" s="3" t="s">
        <v>13</v>
      </c>
      <c r="C181" s="3" t="s">
        <v>14</v>
      </c>
      <c r="D181" s="8" t="str">
        <f>HYPERLINK("http://npthd.inbcu.com/ViewContent.aspx?filename=NPMR_ABC_2017-06-17_E.MP4$5000$5030","World News Tonight")</f>
        <v>World News Tonight</v>
      </c>
      <c r="E181" s="3" t="s">
        <v>38</v>
      </c>
      <c r="F181" s="3" t="s">
        <v>254</v>
      </c>
      <c r="G181" s="3" t="s">
        <v>255</v>
      </c>
    </row>
    <row r="182" spans="1:7">
      <c r="A182" s="6">
        <v>42903</v>
      </c>
      <c r="B182" s="3" t="s">
        <v>13</v>
      </c>
      <c r="C182" s="3" t="s">
        <v>14</v>
      </c>
      <c r="D182" s="8" t="str">
        <f>HYPERLINK("http://npthd.inbcu.com/ViewContent.aspx?filename=NPMR_ABC_2017-06-17_E.MP4$5030$5045","Jimmy Kimmel Live!")</f>
        <v>Jimmy Kimmel Live!</v>
      </c>
      <c r="E182" s="3" t="s">
        <v>30</v>
      </c>
      <c r="F182" s="3" t="s">
        <v>255</v>
      </c>
      <c r="G182" s="3" t="s">
        <v>256</v>
      </c>
    </row>
    <row r="183" spans="1:7">
      <c r="A183" s="6">
        <v>42903</v>
      </c>
      <c r="B183" s="3" t="s">
        <v>13</v>
      </c>
      <c r="C183" s="3" t="s">
        <v>32</v>
      </c>
      <c r="D183" s="8" t="str">
        <f>HYPERLINK("http://npthd.inbcu.com/ViewContent.aspx?filename=NPMR_ABC_2017-06-17_E.MP4$5045$5107","LOCAL")</f>
        <v>LOCAL</v>
      </c>
      <c r="E183" s="3" t="s">
        <v>257</v>
      </c>
      <c r="F183" s="3" t="s">
        <v>256</v>
      </c>
      <c r="G183" s="3" t="s">
        <v>258</v>
      </c>
    </row>
    <row r="184" spans="1:7">
      <c r="A184" s="6">
        <v>42903</v>
      </c>
      <c r="B184" s="3" t="s">
        <v>13</v>
      </c>
      <c r="C184" s="3" t="s">
        <v>18</v>
      </c>
      <c r="D184" s="8" t="str">
        <f>HYPERLINK("http://npthd.inbcu.com/ViewContent.aspx?filename=NPMR_ABC_2017-06-17_E.MP4$5107$5615","20/20: IN AN INSTANT: lost in snow")</f>
        <v>20/20: IN AN INSTANT: lost in snow</v>
      </c>
      <c r="E184" s="3" t="s">
        <v>259</v>
      </c>
      <c r="F184" s="3" t="s">
        <v>258</v>
      </c>
      <c r="G184" s="3" t="s">
        <v>260</v>
      </c>
    </row>
    <row r="185" spans="1:7">
      <c r="A185" s="6">
        <v>42903</v>
      </c>
      <c r="B185" s="3" t="s">
        <v>13</v>
      </c>
      <c r="C185" s="3" t="s">
        <v>21</v>
      </c>
      <c r="D185" s="8" t="str">
        <f>HYPERLINK("http://npthd.inbcu.com/ViewContent.aspx?filename=NPMR_ABC_2017-06-17_E.MP4$5615$5828","COMMERCIAL")</f>
        <v>COMMERCIAL</v>
      </c>
      <c r="E185" s="3" t="s">
        <v>261</v>
      </c>
      <c r="F185" s="3" t="s">
        <v>260</v>
      </c>
      <c r="G185" s="3" t="s">
        <v>262</v>
      </c>
    </row>
    <row r="186" spans="1:7">
      <c r="A186" s="6">
        <v>42903</v>
      </c>
      <c r="B186" s="3" t="s">
        <v>13</v>
      </c>
      <c r="C186" s="3" t="s">
        <v>14</v>
      </c>
      <c r="D186" s="8" t="str">
        <f>HYPERLINK("http://npthd.inbcu.com/ViewContent.aspx?filename=NPMR_ABC_2017-06-17_E.MP4$5828$5858","Bachelorette")</f>
        <v>Bachelorette</v>
      </c>
      <c r="E186" s="3" t="s">
        <v>38</v>
      </c>
      <c r="F186" s="3" t="s">
        <v>262</v>
      </c>
      <c r="G186" s="3" t="s">
        <v>263</v>
      </c>
    </row>
    <row r="187" spans="1:7">
      <c r="A187" s="6">
        <v>42903</v>
      </c>
      <c r="B187" s="3" t="s">
        <v>13</v>
      </c>
      <c r="C187" s="3" t="s">
        <v>14</v>
      </c>
      <c r="D187" s="8" t="str">
        <f>HYPERLINK("http://npthd.inbcu.com/ViewContent.aspx?filename=NPMR_ABC_2017-06-17_E.MP4$5858$5888","Gong Show, The")</f>
        <v>Gong Show, The</v>
      </c>
      <c r="E187" s="3" t="s">
        <v>38</v>
      </c>
      <c r="F187" s="3" t="s">
        <v>263</v>
      </c>
      <c r="G187" s="3" t="s">
        <v>264</v>
      </c>
    </row>
    <row r="188" spans="1:7">
      <c r="A188" s="6">
        <v>42903</v>
      </c>
      <c r="B188" s="3" t="s">
        <v>13</v>
      </c>
      <c r="C188" s="3" t="s">
        <v>18</v>
      </c>
      <c r="D188" s="8" t="str">
        <f>HYPERLINK("http://npthd.inbcu.com/ViewContent.aspx?filename=NPMR_ABC_2017-06-17_E.MP4$5888$6474","20/20: IN AN INSTANT: lost in snow")</f>
        <v>20/20: IN AN INSTANT: lost in snow</v>
      </c>
      <c r="E188" s="3" t="s">
        <v>265</v>
      </c>
      <c r="F188" s="3" t="s">
        <v>264</v>
      </c>
      <c r="G188" s="3" t="s">
        <v>266</v>
      </c>
    </row>
    <row r="189" spans="1:7">
      <c r="A189" s="6">
        <v>42903</v>
      </c>
      <c r="B189" s="3" t="s">
        <v>13</v>
      </c>
      <c r="C189" s="3" t="s">
        <v>21</v>
      </c>
      <c r="D189" s="8" t="str">
        <f>HYPERLINK("http://npthd.inbcu.com/ViewContent.aspx?filename=NPMR_ABC_2017-06-17_E.MP4$6474$6566","COMMERCIAL")</f>
        <v>COMMERCIAL</v>
      </c>
      <c r="E189" s="3" t="s">
        <v>267</v>
      </c>
      <c r="F189" s="3" t="s">
        <v>266</v>
      </c>
      <c r="G189" s="3" t="s">
        <v>268</v>
      </c>
    </row>
    <row r="190" spans="1:7">
      <c r="A190" s="6">
        <v>42903</v>
      </c>
      <c r="B190" s="3" t="s">
        <v>13</v>
      </c>
      <c r="C190" s="3" t="s">
        <v>14</v>
      </c>
      <c r="D190" s="8" t="str">
        <f>HYPERLINK("http://npthd.inbcu.com/ViewContent.aspx?filename=NPMR_ABC_2017-06-17_E.MP4$6566$6596","What Would You Do?")</f>
        <v>What Would You Do?</v>
      </c>
      <c r="E190" s="3" t="s">
        <v>38</v>
      </c>
      <c r="F190" s="3" t="s">
        <v>268</v>
      </c>
      <c r="G190" s="3" t="s">
        <v>269</v>
      </c>
    </row>
    <row r="191" spans="1:7">
      <c r="A191" s="6">
        <v>42903</v>
      </c>
      <c r="B191" s="3" t="s">
        <v>13</v>
      </c>
      <c r="C191" s="3" t="s">
        <v>14</v>
      </c>
      <c r="D191" s="8" t="str">
        <f>HYPERLINK("http://npthd.inbcu.com/ViewContent.aspx?filename=NPMR_ABC_2017-06-17_E.MP4$6596$6611","This Week")</f>
        <v>This Week</v>
      </c>
      <c r="E191" s="3" t="s">
        <v>30</v>
      </c>
      <c r="F191" s="3" t="s">
        <v>269</v>
      </c>
      <c r="G191" s="3" t="s">
        <v>270</v>
      </c>
    </row>
    <row r="192" spans="1:7">
      <c r="A192" s="6">
        <v>42903</v>
      </c>
      <c r="B192" s="3" t="s">
        <v>13</v>
      </c>
      <c r="C192" s="3" t="s">
        <v>14</v>
      </c>
      <c r="D192" s="8" t="str">
        <f>HYPERLINK("http://npthd.inbcu.com/ViewContent.aspx?filename=NPMR_ABC_2017-06-17_E.MP4$6611$6641","Battle of the Network Stars")</f>
        <v>Battle of the Network Stars</v>
      </c>
      <c r="E192" s="3" t="s">
        <v>38</v>
      </c>
      <c r="F192" s="3" t="s">
        <v>270</v>
      </c>
      <c r="G192" s="3" t="s">
        <v>271</v>
      </c>
    </row>
    <row r="193" spans="1:7">
      <c r="A193" s="6">
        <v>42903</v>
      </c>
      <c r="B193" s="3" t="s">
        <v>13</v>
      </c>
      <c r="C193" s="3" t="s">
        <v>32</v>
      </c>
      <c r="D193" s="8" t="str">
        <f>HYPERLINK("http://npthd.inbcu.com/ViewContent.aspx?filename=NPMR_ABC_2017-06-17_E.MP4$6641$6732","LOCAL")</f>
        <v>LOCAL</v>
      </c>
      <c r="E193" s="3" t="s">
        <v>77</v>
      </c>
      <c r="F193" s="3" t="s">
        <v>271</v>
      </c>
      <c r="G193" s="3" t="s">
        <v>272</v>
      </c>
    </row>
    <row r="194" spans="1:7">
      <c r="A194" s="6">
        <v>42903</v>
      </c>
      <c r="B194" s="3" t="s">
        <v>13</v>
      </c>
      <c r="C194" s="3" t="s">
        <v>18</v>
      </c>
      <c r="D194" s="8" t="str">
        <f>HYPERLINK("http://npthd.inbcu.com/ViewContent.aspx?filename=NPMR_ABC_2017-06-17_E.MP4$6732$7074","20/20: IN AN INSTANT: lost in snow")</f>
        <v>20/20: IN AN INSTANT: lost in snow</v>
      </c>
      <c r="E194" s="3" t="s">
        <v>273</v>
      </c>
      <c r="F194" s="3" t="s">
        <v>272</v>
      </c>
      <c r="G194" s="3" t="s">
        <v>274</v>
      </c>
    </row>
    <row r="195" spans="1:7">
      <c r="A195" s="6">
        <v>42903</v>
      </c>
      <c r="B195" s="3" t="s">
        <v>13</v>
      </c>
      <c r="C195" s="3" t="s">
        <v>21</v>
      </c>
      <c r="D195" s="8" t="str">
        <f>HYPERLINK("http://npthd.inbcu.com/ViewContent.aspx?filename=NPMR_ABC_2017-06-17_E.MP4$7074$7256","COMMERCIAL")</f>
        <v>COMMERCIAL</v>
      </c>
      <c r="E195" s="3" t="s">
        <v>275</v>
      </c>
      <c r="F195" s="3" t="s">
        <v>274</v>
      </c>
      <c r="G195" s="3" t="s">
        <v>276</v>
      </c>
    </row>
    <row r="196" spans="1:7">
      <c r="A196" s="6">
        <v>42903</v>
      </c>
      <c r="B196" s="3" t="s">
        <v>13</v>
      </c>
      <c r="C196" s="3" t="s">
        <v>14</v>
      </c>
      <c r="D196" s="8" t="str">
        <f>HYPERLINK("http://npthd.inbcu.com/ViewContent.aspx?filename=NPMR_ABC_2017-06-17_E.MP4$7256$7266","World News Tonight")</f>
        <v>World News Tonight</v>
      </c>
      <c r="E196" s="3" t="s">
        <v>197</v>
      </c>
      <c r="F196" s="3" t="s">
        <v>276</v>
      </c>
      <c r="G196" s="3" t="s">
        <v>277</v>
      </c>
    </row>
    <row r="197" spans="1:7">
      <c r="A197" s="6">
        <v>42903</v>
      </c>
      <c r="B197" s="3" t="s">
        <v>13</v>
      </c>
      <c r="C197" s="3" t="s">
        <v>14</v>
      </c>
      <c r="D197" s="8" t="str">
        <f>HYPERLINK("http://npthd.inbcu.com/ViewContent.aspx?filename=NPMR_ABC_2017-06-17_E.MP4$7266$7296","Boy Band")</f>
        <v>Boy Band</v>
      </c>
      <c r="E197" s="3" t="s">
        <v>38</v>
      </c>
      <c r="F197" s="3" t="s">
        <v>277</v>
      </c>
      <c r="G197" s="3" t="s">
        <v>278</v>
      </c>
    </row>
    <row r="198" spans="1:7">
      <c r="A198" s="6">
        <v>42903</v>
      </c>
      <c r="B198" s="3" t="s">
        <v>13</v>
      </c>
      <c r="C198" s="3" t="s">
        <v>14</v>
      </c>
      <c r="D198" s="8" t="str">
        <f>HYPERLINK("http://npthd.inbcu.com/ViewContent.aspx?filename=NPMR_ABC_2017-06-17_E.MP4$7296$7326","Gong Show, The")</f>
        <v>Gong Show, The</v>
      </c>
      <c r="E198" s="3" t="s">
        <v>38</v>
      </c>
      <c r="F198" s="3" t="s">
        <v>278</v>
      </c>
      <c r="G198" s="3" t="s">
        <v>279</v>
      </c>
    </row>
    <row r="199" spans="1:7">
      <c r="A199" s="6">
        <v>42903</v>
      </c>
      <c r="B199" s="3" t="s">
        <v>13</v>
      </c>
      <c r="C199" s="3" t="s">
        <v>32</v>
      </c>
      <c r="D199" s="8" t="str">
        <f>HYPERLINK("http://npthd.inbcu.com/ViewContent.aspx?filename=NPMR_ABC_2017-06-17_E.MP4$7326$7331","LOCAL")</f>
        <v>LOCAL</v>
      </c>
      <c r="E199" s="3" t="s">
        <v>54</v>
      </c>
      <c r="F199" s="3" t="s">
        <v>279</v>
      </c>
      <c r="G199" s="3" t="s">
        <v>280</v>
      </c>
    </row>
    <row r="200" spans="1:7">
      <c r="A200" s="6">
        <v>42903</v>
      </c>
      <c r="B200" s="3" t="s">
        <v>13</v>
      </c>
      <c r="C200" s="3" t="s">
        <v>18</v>
      </c>
      <c r="D200" s="8" t="str">
        <f>HYPERLINK("http://npthd.inbcu.com/ViewContent.aspx?filename=NPMR_ABC_2017-06-17_E.MP4$7331$7752","20/20: IN AN INSTANT: lost in snow")</f>
        <v>20/20: IN AN INSTANT: lost in snow</v>
      </c>
      <c r="E200" s="3" t="s">
        <v>281</v>
      </c>
      <c r="F200" s="3" t="s">
        <v>280</v>
      </c>
      <c r="G200" s="3" t="s">
        <v>282</v>
      </c>
    </row>
    <row r="201" spans="1:7">
      <c r="A201" s="6">
        <v>42903</v>
      </c>
      <c r="B201" s="3" t="s">
        <v>13</v>
      </c>
      <c r="C201" s="3" t="s">
        <v>21</v>
      </c>
      <c r="D201" s="8" t="str">
        <f>HYPERLINK("http://npthd.inbcu.com/ViewContent.aspx?filename=NPMR_ABC_2017-06-17_E.MP4$7752$7904","COMMERCIAL")</f>
        <v>COMMERCIAL</v>
      </c>
      <c r="E201" s="3" t="s">
        <v>128</v>
      </c>
      <c r="F201" s="3" t="s">
        <v>282</v>
      </c>
      <c r="G201" s="3" t="s">
        <v>283</v>
      </c>
    </row>
    <row r="202" spans="1:7">
      <c r="A202" s="6">
        <v>42903</v>
      </c>
      <c r="B202" s="3" t="s">
        <v>13</v>
      </c>
      <c r="C202" s="3" t="s">
        <v>14</v>
      </c>
      <c r="D202" s="8" t="str">
        <f>HYPERLINK("http://npthd.inbcu.com/ViewContent.aspx?filename=NPMR_ABC_2017-06-17_E.MP4$7904$7934","What Would You Do?")</f>
        <v>What Would You Do?</v>
      </c>
      <c r="E202" s="3" t="s">
        <v>38</v>
      </c>
      <c r="F202" s="3" t="s">
        <v>283</v>
      </c>
      <c r="G202" s="3" t="s">
        <v>284</v>
      </c>
    </row>
    <row r="203" spans="1:7">
      <c r="A203" s="6">
        <v>42903</v>
      </c>
      <c r="B203" s="3" t="s">
        <v>13</v>
      </c>
      <c r="C203" s="3" t="s">
        <v>14</v>
      </c>
      <c r="D203" s="8" t="str">
        <f>HYPERLINK("http://npthd.inbcu.com/ViewContent.aspx?filename=NPMR_ABC_2017-06-17_E.MP4$7934$7964","Gong Show, The")</f>
        <v>Gong Show, The</v>
      </c>
      <c r="E203" s="3" t="s">
        <v>38</v>
      </c>
      <c r="F203" s="3" t="s">
        <v>284</v>
      </c>
      <c r="G203" s="3" t="s">
        <v>285</v>
      </c>
    </row>
    <row r="204" spans="1:7">
      <c r="A204" s="6">
        <v>42903</v>
      </c>
      <c r="B204" s="3" t="s">
        <v>13</v>
      </c>
      <c r="C204" s="3" t="s">
        <v>14</v>
      </c>
      <c r="D204" s="8" t="str">
        <f>HYPERLINK("http://npthd.inbcu.com/ViewContent.aspx?filename=NPMR_ABC_2017-06-17_E.MP4$7964$7994","Battle of the Network Stars")</f>
        <v>Battle of the Network Stars</v>
      </c>
      <c r="E204" s="3" t="s">
        <v>38</v>
      </c>
      <c r="F204" s="3" t="s">
        <v>285</v>
      </c>
      <c r="G204" s="3" t="s">
        <v>286</v>
      </c>
    </row>
    <row r="205" spans="1:7">
      <c r="A205" s="6">
        <v>42903</v>
      </c>
      <c r="B205" s="3" t="s">
        <v>13</v>
      </c>
      <c r="C205" s="3" t="s">
        <v>18</v>
      </c>
      <c r="D205" s="8" t="str">
        <f>HYPERLINK("http://npthd.inbcu.com/ViewContent.aspx?filename=NPMR_ABC_2017-06-17_E.MP4$7994$8542","20/20: IN AN INSTANT: lost in snow")</f>
        <v>20/20: IN AN INSTANT: lost in snow</v>
      </c>
      <c r="E205" s="3" t="s">
        <v>287</v>
      </c>
      <c r="F205" s="3" t="s">
        <v>286</v>
      </c>
      <c r="G205" s="3" t="s">
        <v>288</v>
      </c>
    </row>
    <row r="206" spans="1:7">
      <c r="A206" s="6">
        <v>42903</v>
      </c>
      <c r="B206" s="3" t="s">
        <v>13</v>
      </c>
      <c r="C206" s="3" t="s">
        <v>21</v>
      </c>
      <c r="D206" s="8" t="str">
        <f>HYPERLINK("http://npthd.inbcu.com/ViewContent.aspx?filename=NPMR_ABC_2017-06-17_E.MP4$8542$8632","COMMERCIAL")</f>
        <v>COMMERCIAL</v>
      </c>
      <c r="E206" s="3" t="s">
        <v>46</v>
      </c>
      <c r="F206" s="3" t="s">
        <v>288</v>
      </c>
      <c r="G206" s="3" t="s">
        <v>289</v>
      </c>
    </row>
    <row r="207" spans="1:7">
      <c r="A207" s="6">
        <v>42903</v>
      </c>
      <c r="B207" s="3" t="s">
        <v>13</v>
      </c>
      <c r="C207" s="3" t="s">
        <v>14</v>
      </c>
      <c r="D207" s="8" t="str">
        <f>HYPERLINK("http://npthd.inbcu.com/ViewContent.aspx?filename=NPMR_ABC_2017-06-17_E.MP4$8632$8662","Bachelorette")</f>
        <v>Bachelorette</v>
      </c>
      <c r="E207" s="3" t="s">
        <v>38</v>
      </c>
      <c r="F207" s="3" t="s">
        <v>289</v>
      </c>
      <c r="G207" s="3" t="s">
        <v>290</v>
      </c>
    </row>
    <row r="208" spans="1:7">
      <c r="A208" s="6">
        <v>42903</v>
      </c>
      <c r="B208" s="3" t="s">
        <v>13</v>
      </c>
      <c r="C208" s="3" t="s">
        <v>14</v>
      </c>
      <c r="D208" s="8" t="str">
        <f>HYPERLINK("http://npthd.inbcu.com/ViewContent.aspx?filename=NPMR_ABC_2017-06-17_E.MP4$8662$8693","Boy Band")</f>
        <v>Boy Band</v>
      </c>
      <c r="E208" s="3" t="s">
        <v>98</v>
      </c>
      <c r="F208" s="3" t="s">
        <v>290</v>
      </c>
      <c r="G208" s="3" t="s">
        <v>291</v>
      </c>
    </row>
    <row r="209" spans="1:7">
      <c r="A209" s="6">
        <v>42903</v>
      </c>
      <c r="B209" s="3" t="s">
        <v>13</v>
      </c>
      <c r="C209" s="3" t="s">
        <v>14</v>
      </c>
      <c r="D209" s="8" t="str">
        <f>HYPERLINK("http://npthd.inbcu.com/ViewContent.aspx?filename=NPMR_ABC_2017-06-17_E.MP4$8693$8722","Gong Show, The")</f>
        <v>Gong Show, The</v>
      </c>
      <c r="E209" s="3" t="s">
        <v>24</v>
      </c>
      <c r="F209" s="3" t="s">
        <v>291</v>
      </c>
      <c r="G209" s="3" t="s">
        <v>292</v>
      </c>
    </row>
    <row r="210" spans="1:7">
      <c r="A210" s="6">
        <v>42903</v>
      </c>
      <c r="B210" s="3" t="s">
        <v>13</v>
      </c>
      <c r="C210" s="3" t="s">
        <v>32</v>
      </c>
      <c r="D210" s="8" t="str">
        <f>HYPERLINK("http://npthd.inbcu.com/ViewContent.aspx?filename=NPMR_ABC_2017-06-17_E.MP4$8722$8828","LOCAL")</f>
        <v>LOCAL</v>
      </c>
      <c r="E210" s="3" t="s">
        <v>293</v>
      </c>
      <c r="F210" s="3" t="s">
        <v>292</v>
      </c>
      <c r="G210" s="3" t="s">
        <v>294</v>
      </c>
    </row>
    <row r="211" spans="1:7">
      <c r="A211" s="6">
        <v>42903</v>
      </c>
      <c r="B211" s="3" t="s">
        <v>13</v>
      </c>
      <c r="C211" s="3" t="s">
        <v>18</v>
      </c>
      <c r="D211" s="8" t="str">
        <f>HYPERLINK("http://npthd.inbcu.com/ViewContent.aspx?filename=NPMR_ABC_2017-06-17_E.MP4$8828$9372","20/20: IN AN INSTANT: lost in snow")</f>
        <v>20/20: IN AN INSTANT: lost in snow</v>
      </c>
      <c r="E211" s="3" t="s">
        <v>295</v>
      </c>
      <c r="F211" s="3" t="s">
        <v>294</v>
      </c>
      <c r="G211" s="3" t="s">
        <v>296</v>
      </c>
    </row>
    <row r="212" spans="1:7">
      <c r="A212" s="6">
        <v>42903</v>
      </c>
      <c r="B212" s="3" t="s">
        <v>13</v>
      </c>
      <c r="C212" s="3" t="s">
        <v>21</v>
      </c>
      <c r="D212" s="8" t="str">
        <f>HYPERLINK("http://npthd.inbcu.com/ViewContent.aspx?filename=NPMR_ABC_2017-06-17_E.MP4$9372$9464","COMMERCIAL")</f>
        <v>COMMERCIAL</v>
      </c>
      <c r="E212" s="3" t="s">
        <v>267</v>
      </c>
      <c r="F212" s="3" t="s">
        <v>296</v>
      </c>
      <c r="G212" s="3" t="s">
        <v>297</v>
      </c>
    </row>
    <row r="213" spans="1:7">
      <c r="A213" s="6">
        <v>42903</v>
      </c>
      <c r="B213" s="3" t="s">
        <v>13</v>
      </c>
      <c r="C213" s="3" t="s">
        <v>14</v>
      </c>
      <c r="D213" s="8" t="str">
        <f>HYPERLINK("http://npthd.inbcu.com/ViewContent.aspx?filename=NPMR_ABC_2017-06-17_E.MP4$9464$9479","Good Morning America")</f>
        <v>Good Morning America</v>
      </c>
      <c r="E213" s="3" t="s">
        <v>30</v>
      </c>
      <c r="F213" s="3" t="s">
        <v>297</v>
      </c>
      <c r="G213" s="3" t="s">
        <v>298</v>
      </c>
    </row>
    <row r="214" spans="1:7">
      <c r="A214" s="6">
        <v>42903</v>
      </c>
      <c r="B214" s="3" t="s">
        <v>13</v>
      </c>
      <c r="C214" s="3" t="s">
        <v>14</v>
      </c>
      <c r="D214" s="8" t="str">
        <f>HYPERLINK("http://npthd.inbcu.com/ViewContent.aspx?filename=NPMR_ABC_2017-06-17_E.MP4$9479$9494","World News Tonight")</f>
        <v>World News Tonight</v>
      </c>
      <c r="E214" s="3" t="s">
        <v>30</v>
      </c>
      <c r="F214" s="3" t="s">
        <v>298</v>
      </c>
      <c r="G214" s="3" t="s">
        <v>299</v>
      </c>
    </row>
    <row r="215" spans="1:7">
      <c r="A215" s="6">
        <v>42903</v>
      </c>
      <c r="B215" s="3" t="s">
        <v>13</v>
      </c>
      <c r="C215" s="3" t="s">
        <v>14</v>
      </c>
      <c r="D215" s="8" t="str">
        <f>HYPERLINK("http://npthd.inbcu.com/ViewContent.aspx?filename=NPMR_ABC_2017-06-17_E.MP4$9494$9509","To Tell the Truth")</f>
        <v>To Tell the Truth</v>
      </c>
      <c r="E215" s="3" t="s">
        <v>30</v>
      </c>
      <c r="F215" s="3" t="s">
        <v>299</v>
      </c>
      <c r="G215" s="3" t="s">
        <v>200</v>
      </c>
    </row>
    <row r="216" spans="1:7">
      <c r="A216" s="6">
        <v>42903</v>
      </c>
      <c r="B216" s="3" t="s">
        <v>13</v>
      </c>
      <c r="C216" s="3" t="s">
        <v>14</v>
      </c>
      <c r="D216" s="8" t="str">
        <f>HYPERLINK("http://npthd.inbcu.com/ViewContent.aspx?filename=NPMR_ABC_2017-06-17_E.MP4$9509$9539","What Would You Do?")</f>
        <v>What Would You Do?</v>
      </c>
      <c r="E216" s="3" t="s">
        <v>38</v>
      </c>
      <c r="F216" s="3" t="s">
        <v>200</v>
      </c>
      <c r="G216" s="3" t="s">
        <v>300</v>
      </c>
    </row>
    <row r="217" spans="1:7">
      <c r="A217" s="6">
        <v>42903</v>
      </c>
      <c r="B217" s="3" t="s">
        <v>13</v>
      </c>
      <c r="C217" s="3" t="s">
        <v>32</v>
      </c>
      <c r="D217" s="8" t="str">
        <f>HYPERLINK("http://npthd.inbcu.com/ViewContent.aspx?filename=NPMR_ABC_2017-06-17_E.MP4$9539$9630","LOCAL")</f>
        <v>LOCAL</v>
      </c>
      <c r="E217" s="3" t="s">
        <v>77</v>
      </c>
      <c r="F217" s="3" t="s">
        <v>300</v>
      </c>
      <c r="G217" s="3" t="s">
        <v>301</v>
      </c>
    </row>
    <row r="218" spans="1:7">
      <c r="A218" s="6">
        <v>42903</v>
      </c>
      <c r="B218" s="3" t="s">
        <v>13</v>
      </c>
      <c r="C218" s="3" t="s">
        <v>18</v>
      </c>
      <c r="D218" s="8" t="str">
        <f>HYPERLINK("http://npthd.inbcu.com/ViewContent.aspx?filename=NPMR_ABC_2017-06-17_E.MP4$9630$10190","20/20: IN AN INSTANT: lost in snow")</f>
        <v>20/20: IN AN INSTANT: lost in snow</v>
      </c>
      <c r="E218" s="3" t="s">
        <v>302</v>
      </c>
      <c r="F218" s="3" t="s">
        <v>301</v>
      </c>
      <c r="G218" s="3" t="s">
        <v>303</v>
      </c>
    </row>
    <row r="219" spans="1:7">
      <c r="A219" s="6">
        <v>42903</v>
      </c>
      <c r="B219" s="3" t="s">
        <v>13</v>
      </c>
      <c r="C219" s="3" t="s">
        <v>32</v>
      </c>
      <c r="D219" s="8" t="str">
        <f>HYPERLINK("http://npthd.inbcu.com/ViewContent.aspx?filename=NPMR_ABC_2017-06-17_E.MP4$10190$10206","LOCAL")</f>
        <v>LOCAL</v>
      </c>
      <c r="E219" s="3" t="s">
        <v>64</v>
      </c>
      <c r="F219" s="3" t="s">
        <v>303</v>
      </c>
      <c r="G219" s="3" t="s">
        <v>304</v>
      </c>
    </row>
    <row r="220" spans="1:7">
      <c r="A220" s="6">
        <v>42903</v>
      </c>
      <c r="B220" s="3" t="s">
        <v>13</v>
      </c>
      <c r="C220" s="3" t="s">
        <v>21</v>
      </c>
      <c r="D220" s="8" t="str">
        <f>HYPERLINK("http://npthd.inbcu.com/ViewContent.aspx?filename=NPMR_ABC_2017-06-17_E.MP4$10206$10387","COMMERCIAL")</f>
        <v>COMMERCIAL</v>
      </c>
      <c r="E220" s="3" t="s">
        <v>108</v>
      </c>
      <c r="F220" s="3" t="s">
        <v>304</v>
      </c>
      <c r="G220" s="3" t="s">
        <v>305</v>
      </c>
    </row>
    <row r="221" spans="1:7">
      <c r="A221" s="6">
        <v>42903</v>
      </c>
      <c r="B221" s="3" t="s">
        <v>13</v>
      </c>
      <c r="C221" s="3" t="s">
        <v>14</v>
      </c>
      <c r="D221" s="8" t="str">
        <f>HYPERLINK("http://npthd.inbcu.com/ViewContent.aspx?filename=NPMR_ABC_2017-06-17_E.MP4$10387$10417","Boy Band")</f>
        <v>Boy Band</v>
      </c>
      <c r="E221" s="3" t="s">
        <v>38</v>
      </c>
      <c r="F221" s="3" t="s">
        <v>305</v>
      </c>
      <c r="G221" s="3" t="s">
        <v>306</v>
      </c>
    </row>
    <row r="222" spans="1:7">
      <c r="A222" s="6">
        <v>42903</v>
      </c>
      <c r="B222" s="3" t="s">
        <v>13</v>
      </c>
      <c r="C222" s="3" t="s">
        <v>14</v>
      </c>
      <c r="D222" s="8" t="str">
        <f>HYPERLINK("http://npthd.inbcu.com/ViewContent.aspx?filename=NPMR_ABC_2017-06-17_E.MP4$10417$10447","Gong Show, The")</f>
        <v>Gong Show, The</v>
      </c>
      <c r="E222" s="3" t="s">
        <v>38</v>
      </c>
      <c r="F222" s="3" t="s">
        <v>306</v>
      </c>
      <c r="G222" s="3" t="s">
        <v>307</v>
      </c>
    </row>
    <row r="223" spans="1:7">
      <c r="A223" s="6">
        <v>42903</v>
      </c>
      <c r="B223" s="3" t="s">
        <v>13</v>
      </c>
      <c r="C223" s="3" t="s">
        <v>14</v>
      </c>
      <c r="D223" s="8" t="str">
        <f>HYPERLINK("http://npthd.inbcu.com/ViewContent.aspx?filename=NPMR_ABC_2017-06-17_E.MP4$10447$10477","Battle of the Network Stars")</f>
        <v>Battle of the Network Stars</v>
      </c>
      <c r="E223" s="3" t="s">
        <v>38</v>
      </c>
      <c r="F223" s="3" t="s">
        <v>307</v>
      </c>
      <c r="G223" s="3" t="s">
        <v>308</v>
      </c>
    </row>
    <row r="224" spans="1:7">
      <c r="A224" s="6">
        <v>42903</v>
      </c>
      <c r="B224" s="3" t="s">
        <v>13</v>
      </c>
      <c r="C224" s="3" t="s">
        <v>18</v>
      </c>
      <c r="D224" s="8" t="str">
        <f>HYPERLINK("http://npthd.inbcu.com/ViewContent.aspx?filename=NPMR_ABC_2017-06-17_E.MP4$10477$10854","TO TELL THE TRUTH: iglesias, robinson, plattern, ash")</f>
        <v>TO TELL THE TRUTH: iglesias, robinson, plattern, ash</v>
      </c>
      <c r="E224" s="3" t="s">
        <v>309</v>
      </c>
      <c r="F224" s="3" t="s">
        <v>308</v>
      </c>
      <c r="G224" s="3" t="s">
        <v>310</v>
      </c>
    </row>
    <row r="225" spans="1:7">
      <c r="A225" s="6">
        <v>42903</v>
      </c>
      <c r="B225" s="3" t="s">
        <v>13</v>
      </c>
      <c r="C225" s="3" t="s">
        <v>14</v>
      </c>
      <c r="D225" s="8" t="str">
        <f>HYPERLINK("http://npthd.inbcu.com/ViewContent.aspx?filename=NPMR_ABC_2017-06-17_E.MP4$10854$10884","In An Instant")</f>
        <v>In An Instant</v>
      </c>
      <c r="E225" s="3" t="s">
        <v>38</v>
      </c>
      <c r="F225" s="3" t="s">
        <v>310</v>
      </c>
      <c r="G225" s="3" t="s">
        <v>123</v>
      </c>
    </row>
    <row r="226" spans="1:7">
      <c r="A226" s="6">
        <v>42903</v>
      </c>
      <c r="B226" s="3" t="s">
        <v>13</v>
      </c>
      <c r="C226" s="3" t="s">
        <v>32</v>
      </c>
      <c r="D226" s="8" t="str">
        <f>HYPERLINK("http://npthd.inbcu.com/ViewContent.aspx?filename=NPMR_ABC_2017-06-17_E.MP4$10884$10899","LOCAL")</f>
        <v>LOCAL</v>
      </c>
      <c r="E226" s="3" t="s">
        <v>30</v>
      </c>
      <c r="F226" s="3" t="s">
        <v>123</v>
      </c>
      <c r="G226" s="3" t="s">
        <v>124</v>
      </c>
    </row>
    <row r="227" spans="1:7">
      <c r="A227" s="6">
        <v>42904</v>
      </c>
      <c r="B227" s="3" t="s">
        <v>13</v>
      </c>
      <c r="C227" s="3" t="s">
        <v>14</v>
      </c>
      <c r="D227" s="8" t="str">
        <f>HYPERLINK("http://npthd.inbcu.com/ViewContent.aspx?filename=NPMR_ABC_2017-06-18_E.MP4$117$122","ABC Open")</f>
        <v>ABC Open</v>
      </c>
      <c r="E227" s="3" t="s">
        <v>54</v>
      </c>
      <c r="F227" s="3" t="s">
        <v>311</v>
      </c>
      <c r="G227" s="3" t="s">
        <v>312</v>
      </c>
    </row>
    <row r="228" spans="1:7">
      <c r="A228" s="6">
        <v>42904</v>
      </c>
      <c r="B228" s="3" t="s">
        <v>13</v>
      </c>
      <c r="C228" s="3" t="s">
        <v>18</v>
      </c>
      <c r="D228" s="8" t="str">
        <f>HYPERLINK("http://npthd.inbcu.com/ViewContent.aspx?filename=NPMR_ABC_2017-06-18_E.MP4$122$724","AMERICAS FUNNIEST HOME VIDEOS:")</f>
        <v>AMERICAS FUNNIEST HOME VIDEOS:</v>
      </c>
      <c r="E228" s="3" t="s">
        <v>313</v>
      </c>
      <c r="F228" s="3" t="s">
        <v>312</v>
      </c>
      <c r="G228" s="3" t="s">
        <v>314</v>
      </c>
    </row>
    <row r="229" spans="1:7">
      <c r="A229" s="6">
        <v>42904</v>
      </c>
      <c r="B229" s="3" t="s">
        <v>13</v>
      </c>
      <c r="C229" s="3" t="s">
        <v>21</v>
      </c>
      <c r="D229" s="8" t="str">
        <f>HYPERLINK("http://npthd.inbcu.com/ViewContent.aspx?filename=NPMR_ABC_2017-06-18_E.MP4$724$844","COMMERCIAL")</f>
        <v>COMMERCIAL</v>
      </c>
      <c r="E229" s="3" t="s">
        <v>43</v>
      </c>
      <c r="F229" s="3" t="s">
        <v>314</v>
      </c>
      <c r="G229" s="3" t="s">
        <v>315</v>
      </c>
    </row>
    <row r="230" spans="1:7">
      <c r="A230" s="6">
        <v>42904</v>
      </c>
      <c r="B230" s="3" t="s">
        <v>13</v>
      </c>
      <c r="C230" s="3" t="s">
        <v>14</v>
      </c>
      <c r="D230" s="8" t="str">
        <f>HYPERLINK("http://npthd.inbcu.com/ViewContent.aspx?filename=NPMR_ABC_2017-06-18_E.MP4$844$859","Funderdome")</f>
        <v>Funderdome</v>
      </c>
      <c r="E230" s="3" t="s">
        <v>30</v>
      </c>
      <c r="F230" s="3" t="s">
        <v>315</v>
      </c>
      <c r="G230" s="3" t="s">
        <v>316</v>
      </c>
    </row>
    <row r="231" spans="1:7">
      <c r="A231" s="6">
        <v>42904</v>
      </c>
      <c r="B231" s="3" t="s">
        <v>13</v>
      </c>
      <c r="C231" s="3" t="s">
        <v>14</v>
      </c>
      <c r="D231" s="8" t="str">
        <f>HYPERLINK("http://npthd.inbcu.com/ViewContent.aspx?filename=NPMR_ABC_2017-06-18_E.MP4$859$874","What Would You Do?")</f>
        <v>What Would You Do?</v>
      </c>
      <c r="E231" s="3" t="s">
        <v>30</v>
      </c>
      <c r="F231" s="3" t="s">
        <v>316</v>
      </c>
      <c r="G231" s="3" t="s">
        <v>317</v>
      </c>
    </row>
    <row r="232" spans="1:7">
      <c r="A232" s="6">
        <v>42904</v>
      </c>
      <c r="B232" s="3" t="s">
        <v>13</v>
      </c>
      <c r="C232" s="3" t="s">
        <v>18</v>
      </c>
      <c r="D232" s="8" t="str">
        <f>HYPERLINK("http://npthd.inbcu.com/ViewContent.aspx?filename=NPMR_ABC_2017-06-18_E.MP4$874$1315","AMERICAS FUNNIEST HOME VIDEOS:")</f>
        <v>AMERICAS FUNNIEST HOME VIDEOS:</v>
      </c>
      <c r="E232" s="3" t="s">
        <v>318</v>
      </c>
      <c r="F232" s="3" t="s">
        <v>317</v>
      </c>
      <c r="G232" s="3" t="s">
        <v>319</v>
      </c>
    </row>
    <row r="233" spans="1:7">
      <c r="A233" s="6">
        <v>42904</v>
      </c>
      <c r="B233" s="3" t="s">
        <v>13</v>
      </c>
      <c r="C233" s="3" t="s">
        <v>21</v>
      </c>
      <c r="D233" s="8" t="str">
        <f>HYPERLINK("http://npthd.inbcu.com/ViewContent.aspx?filename=NPMR_ABC_2017-06-18_E.MP4$1315$1405","COMMERCIAL")</f>
        <v>COMMERCIAL</v>
      </c>
      <c r="E233" s="3" t="s">
        <v>46</v>
      </c>
      <c r="F233" s="3" t="s">
        <v>319</v>
      </c>
      <c r="G233" s="3" t="s">
        <v>320</v>
      </c>
    </row>
    <row r="234" spans="1:7">
      <c r="A234" s="6">
        <v>42904</v>
      </c>
      <c r="B234" s="3" t="s">
        <v>13</v>
      </c>
      <c r="C234" s="3" t="s">
        <v>14</v>
      </c>
      <c r="D234" s="8" t="str">
        <f>HYPERLINK("http://npthd.inbcu.com/ViewContent.aspx?filename=NPMR_ABC_2017-06-18_E.MP4$1405$1435","Boy Band")</f>
        <v>Boy Band</v>
      </c>
      <c r="E234" s="3" t="s">
        <v>38</v>
      </c>
      <c r="F234" s="3" t="s">
        <v>320</v>
      </c>
      <c r="G234" s="3" t="s">
        <v>321</v>
      </c>
    </row>
    <row r="235" spans="1:7">
      <c r="A235" s="6">
        <v>42904</v>
      </c>
      <c r="B235" s="3" t="s">
        <v>13</v>
      </c>
      <c r="C235" s="3" t="s">
        <v>32</v>
      </c>
      <c r="D235" s="8" t="str">
        <f>HYPERLINK("http://npthd.inbcu.com/ViewContent.aspx?filename=NPMR_ABC_2017-06-18_E.MP4$1435$1525","LOCAL")</f>
        <v>LOCAL</v>
      </c>
      <c r="E235" s="3" t="s">
        <v>46</v>
      </c>
      <c r="F235" s="3" t="s">
        <v>321</v>
      </c>
      <c r="G235" s="3" t="s">
        <v>322</v>
      </c>
    </row>
    <row r="236" spans="1:7">
      <c r="A236" s="6">
        <v>42904</v>
      </c>
      <c r="B236" s="3" t="s">
        <v>13</v>
      </c>
      <c r="C236" s="3" t="s">
        <v>18</v>
      </c>
      <c r="D236" s="8" t="str">
        <f>HYPERLINK("http://npthd.inbcu.com/ViewContent.aspx?filename=NPMR_ABC_2017-06-18_E.MP4$1525$1882","AMERICAS FUNNIEST HOME VIDEOS:")</f>
        <v>AMERICAS FUNNIEST HOME VIDEOS:</v>
      </c>
      <c r="E236" s="3" t="s">
        <v>323</v>
      </c>
      <c r="F236" s="3" t="s">
        <v>322</v>
      </c>
      <c r="G236" s="3" t="s">
        <v>324</v>
      </c>
    </row>
    <row r="237" spans="1:7">
      <c r="A237" s="6">
        <v>42904</v>
      </c>
      <c r="B237" s="3" t="s">
        <v>13</v>
      </c>
      <c r="C237" s="3" t="s">
        <v>21</v>
      </c>
      <c r="D237" s="8" t="str">
        <f>HYPERLINK("http://npthd.inbcu.com/ViewContent.aspx?filename=NPMR_ABC_2017-06-18_E.MP4$1882$2063","COMMERCIAL")</f>
        <v>COMMERCIAL</v>
      </c>
      <c r="E237" s="3" t="s">
        <v>108</v>
      </c>
      <c r="F237" s="3" t="s">
        <v>324</v>
      </c>
      <c r="G237" s="3" t="s">
        <v>325</v>
      </c>
    </row>
    <row r="238" spans="1:7">
      <c r="A238" s="6">
        <v>42904</v>
      </c>
      <c r="B238" s="3" t="s">
        <v>13</v>
      </c>
      <c r="C238" s="3" t="s">
        <v>14</v>
      </c>
      <c r="D238" s="8" t="str">
        <f>HYPERLINK("http://npthd.inbcu.com/ViewContent.aspx?filename=NPMR_ABC_2017-06-18_E.MP4$2063$2093","Gong Show, The")</f>
        <v>Gong Show, The</v>
      </c>
      <c r="E238" s="3" t="s">
        <v>38</v>
      </c>
      <c r="F238" s="3" t="s">
        <v>325</v>
      </c>
      <c r="G238" s="3" t="s">
        <v>326</v>
      </c>
    </row>
    <row r="239" spans="1:7">
      <c r="A239" s="6">
        <v>42904</v>
      </c>
      <c r="B239" s="3" t="s">
        <v>13</v>
      </c>
      <c r="C239" s="3" t="s">
        <v>18</v>
      </c>
      <c r="D239" s="8" t="str">
        <f>HYPERLINK("http://npthd.inbcu.com/ViewContent.aspx?filename=NPMR_ABC_2017-06-18_E.MP4$2093$2470","AMERICAS FUNNIEST HOME VIDEOS:")</f>
        <v>AMERICAS FUNNIEST HOME VIDEOS:</v>
      </c>
      <c r="E239" s="3" t="s">
        <v>309</v>
      </c>
      <c r="F239" s="3" t="s">
        <v>326</v>
      </c>
      <c r="G239" s="3" t="s">
        <v>327</v>
      </c>
    </row>
    <row r="240" spans="1:7">
      <c r="A240" s="6">
        <v>42904</v>
      </c>
      <c r="B240" s="3" t="s">
        <v>13</v>
      </c>
      <c r="C240" s="3" t="s">
        <v>21</v>
      </c>
      <c r="D240" s="8" t="str">
        <f>HYPERLINK("http://npthd.inbcu.com/ViewContent.aspx?filename=NPMR_ABC_2017-06-18_E.MP4$2470$2590","COMMERCIAL")</f>
        <v>COMMERCIAL</v>
      </c>
      <c r="E240" s="3" t="s">
        <v>43</v>
      </c>
      <c r="F240" s="3" t="s">
        <v>327</v>
      </c>
      <c r="G240" s="3" t="s">
        <v>328</v>
      </c>
    </row>
    <row r="241" spans="1:7">
      <c r="A241" s="6">
        <v>42904</v>
      </c>
      <c r="B241" s="3" t="s">
        <v>13</v>
      </c>
      <c r="C241" s="3" t="s">
        <v>14</v>
      </c>
      <c r="D241" s="8" t="str">
        <f>HYPERLINK("http://npthd.inbcu.com/ViewContent.aspx?filename=NPMR_ABC_2017-06-18_E.MP4$2590$2605","To Tell the Truth")</f>
        <v>To Tell the Truth</v>
      </c>
      <c r="E241" s="3" t="s">
        <v>30</v>
      </c>
      <c r="F241" s="3" t="s">
        <v>328</v>
      </c>
      <c r="G241" s="3" t="s">
        <v>329</v>
      </c>
    </row>
    <row r="242" spans="1:7">
      <c r="A242" s="6">
        <v>42904</v>
      </c>
      <c r="B242" s="3" t="s">
        <v>13</v>
      </c>
      <c r="C242" s="3" t="s">
        <v>14</v>
      </c>
      <c r="D242" s="8" t="str">
        <f>HYPERLINK("http://npthd.inbcu.com/ViewContent.aspx?filename=NPMR_ABC_2017-06-18_E.MP4$2605$2620","Battle of the Network Stars")</f>
        <v>Battle of the Network Stars</v>
      </c>
      <c r="E242" s="3" t="s">
        <v>30</v>
      </c>
      <c r="F242" s="3" t="s">
        <v>329</v>
      </c>
      <c r="G242" s="3" t="s">
        <v>330</v>
      </c>
    </row>
    <row r="243" spans="1:7">
      <c r="A243" s="6">
        <v>42904</v>
      </c>
      <c r="B243" s="3" t="s">
        <v>13</v>
      </c>
      <c r="C243" s="3" t="s">
        <v>32</v>
      </c>
      <c r="D243" s="8" t="str">
        <f>HYPERLINK("http://npthd.inbcu.com/ViewContent.aspx?filename=NPMR_ABC_2017-06-18_E.MP4$2620$2711","LOCAL")</f>
        <v>LOCAL</v>
      </c>
      <c r="E243" s="3" t="s">
        <v>77</v>
      </c>
      <c r="F243" s="3" t="s">
        <v>330</v>
      </c>
      <c r="G243" s="3" t="s">
        <v>331</v>
      </c>
    </row>
    <row r="244" spans="1:7">
      <c r="A244" s="6">
        <v>42904</v>
      </c>
      <c r="B244" s="3" t="s">
        <v>13</v>
      </c>
      <c r="C244" s="3" t="s">
        <v>18</v>
      </c>
      <c r="D244" s="8" t="str">
        <f>HYPERLINK("http://npthd.inbcu.com/ViewContent.aspx?filename=NPMR_ABC_2017-06-18_E.MP4$2711$3142","AMERICAS FUNNIEST HOME VIDEOS:")</f>
        <v>AMERICAS FUNNIEST HOME VIDEOS:</v>
      </c>
      <c r="E244" s="3" t="s">
        <v>332</v>
      </c>
      <c r="F244" s="3" t="s">
        <v>331</v>
      </c>
      <c r="G244" s="3" t="s">
        <v>333</v>
      </c>
    </row>
    <row r="245" spans="1:7">
      <c r="A245" s="6">
        <v>42904</v>
      </c>
      <c r="B245" s="3" t="s">
        <v>13</v>
      </c>
      <c r="C245" s="3" t="s">
        <v>21</v>
      </c>
      <c r="D245" s="8" t="str">
        <f>HYPERLINK("http://npthd.inbcu.com/ViewContent.aspx?filename=NPMR_ABC_2017-06-18_E.MP4$3142$3353","COMMERCIAL")</f>
        <v>COMMERCIAL</v>
      </c>
      <c r="E245" s="3" t="s">
        <v>334</v>
      </c>
      <c r="F245" s="3" t="s">
        <v>333</v>
      </c>
      <c r="G245" s="3" t="s">
        <v>335</v>
      </c>
    </row>
    <row r="246" spans="1:7">
      <c r="A246" s="6">
        <v>42904</v>
      </c>
      <c r="B246" s="3" t="s">
        <v>13</v>
      </c>
      <c r="C246" s="3" t="s">
        <v>14</v>
      </c>
      <c r="D246" s="8" t="str">
        <f>HYPERLINK("http://npthd.inbcu.com/ViewContent.aspx?filename=NPMR_ABC_2017-06-18_E.MP4$3353$3383","ABC Summer Fun &amp; Games")</f>
        <v>ABC Summer Fun &amp; Games</v>
      </c>
      <c r="E246" s="3" t="s">
        <v>38</v>
      </c>
      <c r="F246" s="3" t="s">
        <v>335</v>
      </c>
      <c r="G246" s="3" t="s">
        <v>336</v>
      </c>
    </row>
    <row r="247" spans="1:7">
      <c r="A247" s="6">
        <v>42904</v>
      </c>
      <c r="B247" s="3" t="s">
        <v>13</v>
      </c>
      <c r="C247" s="3" t="s">
        <v>32</v>
      </c>
      <c r="D247" s="8" t="str">
        <f>HYPERLINK("http://npthd.inbcu.com/ViewContent.aspx?filename=NPMR_ABC_2017-06-18_E.MP4$3383$3387","LOCAL")</f>
        <v>LOCAL</v>
      </c>
      <c r="E247" s="3" t="s">
        <v>84</v>
      </c>
      <c r="F247" s="3" t="s">
        <v>336</v>
      </c>
      <c r="G247" s="3" t="s">
        <v>337</v>
      </c>
    </row>
    <row r="248" spans="1:7">
      <c r="A248" s="6">
        <v>42904</v>
      </c>
      <c r="B248" s="3" t="s">
        <v>13</v>
      </c>
      <c r="C248" s="3" t="s">
        <v>18</v>
      </c>
      <c r="D248" s="8" t="str">
        <f>HYPERLINK("http://npthd.inbcu.com/ViewContent.aspx?filename=NPMR_ABC_2017-06-18_E.MP4$3387$3717","AMERICAS FUNNIEST HOME VIDEOS:")</f>
        <v>AMERICAS FUNNIEST HOME VIDEOS:</v>
      </c>
      <c r="E248" s="3" t="s">
        <v>338</v>
      </c>
      <c r="F248" s="3" t="s">
        <v>337</v>
      </c>
      <c r="G248" s="3" t="s">
        <v>16</v>
      </c>
    </row>
    <row r="249" spans="1:7">
      <c r="A249" s="6">
        <v>42904</v>
      </c>
      <c r="B249" s="3" t="s">
        <v>13</v>
      </c>
      <c r="C249" s="3" t="s">
        <v>14</v>
      </c>
      <c r="D249" s="8" t="str">
        <f>HYPERLINK("http://npthd.inbcu.com/ViewContent.aspx?filename=NPMR_ABC_2017-06-18_E.MP4$3717$3722","Celebrity Family Feud")</f>
        <v>Celebrity Family Feud</v>
      </c>
      <c r="E249" s="3" t="s">
        <v>54</v>
      </c>
      <c r="F249" s="3" t="s">
        <v>16</v>
      </c>
      <c r="G249" s="3" t="s">
        <v>125</v>
      </c>
    </row>
    <row r="250" spans="1:7">
      <c r="A250" s="6">
        <v>42904</v>
      </c>
      <c r="B250" s="3" t="s">
        <v>13</v>
      </c>
      <c r="C250" s="3" t="s">
        <v>18</v>
      </c>
      <c r="D250" s="8" t="str">
        <f>HYPERLINK("http://npthd.inbcu.com/ViewContent.aspx?filename=NPMR_ABC_2017-06-18_E.MP4$3722$4400","CELEBRITY FAMILY FEUD:")</f>
        <v>CELEBRITY FAMILY FEUD:</v>
      </c>
      <c r="E250" s="3" t="s">
        <v>339</v>
      </c>
      <c r="F250" s="3" t="s">
        <v>125</v>
      </c>
      <c r="G250" s="3" t="s">
        <v>340</v>
      </c>
    </row>
    <row r="251" spans="1:7">
      <c r="A251" s="6">
        <v>42904</v>
      </c>
      <c r="B251" s="3" t="s">
        <v>13</v>
      </c>
      <c r="C251" s="3" t="s">
        <v>21</v>
      </c>
      <c r="D251" s="8" t="str">
        <f>HYPERLINK("http://npthd.inbcu.com/ViewContent.aspx?filename=NPMR_ABC_2017-06-18_E.MP4$4400$4566","COMMERCIAL")</f>
        <v>COMMERCIAL</v>
      </c>
      <c r="E251" s="3" t="s">
        <v>144</v>
      </c>
      <c r="F251" s="3" t="s">
        <v>340</v>
      </c>
      <c r="G251" s="3" t="s">
        <v>341</v>
      </c>
    </row>
    <row r="252" spans="1:7">
      <c r="A252" s="6">
        <v>42904</v>
      </c>
      <c r="B252" s="3" t="s">
        <v>13</v>
      </c>
      <c r="C252" s="3" t="s">
        <v>14</v>
      </c>
      <c r="D252" s="8" t="str">
        <f>HYPERLINK("http://npthd.inbcu.com/ViewContent.aspx?filename=NPMR_ABC_2017-06-18_E.MP4$4566$4580","To Tell the Truth")</f>
        <v>To Tell the Truth</v>
      </c>
      <c r="E252" s="3" t="s">
        <v>342</v>
      </c>
      <c r="F252" s="3" t="s">
        <v>341</v>
      </c>
      <c r="G252" s="3" t="s">
        <v>343</v>
      </c>
    </row>
    <row r="253" spans="1:7">
      <c r="A253" s="6">
        <v>42904</v>
      </c>
      <c r="B253" s="3" t="s">
        <v>13</v>
      </c>
      <c r="C253" s="3" t="s">
        <v>14</v>
      </c>
      <c r="D253" s="8" t="str">
        <f>HYPERLINK("http://npthd.inbcu.com/ViewContent.aspx?filename=NPMR_ABC_2017-06-18_E.MP4$4580$4610","Boy Band")</f>
        <v>Boy Band</v>
      </c>
      <c r="E253" s="3" t="s">
        <v>38</v>
      </c>
      <c r="F253" s="3" t="s">
        <v>343</v>
      </c>
      <c r="G253" s="3" t="s">
        <v>344</v>
      </c>
    </row>
    <row r="254" spans="1:7">
      <c r="A254" s="6">
        <v>42904</v>
      </c>
      <c r="B254" s="3" t="s">
        <v>13</v>
      </c>
      <c r="C254" s="3" t="s">
        <v>18</v>
      </c>
      <c r="D254" s="8" t="str">
        <f>HYPERLINK("http://npthd.inbcu.com/ViewContent.aspx?filename=NPMR_ABC_2017-06-18_E.MP4$4610$5087","CELEBRITY FAMILY FEUD:")</f>
        <v>CELEBRITY FAMILY FEUD:</v>
      </c>
      <c r="E254" s="3" t="s">
        <v>345</v>
      </c>
      <c r="F254" s="3" t="s">
        <v>344</v>
      </c>
      <c r="G254" s="3" t="s">
        <v>346</v>
      </c>
    </row>
    <row r="255" spans="1:7">
      <c r="A255" s="6">
        <v>42904</v>
      </c>
      <c r="B255" s="3" t="s">
        <v>13</v>
      </c>
      <c r="C255" s="3" t="s">
        <v>21</v>
      </c>
      <c r="D255" s="8" t="str">
        <f>HYPERLINK("http://npthd.inbcu.com/ViewContent.aspx?filename=NPMR_ABC_2017-06-18_E.MP4$5087$5237","COMMERCIAL")</f>
        <v>COMMERCIAL</v>
      </c>
      <c r="E255" s="3" t="s">
        <v>28</v>
      </c>
      <c r="F255" s="3" t="s">
        <v>346</v>
      </c>
      <c r="G255" s="3" t="s">
        <v>347</v>
      </c>
    </row>
    <row r="256" spans="1:7">
      <c r="A256" s="6">
        <v>42904</v>
      </c>
      <c r="B256" s="3" t="s">
        <v>13</v>
      </c>
      <c r="C256" s="3" t="s">
        <v>14</v>
      </c>
      <c r="D256" s="8" t="str">
        <f>HYPERLINK("http://npthd.inbcu.com/ViewContent.aspx?filename=NPMR_ABC_2017-06-18_E.MP4$5237$5252","Bachelorette")</f>
        <v>Bachelorette</v>
      </c>
      <c r="E256" s="3" t="s">
        <v>30</v>
      </c>
      <c r="F256" s="3" t="s">
        <v>347</v>
      </c>
      <c r="G256" s="3" t="s">
        <v>348</v>
      </c>
    </row>
    <row r="257" spans="1:7">
      <c r="A257" s="6">
        <v>42904</v>
      </c>
      <c r="B257" s="3" t="s">
        <v>13</v>
      </c>
      <c r="C257" s="3" t="s">
        <v>32</v>
      </c>
      <c r="D257" s="8" t="str">
        <f>HYPERLINK("http://npthd.inbcu.com/ViewContent.aspx?filename=NPMR_ABC_2017-06-18_E.MP4$5252$5312","LOCAL")</f>
        <v>LOCAL</v>
      </c>
      <c r="E257" s="3" t="s">
        <v>66</v>
      </c>
      <c r="F257" s="3" t="s">
        <v>348</v>
      </c>
      <c r="G257" s="3" t="s">
        <v>349</v>
      </c>
    </row>
    <row r="258" spans="1:7">
      <c r="A258" s="6">
        <v>42904</v>
      </c>
      <c r="B258" s="3" t="s">
        <v>13</v>
      </c>
      <c r="C258" s="3" t="s">
        <v>18</v>
      </c>
      <c r="D258" s="8" t="str">
        <f>HYPERLINK("http://npthd.inbcu.com/ViewContent.aspx?filename=NPMR_ABC_2017-06-18_E.MP4$5312$5557","CELEBRITY FAMILY FEUD:")</f>
        <v>CELEBRITY FAMILY FEUD:</v>
      </c>
      <c r="E258" s="3" t="s">
        <v>350</v>
      </c>
      <c r="F258" s="3" t="s">
        <v>349</v>
      </c>
      <c r="G258" s="3" t="s">
        <v>351</v>
      </c>
    </row>
    <row r="259" spans="1:7">
      <c r="A259" s="6">
        <v>42904</v>
      </c>
      <c r="B259" s="3" t="s">
        <v>13</v>
      </c>
      <c r="C259" s="3" t="s">
        <v>21</v>
      </c>
      <c r="D259" s="8" t="str">
        <f>HYPERLINK("http://npthd.inbcu.com/ViewContent.aspx?filename=NPMR_ABC_2017-06-18_E.MP4$5557$5707","COMMERCIAL")</f>
        <v>COMMERCIAL</v>
      </c>
      <c r="E259" s="3" t="s">
        <v>28</v>
      </c>
      <c r="F259" s="3" t="s">
        <v>351</v>
      </c>
      <c r="G259" s="3" t="s">
        <v>352</v>
      </c>
    </row>
    <row r="260" spans="1:7">
      <c r="A260" s="6">
        <v>42904</v>
      </c>
      <c r="B260" s="3" t="s">
        <v>13</v>
      </c>
      <c r="C260" s="3" t="s">
        <v>14</v>
      </c>
      <c r="D260" s="8" t="str">
        <f>HYPERLINK("http://npthd.inbcu.com/ViewContent.aspx?filename=NPMR_ABC_2017-06-18_E.MP4$5707$5738","Gong Show, The")</f>
        <v>Gong Show, The</v>
      </c>
      <c r="E260" s="3" t="s">
        <v>98</v>
      </c>
      <c r="F260" s="3" t="s">
        <v>352</v>
      </c>
      <c r="G260" s="3" t="s">
        <v>353</v>
      </c>
    </row>
    <row r="261" spans="1:7">
      <c r="A261" s="6">
        <v>42904</v>
      </c>
      <c r="B261" s="3" t="s">
        <v>13</v>
      </c>
      <c r="C261" s="3" t="s">
        <v>18</v>
      </c>
      <c r="D261" s="8" t="str">
        <f>HYPERLINK("http://npthd.inbcu.com/ViewContent.aspx?filename=NPMR_ABC_2017-06-18_E.MP4$5738$6189","CELEBRITY FAMILY FEUD:")</f>
        <v>CELEBRITY FAMILY FEUD:</v>
      </c>
      <c r="E261" s="3" t="s">
        <v>354</v>
      </c>
      <c r="F261" s="3" t="s">
        <v>353</v>
      </c>
      <c r="G261" s="3" t="s">
        <v>355</v>
      </c>
    </row>
    <row r="262" spans="1:7">
      <c r="A262" s="6">
        <v>42904</v>
      </c>
      <c r="B262" s="3" t="s">
        <v>13</v>
      </c>
      <c r="C262" s="3" t="s">
        <v>21</v>
      </c>
      <c r="D262" s="8" t="str">
        <f>HYPERLINK("http://npthd.inbcu.com/ViewContent.aspx?filename=NPMR_ABC_2017-06-18_E.MP4$6189$6309","COMMERCIAL")</f>
        <v>COMMERCIAL</v>
      </c>
      <c r="E262" s="3" t="s">
        <v>43</v>
      </c>
      <c r="F262" s="3" t="s">
        <v>355</v>
      </c>
      <c r="G262" s="3" t="s">
        <v>356</v>
      </c>
    </row>
    <row r="263" spans="1:7">
      <c r="A263" s="6">
        <v>42904</v>
      </c>
      <c r="B263" s="3" t="s">
        <v>13</v>
      </c>
      <c r="C263" s="3" t="s">
        <v>14</v>
      </c>
      <c r="D263" s="8" t="str">
        <f>HYPERLINK("http://npthd.inbcu.com/ViewContent.aspx?filename=NPMR_ABC_2017-06-18_E.MP4$6309$6339","Battle of the Network Stars")</f>
        <v>Battle of the Network Stars</v>
      </c>
      <c r="E263" s="3" t="s">
        <v>38</v>
      </c>
      <c r="F263" s="3" t="s">
        <v>356</v>
      </c>
      <c r="G263" s="3" t="s">
        <v>357</v>
      </c>
    </row>
    <row r="264" spans="1:7">
      <c r="A264" s="6">
        <v>42904</v>
      </c>
      <c r="B264" s="3" t="s">
        <v>13</v>
      </c>
      <c r="C264" s="3" t="s">
        <v>32</v>
      </c>
      <c r="D264" s="8" t="str">
        <f>HYPERLINK("http://npthd.inbcu.com/ViewContent.aspx?filename=NPMR_ABC_2017-06-18_E.MP4$6339$6430","LOCAL")</f>
        <v>LOCAL</v>
      </c>
      <c r="E264" s="3" t="s">
        <v>77</v>
      </c>
      <c r="F264" s="3" t="s">
        <v>357</v>
      </c>
      <c r="G264" s="3" t="s">
        <v>358</v>
      </c>
    </row>
    <row r="265" spans="1:7">
      <c r="A265" s="6">
        <v>42904</v>
      </c>
      <c r="B265" s="3" t="s">
        <v>13</v>
      </c>
      <c r="C265" s="3" t="s">
        <v>32</v>
      </c>
      <c r="D265" s="8" t="str">
        <f>HYPERLINK("http://npthd.inbcu.com/ViewContent.aspx?filename=NPMR_ABC_2017-06-18_E.MP4$6430$6431","LOCAL")</f>
        <v>LOCAL</v>
      </c>
      <c r="E265" s="3" t="s">
        <v>359</v>
      </c>
      <c r="F265" s="3" t="s">
        <v>358</v>
      </c>
      <c r="G265" s="3" t="s">
        <v>360</v>
      </c>
    </row>
    <row r="266" spans="1:7">
      <c r="A266" s="6">
        <v>42904</v>
      </c>
      <c r="B266" s="3" t="s">
        <v>13</v>
      </c>
      <c r="C266" s="3" t="s">
        <v>18</v>
      </c>
      <c r="D266" s="8" t="str">
        <f>HYPERLINK("http://npthd.inbcu.com/ViewContent.aspx?filename=NPMR_ABC_2017-06-18_E.MP4$6431$6850","CELEBRITY FAMILY FEUD:")</f>
        <v>CELEBRITY FAMILY FEUD:</v>
      </c>
      <c r="E266" s="3" t="s">
        <v>361</v>
      </c>
      <c r="F266" s="3" t="s">
        <v>360</v>
      </c>
      <c r="G266" s="3" t="s">
        <v>362</v>
      </c>
    </row>
    <row r="267" spans="1:7">
      <c r="A267" s="6">
        <v>42904</v>
      </c>
      <c r="B267" s="3" t="s">
        <v>13</v>
      </c>
      <c r="C267" s="3" t="s">
        <v>21</v>
      </c>
      <c r="D267" s="8" t="str">
        <f>HYPERLINK("http://npthd.inbcu.com/ViewContent.aspx?filename=NPMR_ABC_2017-06-18_E.MP4$6850$7060","COMMERCIAL")</f>
        <v>COMMERCIAL</v>
      </c>
      <c r="E267" s="3" t="s">
        <v>150</v>
      </c>
      <c r="F267" s="3" t="s">
        <v>362</v>
      </c>
      <c r="G267" s="3" t="s">
        <v>363</v>
      </c>
    </row>
    <row r="268" spans="1:7">
      <c r="A268" s="6">
        <v>42904</v>
      </c>
      <c r="B268" s="3" t="s">
        <v>13</v>
      </c>
      <c r="C268" s="3" t="s">
        <v>14</v>
      </c>
      <c r="D268" s="8" t="str">
        <f>HYPERLINK("http://npthd.inbcu.com/ViewContent.aspx?filename=NPMR_ABC_2017-06-18_E.MP4$7060$7075","Funderdome")</f>
        <v>Funderdome</v>
      </c>
      <c r="E268" s="3" t="s">
        <v>30</v>
      </c>
      <c r="F268" s="3" t="s">
        <v>363</v>
      </c>
      <c r="G268" s="3" t="s">
        <v>364</v>
      </c>
    </row>
    <row r="269" spans="1:7">
      <c r="A269" s="6">
        <v>42904</v>
      </c>
      <c r="B269" s="3" t="s">
        <v>13</v>
      </c>
      <c r="C269" s="3" t="s">
        <v>32</v>
      </c>
      <c r="D269" s="8" t="str">
        <f>HYPERLINK("http://npthd.inbcu.com/ViewContent.aspx?filename=NPMR_ABC_2017-06-18_E.MP4$7075$7079","LOCAL")</f>
        <v>LOCAL</v>
      </c>
      <c r="E269" s="3" t="s">
        <v>84</v>
      </c>
      <c r="F269" s="3" t="s">
        <v>364</v>
      </c>
      <c r="G269" s="3" t="s">
        <v>365</v>
      </c>
    </row>
    <row r="270" spans="1:7">
      <c r="A270" s="6">
        <v>42904</v>
      </c>
      <c r="B270" s="3" t="s">
        <v>13</v>
      </c>
      <c r="C270" s="3" t="s">
        <v>18</v>
      </c>
      <c r="D270" s="8" t="str">
        <f>HYPERLINK("http://npthd.inbcu.com/ViewContent.aspx?filename=NPMR_ABC_2017-06-18_E.MP4$7079$7317","CELEBRITY FAMILY FEUD:")</f>
        <v>CELEBRITY FAMILY FEUD:</v>
      </c>
      <c r="E270" s="3" t="s">
        <v>366</v>
      </c>
      <c r="F270" s="3" t="s">
        <v>365</v>
      </c>
      <c r="G270" s="3" t="s">
        <v>242</v>
      </c>
    </row>
    <row r="271" spans="1:7">
      <c r="A271" s="6">
        <v>42904</v>
      </c>
      <c r="B271" s="3" t="s">
        <v>13</v>
      </c>
      <c r="C271" s="3" t="s">
        <v>14</v>
      </c>
      <c r="D271" s="8" t="str">
        <f>HYPERLINK("http://npthd.inbcu.com/ViewContent.aspx?filename=NPMR_ABC_2017-06-18_E.MP4$7317$7322","Funderdome")</f>
        <v>Funderdome</v>
      </c>
      <c r="E271" s="3" t="s">
        <v>54</v>
      </c>
      <c r="F271" s="3" t="s">
        <v>242</v>
      </c>
      <c r="G271" s="3" t="s">
        <v>243</v>
      </c>
    </row>
    <row r="272" spans="1:7">
      <c r="A272" s="6">
        <v>42904</v>
      </c>
      <c r="B272" s="3" t="s">
        <v>13</v>
      </c>
      <c r="C272" s="3" t="s">
        <v>18</v>
      </c>
      <c r="D272" s="8" t="str">
        <f>HYPERLINK("http://npthd.inbcu.com/ViewContent.aspx?filename=NPMR_ABC_2017-06-18_E.MP4$7322$7942","STEVE HARVEYS FUNDERDOME:")</f>
        <v>STEVE HARVEYS FUNDERDOME:</v>
      </c>
      <c r="E272" s="3" t="s">
        <v>367</v>
      </c>
      <c r="F272" s="3" t="s">
        <v>243</v>
      </c>
      <c r="G272" s="3" t="s">
        <v>368</v>
      </c>
    </row>
    <row r="273" spans="1:7">
      <c r="A273" s="6">
        <v>42904</v>
      </c>
      <c r="B273" s="3" t="s">
        <v>13</v>
      </c>
      <c r="C273" s="3" t="s">
        <v>21</v>
      </c>
      <c r="D273" s="8" t="str">
        <f>HYPERLINK("http://npthd.inbcu.com/ViewContent.aspx?filename=NPMR_ABC_2017-06-18_E.MP4$7942$8092","COMMERCIAL")</f>
        <v>COMMERCIAL</v>
      </c>
      <c r="E273" s="3" t="s">
        <v>28</v>
      </c>
      <c r="F273" s="3" t="s">
        <v>368</v>
      </c>
      <c r="G273" s="3" t="s">
        <v>369</v>
      </c>
    </row>
    <row r="274" spans="1:7">
      <c r="A274" s="6">
        <v>42904</v>
      </c>
      <c r="B274" s="3" t="s">
        <v>13</v>
      </c>
      <c r="C274" s="3" t="s">
        <v>14</v>
      </c>
      <c r="D274" s="8" t="str">
        <f>HYPERLINK("http://npthd.inbcu.com/ViewContent.aspx?filename=NPMR_ABC_2017-06-18_E.MP4$8092$8107","To Tell the Truth")</f>
        <v>To Tell the Truth</v>
      </c>
      <c r="E274" s="3" t="s">
        <v>30</v>
      </c>
      <c r="F274" s="3" t="s">
        <v>369</v>
      </c>
      <c r="G274" s="3" t="s">
        <v>370</v>
      </c>
    </row>
    <row r="275" spans="1:7">
      <c r="A275" s="6">
        <v>42904</v>
      </c>
      <c r="B275" s="3" t="s">
        <v>13</v>
      </c>
      <c r="C275" s="3" t="s">
        <v>14</v>
      </c>
      <c r="D275" s="8" t="str">
        <f>HYPERLINK("http://npthd.inbcu.com/ViewContent.aspx?filename=NPMR_ABC_2017-06-18_E.MP4$8107$8137","Boy Band")</f>
        <v>Boy Band</v>
      </c>
      <c r="E275" s="3" t="s">
        <v>38</v>
      </c>
      <c r="F275" s="3" t="s">
        <v>370</v>
      </c>
      <c r="G275" s="3" t="s">
        <v>371</v>
      </c>
    </row>
    <row r="276" spans="1:7">
      <c r="A276" s="6">
        <v>42904</v>
      </c>
      <c r="B276" s="3" t="s">
        <v>13</v>
      </c>
      <c r="C276" s="3" t="s">
        <v>18</v>
      </c>
      <c r="D276" s="8" t="str">
        <f>HYPERLINK("http://npthd.inbcu.com/ViewContent.aspx?filename=NPMR_ABC_2017-06-18_E.MP4$8137$8407","STEVE HARVEYS FUNDERDOME:")</f>
        <v>STEVE HARVEYS FUNDERDOME:</v>
      </c>
      <c r="E276" s="3" t="s">
        <v>35</v>
      </c>
      <c r="F276" s="3" t="s">
        <v>371</v>
      </c>
      <c r="G276" s="3" t="s">
        <v>372</v>
      </c>
    </row>
    <row r="277" spans="1:7">
      <c r="A277" s="6">
        <v>42904</v>
      </c>
      <c r="B277" s="3" t="s">
        <v>13</v>
      </c>
      <c r="C277" s="3" t="s">
        <v>21</v>
      </c>
      <c r="D277" s="8" t="str">
        <f>HYPERLINK("http://npthd.inbcu.com/ViewContent.aspx?filename=NPMR_ABC_2017-06-18_E.MP4$8407$8498","COMMERCIAL")</f>
        <v>COMMERCIAL</v>
      </c>
      <c r="E277" s="3" t="s">
        <v>77</v>
      </c>
      <c r="F277" s="3" t="s">
        <v>372</v>
      </c>
      <c r="G277" s="3" t="s">
        <v>373</v>
      </c>
    </row>
    <row r="278" spans="1:7">
      <c r="A278" s="6">
        <v>42904</v>
      </c>
      <c r="B278" s="3" t="s">
        <v>13</v>
      </c>
      <c r="C278" s="3" t="s">
        <v>14</v>
      </c>
      <c r="D278" s="8" t="str">
        <f>HYPERLINK("http://npthd.inbcu.com/ViewContent.aspx?filename=NPMR_ABC_2017-06-18_E.MP4$8498$8513","Bachelorette")</f>
        <v>Bachelorette</v>
      </c>
      <c r="E278" s="3" t="s">
        <v>30</v>
      </c>
      <c r="F278" s="3" t="s">
        <v>373</v>
      </c>
      <c r="G278" s="3" t="s">
        <v>374</v>
      </c>
    </row>
    <row r="279" spans="1:7">
      <c r="A279" s="6">
        <v>42904</v>
      </c>
      <c r="B279" s="3" t="s">
        <v>13</v>
      </c>
      <c r="C279" s="3" t="s">
        <v>14</v>
      </c>
      <c r="D279" s="8" t="str">
        <f>HYPERLINK("http://npthd.inbcu.com/ViewContent.aspx?filename=NPMR_ABC_2017-06-18_E.MP4$8513$8528","What Would You Do?")</f>
        <v>What Would You Do?</v>
      </c>
      <c r="E279" s="3" t="s">
        <v>30</v>
      </c>
      <c r="F279" s="3" t="s">
        <v>374</v>
      </c>
      <c r="G279" s="3" t="s">
        <v>375</v>
      </c>
    </row>
    <row r="280" spans="1:7">
      <c r="A280" s="6">
        <v>42904</v>
      </c>
      <c r="B280" s="3" t="s">
        <v>13</v>
      </c>
      <c r="C280" s="3" t="s">
        <v>32</v>
      </c>
      <c r="D280" s="8" t="str">
        <f>HYPERLINK("http://npthd.inbcu.com/ViewContent.aspx?filename=NPMR_ABC_2017-06-18_E.MP4$8528$8618","LOCAL")</f>
        <v>LOCAL</v>
      </c>
      <c r="E280" s="3" t="s">
        <v>46</v>
      </c>
      <c r="F280" s="3" t="s">
        <v>375</v>
      </c>
      <c r="G280" s="3" t="s">
        <v>254</v>
      </c>
    </row>
    <row r="281" spans="1:7">
      <c r="A281" s="6">
        <v>42904</v>
      </c>
      <c r="B281" s="3" t="s">
        <v>13</v>
      </c>
      <c r="C281" s="3" t="s">
        <v>18</v>
      </c>
      <c r="D281" s="8" t="str">
        <f>HYPERLINK("http://npthd.inbcu.com/ViewContent.aspx?filename=NPMR_ABC_2017-06-18_E.MP4$8618$9150","STEVE HARVEYS FUNDERDOME:")</f>
        <v>STEVE HARVEYS FUNDERDOME:</v>
      </c>
      <c r="E281" s="3" t="s">
        <v>376</v>
      </c>
      <c r="F281" s="3" t="s">
        <v>254</v>
      </c>
      <c r="G281" s="3" t="s">
        <v>377</v>
      </c>
    </row>
    <row r="282" spans="1:7">
      <c r="A282" s="6">
        <v>42904</v>
      </c>
      <c r="B282" s="3" t="s">
        <v>13</v>
      </c>
      <c r="C282" s="3" t="s">
        <v>21</v>
      </c>
      <c r="D282" s="8" t="str">
        <f>HYPERLINK("http://npthd.inbcu.com/ViewContent.aspx?filename=NPMR_ABC_2017-06-18_E.MP4$9150$9330","COMMERCIAL")</f>
        <v>COMMERCIAL</v>
      </c>
      <c r="E282" s="3" t="s">
        <v>22</v>
      </c>
      <c r="F282" s="3" t="s">
        <v>377</v>
      </c>
      <c r="G282" s="3" t="s">
        <v>378</v>
      </c>
    </row>
    <row r="283" spans="1:7">
      <c r="A283" s="6">
        <v>42904</v>
      </c>
      <c r="B283" s="3" t="s">
        <v>13</v>
      </c>
      <c r="C283" s="3" t="s">
        <v>14</v>
      </c>
      <c r="D283" s="8" t="str">
        <f>HYPERLINK("http://npthd.inbcu.com/ViewContent.aspx?filename=NPMR_ABC_2017-06-18_E.MP4$9330$9345","Boy Band")</f>
        <v>Boy Band</v>
      </c>
      <c r="E283" s="3" t="s">
        <v>30</v>
      </c>
      <c r="F283" s="3" t="s">
        <v>378</v>
      </c>
      <c r="G283" s="3" t="s">
        <v>379</v>
      </c>
    </row>
    <row r="284" spans="1:7">
      <c r="A284" s="6">
        <v>42904</v>
      </c>
      <c r="B284" s="3" t="s">
        <v>13</v>
      </c>
      <c r="C284" s="3" t="s">
        <v>14</v>
      </c>
      <c r="D284" s="8" t="str">
        <f>HYPERLINK("http://npthd.inbcu.com/ViewContent.aspx?filename=NPMR_ABC_2017-06-18_E.MP4$9345$9375","Gong Show, The")</f>
        <v>Gong Show, The</v>
      </c>
      <c r="E284" s="3" t="s">
        <v>38</v>
      </c>
      <c r="F284" s="3" t="s">
        <v>379</v>
      </c>
      <c r="G284" s="3" t="s">
        <v>380</v>
      </c>
    </row>
    <row r="285" spans="1:7">
      <c r="A285" s="6">
        <v>42904</v>
      </c>
      <c r="B285" s="3" t="s">
        <v>13</v>
      </c>
      <c r="C285" s="3" t="s">
        <v>18</v>
      </c>
      <c r="D285" s="8" t="str">
        <f>HYPERLINK("http://npthd.inbcu.com/ViewContent.aspx?filename=NPMR_ABC_2017-06-18_E.MP4$9375$9647","STEVE HARVEYS FUNDERDOME:")</f>
        <v>STEVE HARVEYS FUNDERDOME:</v>
      </c>
      <c r="E285" s="3" t="s">
        <v>381</v>
      </c>
      <c r="F285" s="3" t="s">
        <v>380</v>
      </c>
      <c r="G285" s="3" t="s">
        <v>382</v>
      </c>
    </row>
    <row r="286" spans="1:7">
      <c r="A286" s="6">
        <v>42904</v>
      </c>
      <c r="B286" s="3" t="s">
        <v>13</v>
      </c>
      <c r="C286" s="3" t="s">
        <v>21</v>
      </c>
      <c r="D286" s="8" t="str">
        <f>HYPERLINK("http://npthd.inbcu.com/ViewContent.aspx?filename=NPMR_ABC_2017-06-18_E.MP4$9647$9797","COMMERCIAL")</f>
        <v>COMMERCIAL</v>
      </c>
      <c r="E286" s="3" t="s">
        <v>28</v>
      </c>
      <c r="F286" s="3" t="s">
        <v>382</v>
      </c>
      <c r="G286" s="3" t="s">
        <v>383</v>
      </c>
    </row>
    <row r="287" spans="1:7">
      <c r="A287" s="6">
        <v>42904</v>
      </c>
      <c r="B287" s="3" t="s">
        <v>13</v>
      </c>
      <c r="C287" s="3" t="s">
        <v>14</v>
      </c>
      <c r="D287" s="8" t="str">
        <f>HYPERLINK("http://npthd.inbcu.com/ViewContent.aspx?filename=NPMR_ABC_2017-06-18_E.MP4$9797$9827","Battle of the Network Stars")</f>
        <v>Battle of the Network Stars</v>
      </c>
      <c r="E287" s="3" t="s">
        <v>38</v>
      </c>
      <c r="F287" s="3" t="s">
        <v>383</v>
      </c>
      <c r="G287" s="3" t="s">
        <v>384</v>
      </c>
    </row>
    <row r="288" spans="1:7">
      <c r="A288" s="6">
        <v>42904</v>
      </c>
      <c r="B288" s="3" t="s">
        <v>13</v>
      </c>
      <c r="C288" s="3" t="s">
        <v>32</v>
      </c>
      <c r="D288" s="8" t="str">
        <f>HYPERLINK("http://npthd.inbcu.com/ViewContent.aspx?filename=NPMR_ABC_2017-06-18_E.MP4$9827$9888","LOCAL")</f>
        <v>LOCAL</v>
      </c>
      <c r="E288" s="3" t="s">
        <v>33</v>
      </c>
      <c r="F288" s="3" t="s">
        <v>384</v>
      </c>
      <c r="G288" s="3" t="s">
        <v>385</v>
      </c>
    </row>
    <row r="289" spans="1:7">
      <c r="A289" s="6">
        <v>42904</v>
      </c>
      <c r="B289" s="3" t="s">
        <v>13</v>
      </c>
      <c r="C289" s="3" t="s">
        <v>18</v>
      </c>
      <c r="D289" s="8" t="str">
        <f>HYPERLINK("http://npthd.inbcu.com/ViewContent.aspx?filename=NPMR_ABC_2017-06-18_E.MP4$9888$10382","STEVE HARVEYS FUNDERDOME:")</f>
        <v>STEVE HARVEYS FUNDERDOME:</v>
      </c>
      <c r="E289" s="3" t="s">
        <v>386</v>
      </c>
      <c r="F289" s="3" t="s">
        <v>385</v>
      </c>
      <c r="G289" s="3" t="s">
        <v>387</v>
      </c>
    </row>
    <row r="290" spans="1:7">
      <c r="A290" s="6">
        <v>42904</v>
      </c>
      <c r="B290" s="3" t="s">
        <v>13</v>
      </c>
      <c r="C290" s="3" t="s">
        <v>21</v>
      </c>
      <c r="D290" s="8" t="str">
        <f>HYPERLINK("http://npthd.inbcu.com/ViewContent.aspx?filename=NPMR_ABC_2017-06-18_E.MP4$10382$10577","COMMERCIAL")</f>
        <v>COMMERCIAL</v>
      </c>
      <c r="E290" s="3" t="s">
        <v>388</v>
      </c>
      <c r="F290" s="3" t="s">
        <v>387</v>
      </c>
      <c r="G290" s="3" t="s">
        <v>389</v>
      </c>
    </row>
    <row r="291" spans="1:7">
      <c r="A291" s="6">
        <v>42904</v>
      </c>
      <c r="B291" s="3" t="s">
        <v>13</v>
      </c>
      <c r="C291" s="3" t="s">
        <v>14</v>
      </c>
      <c r="D291" s="8" t="str">
        <f>HYPERLINK("http://npthd.inbcu.com/ViewContent.aspx?filename=NPMR_ABC_2017-06-18_E.MP4$10577$10592","100,000 Pyramid")</f>
        <v>100,000 Pyramid</v>
      </c>
      <c r="E291" s="3" t="s">
        <v>30</v>
      </c>
      <c r="F291" s="3" t="s">
        <v>389</v>
      </c>
      <c r="G291" s="3" t="s">
        <v>390</v>
      </c>
    </row>
    <row r="292" spans="1:7">
      <c r="A292" s="6">
        <v>42904</v>
      </c>
      <c r="B292" s="3" t="s">
        <v>13</v>
      </c>
      <c r="C292" s="3" t="s">
        <v>32</v>
      </c>
      <c r="D292" s="8" t="str">
        <f>HYPERLINK("http://npthd.inbcu.com/ViewContent.aspx?filename=NPMR_ABC_2017-06-18_E.MP4$10592$10597","LOCAL")</f>
        <v>LOCAL</v>
      </c>
      <c r="E292" s="3" t="s">
        <v>54</v>
      </c>
      <c r="F292" s="3" t="s">
        <v>390</v>
      </c>
      <c r="G292" s="3" t="s">
        <v>391</v>
      </c>
    </row>
    <row r="293" spans="1:7">
      <c r="A293" s="6">
        <v>42904</v>
      </c>
      <c r="B293" s="3" t="s">
        <v>13</v>
      </c>
      <c r="C293" s="3" t="s">
        <v>18</v>
      </c>
      <c r="D293" s="8" t="str">
        <f>HYPERLINK("http://npthd.inbcu.com/ViewContent.aspx?filename=NPMR_ABC_2017-06-18_E.MP4$10597$10884","STEVE HARVEYS FUNDERDOME:")</f>
        <v>STEVE HARVEYS FUNDERDOME:</v>
      </c>
      <c r="E293" s="3" t="s">
        <v>392</v>
      </c>
      <c r="F293" s="3" t="s">
        <v>391</v>
      </c>
      <c r="G293" s="3" t="s">
        <v>277</v>
      </c>
    </row>
    <row r="294" spans="1:7">
      <c r="A294" s="6">
        <v>42904</v>
      </c>
      <c r="B294" s="3" t="s">
        <v>13</v>
      </c>
      <c r="C294" s="3" t="s">
        <v>14</v>
      </c>
      <c r="D294" s="8" t="str">
        <f>HYPERLINK("http://npthd.inbcu.com/ViewContent.aspx?filename=NPMR_ABC_2017-06-18_E.MP4$10884$10914","Funderdome")</f>
        <v>Funderdome</v>
      </c>
      <c r="E294" s="3" t="s">
        <v>38</v>
      </c>
      <c r="F294" s="3" t="s">
        <v>277</v>
      </c>
      <c r="G294" s="3" t="s">
        <v>278</v>
      </c>
    </row>
    <row r="295" spans="1:7">
      <c r="A295" s="6">
        <v>42904</v>
      </c>
      <c r="B295" s="3" t="s">
        <v>13</v>
      </c>
      <c r="C295" s="3" t="s">
        <v>18</v>
      </c>
      <c r="D295" s="8" t="str">
        <f>HYPERLINK("http://npthd.inbcu.com/ViewContent.aspx?filename=NPMR_ABC_2017-06-18_E.MP4$10914$10917","STEVE HARVEYS FUNDERDOME:")</f>
        <v>STEVE HARVEYS FUNDERDOME:</v>
      </c>
      <c r="E295" s="3" t="s">
        <v>393</v>
      </c>
      <c r="F295" s="3" t="s">
        <v>278</v>
      </c>
      <c r="G295" s="3" t="s">
        <v>394</v>
      </c>
    </row>
    <row r="296" spans="1:7">
      <c r="A296" s="6">
        <v>42904</v>
      </c>
      <c r="B296" s="3" t="s">
        <v>13</v>
      </c>
      <c r="C296" s="3" t="s">
        <v>14</v>
      </c>
      <c r="D296" s="8" t="str">
        <f>HYPERLINK("http://npthd.inbcu.com/ViewContent.aspx?filename=NPMR_ABC_2017-06-18_E.MP4$10917$10922","100,000 Pyramid")</f>
        <v>100,000 Pyramid</v>
      </c>
      <c r="E296" s="3" t="s">
        <v>54</v>
      </c>
      <c r="F296" s="3" t="s">
        <v>394</v>
      </c>
      <c r="G296" s="3" t="s">
        <v>395</v>
      </c>
    </row>
    <row r="297" spans="1:7">
      <c r="A297" s="6">
        <v>42904</v>
      </c>
      <c r="B297" s="3" t="s">
        <v>13</v>
      </c>
      <c r="C297" s="3" t="s">
        <v>18</v>
      </c>
      <c r="D297" s="8" t="str">
        <f>HYPERLINK("http://npthd.inbcu.com/ViewContent.aspx?filename=NPMR_ABC_2017-06-18_E.MP4$10922$11431","THE $100,000 PYRAMID:")</f>
        <v>THE $100,000 PYRAMID:</v>
      </c>
      <c r="E297" s="3" t="s">
        <v>396</v>
      </c>
      <c r="F297" s="3" t="s">
        <v>395</v>
      </c>
      <c r="G297" s="3" t="s">
        <v>397</v>
      </c>
    </row>
    <row r="298" spans="1:7">
      <c r="A298" s="6">
        <v>42904</v>
      </c>
      <c r="B298" s="3" t="s">
        <v>13</v>
      </c>
      <c r="C298" s="3" t="s">
        <v>21</v>
      </c>
      <c r="D298" s="8" t="str">
        <f>HYPERLINK("http://npthd.inbcu.com/ViewContent.aspx?filename=NPMR_ABC_2017-06-18_E.MP4$11431$11551","COMMERCIAL")</f>
        <v>COMMERCIAL</v>
      </c>
      <c r="E298" s="3" t="s">
        <v>43</v>
      </c>
      <c r="F298" s="3" t="s">
        <v>397</v>
      </c>
      <c r="G298" s="3" t="s">
        <v>398</v>
      </c>
    </row>
    <row r="299" spans="1:7">
      <c r="A299" s="6">
        <v>42904</v>
      </c>
      <c r="B299" s="3" t="s">
        <v>13</v>
      </c>
      <c r="C299" s="3" t="s">
        <v>14</v>
      </c>
      <c r="D299" s="8" t="str">
        <f>HYPERLINK("http://npthd.inbcu.com/ViewContent.aspx?filename=NPMR_ABC_2017-06-18_E.MP4$11551$11566","To Tell the Truth")</f>
        <v>To Tell the Truth</v>
      </c>
      <c r="E299" s="3" t="s">
        <v>30</v>
      </c>
      <c r="F299" s="3" t="s">
        <v>398</v>
      </c>
      <c r="G299" s="3" t="s">
        <v>399</v>
      </c>
    </row>
    <row r="300" spans="1:7">
      <c r="A300" s="6">
        <v>42904</v>
      </c>
      <c r="B300" s="3" t="s">
        <v>13</v>
      </c>
      <c r="C300" s="3" t="s">
        <v>14</v>
      </c>
      <c r="D300" s="8" t="str">
        <f>HYPERLINK("http://npthd.inbcu.com/ViewContent.aspx?filename=NPMR_ABC_2017-06-18_E.MP4$11566$11596","Boy Band")</f>
        <v>Boy Band</v>
      </c>
      <c r="E300" s="3" t="s">
        <v>38</v>
      </c>
      <c r="F300" s="3" t="s">
        <v>399</v>
      </c>
      <c r="G300" s="3" t="s">
        <v>400</v>
      </c>
    </row>
    <row r="301" spans="1:7">
      <c r="A301" s="6">
        <v>42904</v>
      </c>
      <c r="B301" s="3" t="s">
        <v>13</v>
      </c>
      <c r="C301" s="3" t="s">
        <v>18</v>
      </c>
      <c r="D301" s="8" t="str">
        <f>HYPERLINK("http://npthd.inbcu.com/ViewContent.aspx?filename=NPMR_ABC_2017-06-18_E.MP4$11596$12342","THE $100,000 PYRAMID:")</f>
        <v>THE $100,000 PYRAMID:</v>
      </c>
      <c r="E301" s="3" t="s">
        <v>401</v>
      </c>
      <c r="F301" s="3" t="s">
        <v>400</v>
      </c>
      <c r="G301" s="3" t="s">
        <v>402</v>
      </c>
    </row>
    <row r="302" spans="1:7">
      <c r="A302" s="6">
        <v>42904</v>
      </c>
      <c r="B302" s="3" t="s">
        <v>13</v>
      </c>
      <c r="C302" s="3" t="s">
        <v>21</v>
      </c>
      <c r="D302" s="8" t="str">
        <f>HYPERLINK("http://npthd.inbcu.com/ViewContent.aspx?filename=NPMR_ABC_2017-06-18_E.MP4$12342$12433","COMMERCIAL")</f>
        <v>COMMERCIAL</v>
      </c>
      <c r="E302" s="3" t="s">
        <v>77</v>
      </c>
      <c r="F302" s="3" t="s">
        <v>402</v>
      </c>
      <c r="G302" s="3" t="s">
        <v>403</v>
      </c>
    </row>
    <row r="303" spans="1:7">
      <c r="A303" s="6">
        <v>42904</v>
      </c>
      <c r="B303" s="3" t="s">
        <v>13</v>
      </c>
      <c r="C303" s="3" t="s">
        <v>14</v>
      </c>
      <c r="D303" s="8" t="str">
        <f>HYPERLINK("http://npthd.inbcu.com/ViewContent.aspx?filename=NPMR_ABC_2017-06-18_E.MP4$12433$12463","Battle of the Network Stars")</f>
        <v>Battle of the Network Stars</v>
      </c>
      <c r="E303" s="3" t="s">
        <v>38</v>
      </c>
      <c r="F303" s="3" t="s">
        <v>403</v>
      </c>
      <c r="G303" s="3" t="s">
        <v>404</v>
      </c>
    </row>
    <row r="304" spans="1:7">
      <c r="A304" s="6">
        <v>42904</v>
      </c>
      <c r="B304" s="3" t="s">
        <v>13</v>
      </c>
      <c r="C304" s="3" t="s">
        <v>32</v>
      </c>
      <c r="D304" s="8" t="str">
        <f>HYPERLINK("http://npthd.inbcu.com/ViewContent.aspx?filename=NPMR_ABC_2017-06-18_E.MP4$12463$12569","LOCAL")</f>
        <v>LOCAL</v>
      </c>
      <c r="E304" s="3" t="s">
        <v>293</v>
      </c>
      <c r="F304" s="3" t="s">
        <v>404</v>
      </c>
      <c r="G304" s="3" t="s">
        <v>405</v>
      </c>
    </row>
    <row r="305" spans="1:7">
      <c r="A305" s="6">
        <v>42904</v>
      </c>
      <c r="B305" s="3" t="s">
        <v>13</v>
      </c>
      <c r="C305" s="3" t="s">
        <v>18</v>
      </c>
      <c r="D305" s="8" t="str">
        <f>HYPERLINK("http://npthd.inbcu.com/ViewContent.aspx?filename=NPMR_ABC_2017-06-18_E.MP4$12569$13198","THE $100,000 PYRAMID:")</f>
        <v>THE $100,000 PYRAMID:</v>
      </c>
      <c r="E305" s="3" t="s">
        <v>406</v>
      </c>
      <c r="F305" s="3" t="s">
        <v>405</v>
      </c>
      <c r="G305" s="3" t="s">
        <v>407</v>
      </c>
    </row>
    <row r="306" spans="1:7">
      <c r="A306" s="6">
        <v>42904</v>
      </c>
      <c r="B306" s="3" t="s">
        <v>13</v>
      </c>
      <c r="C306" s="3" t="s">
        <v>21</v>
      </c>
      <c r="D306" s="8" t="str">
        <f>HYPERLINK("http://npthd.inbcu.com/ViewContent.aspx?filename=NPMR_ABC_2017-06-18_E.MP4$13198$13379","COMMERCIAL")</f>
        <v>COMMERCIAL</v>
      </c>
      <c r="E306" s="3" t="s">
        <v>108</v>
      </c>
      <c r="F306" s="3" t="s">
        <v>407</v>
      </c>
      <c r="G306" s="3" t="s">
        <v>408</v>
      </c>
    </row>
    <row r="307" spans="1:7">
      <c r="A307" s="6">
        <v>42904</v>
      </c>
      <c r="B307" s="3" t="s">
        <v>13</v>
      </c>
      <c r="C307" s="3" t="s">
        <v>14</v>
      </c>
      <c r="D307" s="8" t="str">
        <f>HYPERLINK("http://npthd.inbcu.com/ViewContent.aspx?filename=NPMR_ABC_2017-06-18_E.MP4$13379$13393","Good Morning America")</f>
        <v>Good Morning America</v>
      </c>
      <c r="E307" s="3" t="s">
        <v>342</v>
      </c>
      <c r="F307" s="3" t="s">
        <v>408</v>
      </c>
      <c r="G307" s="3" t="s">
        <v>409</v>
      </c>
    </row>
    <row r="308" spans="1:7">
      <c r="A308" s="6">
        <v>42904</v>
      </c>
      <c r="B308" s="3" t="s">
        <v>13</v>
      </c>
      <c r="C308" s="3" t="s">
        <v>18</v>
      </c>
      <c r="D308" s="8" t="str">
        <f>HYPERLINK("http://npthd.inbcu.com/ViewContent.aspx?filename=NPMR_ABC_2017-06-18_E.MP4$13393$13567","THE $100,000 PYRAMID:")</f>
        <v>THE $100,000 PYRAMID:</v>
      </c>
      <c r="E308" s="3" t="s">
        <v>410</v>
      </c>
      <c r="F308" s="3" t="s">
        <v>409</v>
      </c>
      <c r="G308" s="3" t="s">
        <v>411</v>
      </c>
    </row>
    <row r="309" spans="1:7">
      <c r="A309" s="6">
        <v>42904</v>
      </c>
      <c r="B309" s="3" t="s">
        <v>13</v>
      </c>
      <c r="C309" s="3" t="s">
        <v>21</v>
      </c>
      <c r="D309" s="8" t="str">
        <f>HYPERLINK("http://npthd.inbcu.com/ViewContent.aspx?filename=NPMR_ABC_2017-06-18_E.MP4$13567$13627","COMMERCIAL")</f>
        <v>COMMERCIAL</v>
      </c>
      <c r="E309" s="3" t="s">
        <v>66</v>
      </c>
      <c r="F309" s="3" t="s">
        <v>411</v>
      </c>
      <c r="G309" s="3" t="s">
        <v>412</v>
      </c>
    </row>
    <row r="310" spans="1:7">
      <c r="A310" s="6">
        <v>42904</v>
      </c>
      <c r="B310" s="3" t="s">
        <v>13</v>
      </c>
      <c r="C310" s="3" t="s">
        <v>14</v>
      </c>
      <c r="D310" s="8" t="str">
        <f>HYPERLINK("http://npthd.inbcu.com/ViewContent.aspx?filename=NPMR_ABC_2017-06-18_E.MP4$13627$13642","Bachelorette")</f>
        <v>Bachelorette</v>
      </c>
      <c r="E310" s="3" t="s">
        <v>30</v>
      </c>
      <c r="F310" s="3" t="s">
        <v>412</v>
      </c>
      <c r="G310" s="3" t="s">
        <v>413</v>
      </c>
    </row>
    <row r="311" spans="1:7">
      <c r="A311" s="6">
        <v>42904</v>
      </c>
      <c r="B311" s="3" t="s">
        <v>13</v>
      </c>
      <c r="C311" s="3" t="s">
        <v>32</v>
      </c>
      <c r="D311" s="8" t="str">
        <f>HYPERLINK("http://npthd.inbcu.com/ViewContent.aspx?filename=NPMR_ABC_2017-06-18_E.MP4$13642$13733","LOCAL")</f>
        <v>LOCAL</v>
      </c>
      <c r="E311" s="3" t="s">
        <v>77</v>
      </c>
      <c r="F311" s="3" t="s">
        <v>413</v>
      </c>
      <c r="G311" s="3" t="s">
        <v>414</v>
      </c>
    </row>
    <row r="312" spans="1:7">
      <c r="A312" s="6">
        <v>42904</v>
      </c>
      <c r="B312" s="3" t="s">
        <v>13</v>
      </c>
      <c r="C312" s="3" t="s">
        <v>18</v>
      </c>
      <c r="D312" s="8" t="str">
        <f>HYPERLINK("http://npthd.inbcu.com/ViewContent.aspx?filename=NPMR_ABC_2017-06-18_E.MP4$13733$14168","THE $100,000 PYRAMID:")</f>
        <v>THE $100,000 PYRAMID:</v>
      </c>
      <c r="E312" s="3" t="s">
        <v>415</v>
      </c>
      <c r="F312" s="3" t="s">
        <v>414</v>
      </c>
      <c r="G312" s="3" t="s">
        <v>416</v>
      </c>
    </row>
    <row r="313" spans="1:7">
      <c r="A313" s="6">
        <v>42904</v>
      </c>
      <c r="B313" s="3" t="s">
        <v>13</v>
      </c>
      <c r="C313" s="3" t="s">
        <v>32</v>
      </c>
      <c r="D313" s="8" t="str">
        <f>HYPERLINK("http://npthd.inbcu.com/ViewContent.aspx?filename=NPMR_ABC_2017-06-18_E.MP4$14168$14183","LOCAL")</f>
        <v>LOCAL</v>
      </c>
      <c r="E313" s="3" t="s">
        <v>30</v>
      </c>
      <c r="F313" s="3" t="s">
        <v>416</v>
      </c>
      <c r="G313" s="3" t="s">
        <v>417</v>
      </c>
    </row>
    <row r="314" spans="1:7">
      <c r="A314" s="6">
        <v>42904</v>
      </c>
      <c r="B314" s="3" t="s">
        <v>13</v>
      </c>
      <c r="C314" s="3" t="s">
        <v>21</v>
      </c>
      <c r="D314" s="8" t="str">
        <f>HYPERLINK("http://npthd.inbcu.com/ViewContent.aspx?filename=NPMR_ABC_2017-06-18_E.MP4$14183$14303","COMMERCIAL")</f>
        <v>COMMERCIAL</v>
      </c>
      <c r="E314" s="3" t="s">
        <v>43</v>
      </c>
      <c r="F314" s="3" t="s">
        <v>417</v>
      </c>
      <c r="G314" s="3" t="s">
        <v>418</v>
      </c>
    </row>
    <row r="315" spans="1:7">
      <c r="A315" s="6">
        <v>42904</v>
      </c>
      <c r="B315" s="3" t="s">
        <v>13</v>
      </c>
      <c r="C315" s="3" t="s">
        <v>14</v>
      </c>
      <c r="D315" s="8" t="str">
        <f>HYPERLINK("http://npthd.inbcu.com/ViewContent.aspx?filename=NPMR_ABC_2017-06-18_E.MP4$14303$14318","To Tell the Truth")</f>
        <v>To Tell the Truth</v>
      </c>
      <c r="E315" s="3" t="s">
        <v>30</v>
      </c>
      <c r="F315" s="3" t="s">
        <v>418</v>
      </c>
      <c r="G315" s="3" t="s">
        <v>419</v>
      </c>
    </row>
    <row r="316" spans="1:7">
      <c r="A316" s="6">
        <v>42904</v>
      </c>
      <c r="B316" s="3" t="s">
        <v>13</v>
      </c>
      <c r="C316" s="3" t="s">
        <v>18</v>
      </c>
      <c r="D316" s="8" t="str">
        <f>HYPERLINK("http://npthd.inbcu.com/ViewContent.aspx?filename=NPMR_ABC_2017-06-18_E.MP4$14318$14502","THE $100,000 PYRAMID:")</f>
        <v>THE $100,000 PYRAMID:</v>
      </c>
      <c r="E316" s="3" t="s">
        <v>420</v>
      </c>
      <c r="F316" s="3" t="s">
        <v>419</v>
      </c>
      <c r="G316" s="3" t="s">
        <v>123</v>
      </c>
    </row>
    <row r="317" spans="1:7">
      <c r="A317" s="6">
        <v>42904</v>
      </c>
      <c r="B317" s="3" t="s">
        <v>13</v>
      </c>
      <c r="C317" s="3" t="s">
        <v>32</v>
      </c>
      <c r="D317" s="8" t="str">
        <f>HYPERLINK("http://npthd.inbcu.com/ViewContent.aspx?filename=NPMR_ABC_2017-06-18_E.MP4$14502$14517","LOCAL")</f>
        <v>LOCAL</v>
      </c>
      <c r="E317" s="3" t="s">
        <v>30</v>
      </c>
      <c r="F317" s="3" t="s">
        <v>123</v>
      </c>
      <c r="G317" s="3" t="s">
        <v>124</v>
      </c>
    </row>
    <row r="318" spans="1:7">
      <c r="A318" s="6">
        <v>42905</v>
      </c>
      <c r="B318" s="3" t="s">
        <v>13</v>
      </c>
      <c r="C318" s="3" t="s">
        <v>14</v>
      </c>
      <c r="D318" s="8" t="str">
        <f>HYPERLINK("http://npthd.inbcu.com/ViewContent.aspx?filename=NPMR_ABC_2017-06-19_E.MP4$117$122","ABC Open")</f>
        <v>ABC Open</v>
      </c>
      <c r="E318" s="3" t="s">
        <v>54</v>
      </c>
      <c r="F318" s="3" t="s">
        <v>16</v>
      </c>
      <c r="G318" s="3" t="s">
        <v>125</v>
      </c>
    </row>
    <row r="319" spans="1:7">
      <c r="A319" s="6">
        <v>42905</v>
      </c>
      <c r="B319" s="3" t="s">
        <v>13</v>
      </c>
      <c r="C319" s="3" t="s">
        <v>18</v>
      </c>
      <c r="D319" s="8" t="str">
        <f>HYPERLINK("http://npthd.inbcu.com/ViewContent.aspx?filename=NPMR_ABC_2017-06-19_E.MP4$122$523","THE BACHELORETTE: 1304")</f>
        <v>THE BACHELORETTE: 1304</v>
      </c>
      <c r="E319" s="3" t="s">
        <v>421</v>
      </c>
      <c r="F319" s="3" t="s">
        <v>125</v>
      </c>
      <c r="G319" s="3" t="s">
        <v>422</v>
      </c>
    </row>
    <row r="320" spans="1:7">
      <c r="A320" s="6">
        <v>42905</v>
      </c>
      <c r="B320" s="3" t="s">
        <v>13</v>
      </c>
      <c r="C320" s="3" t="s">
        <v>21</v>
      </c>
      <c r="D320" s="8" t="str">
        <f>HYPERLINK("http://npthd.inbcu.com/ViewContent.aspx?filename=NPMR_ABC_2017-06-19_E.MP4$523$718","COMMERCIAL")</f>
        <v>COMMERCIAL</v>
      </c>
      <c r="E320" s="3" t="s">
        <v>388</v>
      </c>
      <c r="F320" s="3" t="s">
        <v>422</v>
      </c>
      <c r="G320" s="3" t="s">
        <v>423</v>
      </c>
    </row>
    <row r="321" spans="1:7">
      <c r="A321" s="6">
        <v>42905</v>
      </c>
      <c r="B321" s="3" t="s">
        <v>13</v>
      </c>
      <c r="C321" s="3" t="s">
        <v>14</v>
      </c>
      <c r="D321" s="8" t="str">
        <f>HYPERLINK("http://npthd.inbcu.com/ViewContent.aspx?filename=NPMR_ABC_2017-06-19_E.MP4$718$733","Boy Band")</f>
        <v>Boy Band</v>
      </c>
      <c r="E321" s="3" t="s">
        <v>30</v>
      </c>
      <c r="F321" s="3" t="s">
        <v>423</v>
      </c>
      <c r="G321" s="3" t="s">
        <v>424</v>
      </c>
    </row>
    <row r="322" spans="1:7">
      <c r="A322" s="6">
        <v>42905</v>
      </c>
      <c r="B322" s="3" t="s">
        <v>13</v>
      </c>
      <c r="C322" s="3" t="s">
        <v>14</v>
      </c>
      <c r="D322" s="8" t="str">
        <f>HYPERLINK("http://npthd.inbcu.com/ViewContent.aspx?filename=NPMR_ABC_2017-06-19_E.MP4$733$748","Gong Show, The")</f>
        <v>Gong Show, The</v>
      </c>
      <c r="E322" s="3" t="s">
        <v>30</v>
      </c>
      <c r="F322" s="3" t="s">
        <v>424</v>
      </c>
      <c r="G322" s="3" t="s">
        <v>425</v>
      </c>
    </row>
    <row r="323" spans="1:7">
      <c r="A323" s="6">
        <v>42905</v>
      </c>
      <c r="B323" s="3" t="s">
        <v>13</v>
      </c>
      <c r="C323" s="3" t="s">
        <v>18</v>
      </c>
      <c r="D323" s="8" t="str">
        <f>HYPERLINK("http://npthd.inbcu.com/ViewContent.aspx?filename=NPMR_ABC_2017-06-19_E.MP4$748$1193","THE BACHELORETTE: 1304")</f>
        <v>THE BACHELORETTE: 1304</v>
      </c>
      <c r="E323" s="3" t="s">
        <v>426</v>
      </c>
      <c r="F323" s="3" t="s">
        <v>425</v>
      </c>
      <c r="G323" s="3" t="s">
        <v>427</v>
      </c>
    </row>
    <row r="324" spans="1:7">
      <c r="A324" s="6">
        <v>42905</v>
      </c>
      <c r="B324" s="3" t="s">
        <v>13</v>
      </c>
      <c r="C324" s="3" t="s">
        <v>21</v>
      </c>
      <c r="D324" s="8" t="str">
        <f>HYPERLINK("http://npthd.inbcu.com/ViewContent.aspx?filename=NPMR_ABC_2017-06-19_E.MP4$1193$1358","COMMERCIAL")</f>
        <v>COMMERCIAL</v>
      </c>
      <c r="E324" s="3" t="s">
        <v>428</v>
      </c>
      <c r="F324" s="3" t="s">
        <v>427</v>
      </c>
      <c r="G324" s="3" t="s">
        <v>429</v>
      </c>
    </row>
    <row r="325" spans="1:7">
      <c r="A325" s="6">
        <v>42905</v>
      </c>
      <c r="B325" s="3" t="s">
        <v>13</v>
      </c>
      <c r="C325" s="3" t="s">
        <v>14</v>
      </c>
      <c r="D325" s="8" t="str">
        <f>HYPERLINK("http://npthd.inbcu.com/ViewContent.aspx?filename=NPMR_ABC_2017-06-19_E.MP4$1358$1373","Good Morning America")</f>
        <v>Good Morning America</v>
      </c>
      <c r="E325" s="3" t="s">
        <v>30</v>
      </c>
      <c r="F325" s="3" t="s">
        <v>429</v>
      </c>
      <c r="G325" s="3" t="s">
        <v>430</v>
      </c>
    </row>
    <row r="326" spans="1:7">
      <c r="A326" s="6">
        <v>42905</v>
      </c>
      <c r="B326" s="3" t="s">
        <v>13</v>
      </c>
      <c r="C326" s="3" t="s">
        <v>14</v>
      </c>
      <c r="D326" s="8" t="str">
        <f>HYPERLINK("http://npthd.inbcu.com/ViewContent.aspx?filename=NPMR_ABC_2017-06-19_E.MP4$1373$1388","Battle of the Network Stars")</f>
        <v>Battle of the Network Stars</v>
      </c>
      <c r="E326" s="3" t="s">
        <v>30</v>
      </c>
      <c r="F326" s="3" t="s">
        <v>430</v>
      </c>
      <c r="G326" s="3" t="s">
        <v>431</v>
      </c>
    </row>
    <row r="327" spans="1:7">
      <c r="A327" s="6">
        <v>42905</v>
      </c>
      <c r="B327" s="3" t="s">
        <v>13</v>
      </c>
      <c r="C327" s="3" t="s">
        <v>32</v>
      </c>
      <c r="D327" s="8" t="str">
        <f>HYPERLINK("http://npthd.inbcu.com/ViewContent.aspx?filename=NPMR_ABC_2017-06-19_E.MP4$1388$1449","LOCAL")</f>
        <v>LOCAL</v>
      </c>
      <c r="E327" s="3" t="s">
        <v>33</v>
      </c>
      <c r="F327" s="3" t="s">
        <v>431</v>
      </c>
      <c r="G327" s="3" t="s">
        <v>432</v>
      </c>
    </row>
    <row r="328" spans="1:7">
      <c r="A328" s="6">
        <v>42905</v>
      </c>
      <c r="B328" s="3" t="s">
        <v>13</v>
      </c>
      <c r="C328" s="3" t="s">
        <v>18</v>
      </c>
      <c r="D328" s="8" t="str">
        <f>HYPERLINK("http://npthd.inbcu.com/ViewContent.aspx?filename=NPMR_ABC_2017-06-19_E.MP4$1449$2003","THE BACHELORETTE: 1304")</f>
        <v>THE BACHELORETTE: 1304</v>
      </c>
      <c r="E328" s="3" t="s">
        <v>217</v>
      </c>
      <c r="F328" s="3" t="s">
        <v>432</v>
      </c>
      <c r="G328" s="3" t="s">
        <v>433</v>
      </c>
    </row>
    <row r="329" spans="1:7">
      <c r="A329" s="6">
        <v>42905</v>
      </c>
      <c r="B329" s="3" t="s">
        <v>13</v>
      </c>
      <c r="C329" s="3" t="s">
        <v>21</v>
      </c>
      <c r="D329" s="8" t="str">
        <f>HYPERLINK("http://npthd.inbcu.com/ViewContent.aspx?filename=NPMR_ABC_2017-06-19_E.MP4$2003$2213","COMMERCIAL")</f>
        <v>COMMERCIAL</v>
      </c>
      <c r="E329" s="3" t="s">
        <v>150</v>
      </c>
      <c r="F329" s="3" t="s">
        <v>433</v>
      </c>
      <c r="G329" s="3" t="s">
        <v>434</v>
      </c>
    </row>
    <row r="330" spans="1:7">
      <c r="A330" s="6">
        <v>42905</v>
      </c>
      <c r="B330" s="3" t="s">
        <v>13</v>
      </c>
      <c r="C330" s="3" t="s">
        <v>14</v>
      </c>
      <c r="D330" s="8" t="str">
        <f>HYPERLINK("http://npthd.inbcu.com/ViewContent.aspx?filename=NPMR_ABC_2017-06-19_E.MP4$2213$2228","To Tell the Truth")</f>
        <v>To Tell the Truth</v>
      </c>
      <c r="E330" s="3" t="s">
        <v>30</v>
      </c>
      <c r="F330" s="3" t="s">
        <v>434</v>
      </c>
      <c r="G330" s="3" t="s">
        <v>435</v>
      </c>
    </row>
    <row r="331" spans="1:7">
      <c r="A331" s="6">
        <v>42905</v>
      </c>
      <c r="B331" s="3" t="s">
        <v>13</v>
      </c>
      <c r="C331" s="3" t="s">
        <v>14</v>
      </c>
      <c r="D331" s="8" t="str">
        <f>HYPERLINK("http://npthd.inbcu.com/ViewContent.aspx?filename=NPMR_ABC_2017-06-19_E.MP4$2228$2258","ABC Sunday")</f>
        <v>ABC Sunday</v>
      </c>
      <c r="E331" s="3" t="s">
        <v>38</v>
      </c>
      <c r="F331" s="3" t="s">
        <v>435</v>
      </c>
      <c r="G331" s="3" t="s">
        <v>436</v>
      </c>
    </row>
    <row r="332" spans="1:7">
      <c r="A332" s="6">
        <v>42905</v>
      </c>
      <c r="B332" s="3" t="s">
        <v>13</v>
      </c>
      <c r="C332" s="3" t="s">
        <v>18</v>
      </c>
      <c r="D332" s="8" t="str">
        <f>HYPERLINK("http://npthd.inbcu.com/ViewContent.aspx?filename=NPMR_ABC_2017-06-19_E.MP4$2258$2612","THE BACHELORETTE: 1304")</f>
        <v>THE BACHELORETTE: 1304</v>
      </c>
      <c r="E332" s="3" t="s">
        <v>437</v>
      </c>
      <c r="F332" s="3" t="s">
        <v>436</v>
      </c>
      <c r="G332" s="3" t="s">
        <v>438</v>
      </c>
    </row>
    <row r="333" spans="1:7">
      <c r="A333" s="6">
        <v>42905</v>
      </c>
      <c r="B333" s="3" t="s">
        <v>13</v>
      </c>
      <c r="C333" s="3" t="s">
        <v>21</v>
      </c>
      <c r="D333" s="8" t="str">
        <f>HYPERLINK("http://npthd.inbcu.com/ViewContent.aspx?filename=NPMR_ABC_2017-06-19_E.MP4$2612$2732","COMMERCIAL")</f>
        <v>COMMERCIAL</v>
      </c>
      <c r="E333" s="3" t="s">
        <v>43</v>
      </c>
      <c r="F333" s="3" t="s">
        <v>438</v>
      </c>
      <c r="G333" s="3" t="s">
        <v>439</v>
      </c>
    </row>
    <row r="334" spans="1:7">
      <c r="A334" s="6">
        <v>42905</v>
      </c>
      <c r="B334" s="3" t="s">
        <v>13</v>
      </c>
      <c r="C334" s="3" t="s">
        <v>14</v>
      </c>
      <c r="D334" s="8" t="str">
        <f>HYPERLINK("http://npthd.inbcu.com/ViewContent.aspx?filename=NPMR_ABC_2017-06-19_E.MP4$2732$2762","Boy Band")</f>
        <v>Boy Band</v>
      </c>
      <c r="E334" s="3" t="s">
        <v>38</v>
      </c>
      <c r="F334" s="3" t="s">
        <v>439</v>
      </c>
      <c r="G334" s="3" t="s">
        <v>440</v>
      </c>
    </row>
    <row r="335" spans="1:7">
      <c r="A335" s="6">
        <v>42905</v>
      </c>
      <c r="B335" s="3" t="s">
        <v>13</v>
      </c>
      <c r="C335" s="3" t="s">
        <v>32</v>
      </c>
      <c r="D335" s="8" t="str">
        <f>HYPERLINK("http://npthd.inbcu.com/ViewContent.aspx?filename=NPMR_ABC_2017-06-19_E.MP4$2762$2853","LOCAL")</f>
        <v>LOCAL</v>
      </c>
      <c r="E335" s="3" t="s">
        <v>77</v>
      </c>
      <c r="F335" s="3" t="s">
        <v>440</v>
      </c>
      <c r="G335" s="3" t="s">
        <v>441</v>
      </c>
    </row>
    <row r="336" spans="1:7">
      <c r="A336" s="6">
        <v>42905</v>
      </c>
      <c r="B336" s="3" t="s">
        <v>13</v>
      </c>
      <c r="C336" s="3" t="s">
        <v>18</v>
      </c>
      <c r="D336" s="8" t="str">
        <f>HYPERLINK("http://npthd.inbcu.com/ViewContent.aspx?filename=NPMR_ABC_2017-06-19_E.MP4$2853$3201","THE BACHELORETTE: 1304")</f>
        <v>THE BACHELORETTE: 1304</v>
      </c>
      <c r="E336" s="3" t="s">
        <v>442</v>
      </c>
      <c r="F336" s="3" t="s">
        <v>441</v>
      </c>
      <c r="G336" s="3" t="s">
        <v>443</v>
      </c>
    </row>
    <row r="337" spans="1:7">
      <c r="A337" s="6">
        <v>42905</v>
      </c>
      <c r="B337" s="3" t="s">
        <v>13</v>
      </c>
      <c r="C337" s="3" t="s">
        <v>21</v>
      </c>
      <c r="D337" s="8" t="str">
        <f>HYPERLINK("http://npthd.inbcu.com/ViewContent.aspx?filename=NPMR_ABC_2017-06-19_E.MP4$3201$3411","COMMERCIAL")</f>
        <v>COMMERCIAL</v>
      </c>
      <c r="E337" s="3" t="s">
        <v>150</v>
      </c>
      <c r="F337" s="3" t="s">
        <v>443</v>
      </c>
      <c r="G337" s="3" t="s">
        <v>444</v>
      </c>
    </row>
    <row r="338" spans="1:7">
      <c r="A338" s="6">
        <v>42905</v>
      </c>
      <c r="B338" s="3" t="s">
        <v>13</v>
      </c>
      <c r="C338" s="3" t="s">
        <v>14</v>
      </c>
      <c r="D338" s="8" t="str">
        <f>HYPERLINK("http://npthd.inbcu.com/ViewContent.aspx?filename=NPMR_ABC_2017-06-19_E.MP4$3411$3441","Gong Show, The")</f>
        <v>Gong Show, The</v>
      </c>
      <c r="E338" s="3" t="s">
        <v>38</v>
      </c>
      <c r="F338" s="3" t="s">
        <v>444</v>
      </c>
      <c r="G338" s="3" t="s">
        <v>445</v>
      </c>
    </row>
    <row r="339" spans="1:7">
      <c r="A339" s="6">
        <v>42905</v>
      </c>
      <c r="B339" s="3" t="s">
        <v>13</v>
      </c>
      <c r="C339" s="3" t="s">
        <v>32</v>
      </c>
      <c r="D339" s="8" t="str">
        <f>HYPERLINK("http://npthd.inbcu.com/ViewContent.aspx?filename=NPMR_ABC_2017-06-19_E.MP4$3441$3447","LOCAL")</f>
        <v>LOCAL</v>
      </c>
      <c r="E339" s="3" t="s">
        <v>15</v>
      </c>
      <c r="F339" s="3" t="s">
        <v>445</v>
      </c>
      <c r="G339" s="3" t="s">
        <v>446</v>
      </c>
    </row>
    <row r="340" spans="1:7">
      <c r="A340" s="6">
        <v>42905</v>
      </c>
      <c r="B340" s="3" t="s">
        <v>13</v>
      </c>
      <c r="C340" s="3" t="s">
        <v>18</v>
      </c>
      <c r="D340" s="8" t="str">
        <f>HYPERLINK("http://npthd.inbcu.com/ViewContent.aspx?filename=NPMR_ABC_2017-06-19_E.MP4$3447$4180","THE BACHELORETTE: 1304")</f>
        <v>THE BACHELORETTE: 1304</v>
      </c>
      <c r="E340" s="3" t="s">
        <v>447</v>
      </c>
      <c r="F340" s="3" t="s">
        <v>446</v>
      </c>
      <c r="G340" s="3" t="s">
        <v>448</v>
      </c>
    </row>
    <row r="341" spans="1:7">
      <c r="A341" s="6">
        <v>42905</v>
      </c>
      <c r="B341" s="3" t="s">
        <v>13</v>
      </c>
      <c r="C341" s="3" t="s">
        <v>21</v>
      </c>
      <c r="D341" s="8" t="str">
        <f>HYPERLINK("http://npthd.inbcu.com/ViewContent.aspx?filename=NPMR_ABC_2017-06-19_E.MP4$4180$4375","COMMERCIAL")</f>
        <v>COMMERCIAL</v>
      </c>
      <c r="E341" s="3" t="s">
        <v>388</v>
      </c>
      <c r="F341" s="3" t="s">
        <v>448</v>
      </c>
      <c r="G341" s="3" t="s">
        <v>449</v>
      </c>
    </row>
    <row r="342" spans="1:7">
      <c r="A342" s="6">
        <v>42905</v>
      </c>
      <c r="B342" s="3" t="s">
        <v>13</v>
      </c>
      <c r="C342" s="3" t="s">
        <v>14</v>
      </c>
      <c r="D342" s="8" t="str">
        <f>HYPERLINK("http://npthd.inbcu.com/ViewContent.aspx?filename=NPMR_ABC_2017-06-19_E.MP4$4375$4405","Boy Band")</f>
        <v>Boy Band</v>
      </c>
      <c r="E342" s="3" t="s">
        <v>38</v>
      </c>
      <c r="F342" s="3" t="s">
        <v>449</v>
      </c>
      <c r="G342" s="3" t="s">
        <v>450</v>
      </c>
    </row>
    <row r="343" spans="1:7">
      <c r="A343" s="6">
        <v>42905</v>
      </c>
      <c r="B343" s="3" t="s">
        <v>13</v>
      </c>
      <c r="C343" s="3" t="s">
        <v>14</v>
      </c>
      <c r="D343" s="8" t="str">
        <f>HYPERLINK("http://npthd.inbcu.com/ViewContent.aspx?filename=NPMR_ABC_2017-06-19_E.MP4$4405$4435","Gong Show, The")</f>
        <v>Gong Show, The</v>
      </c>
      <c r="E343" s="3" t="s">
        <v>38</v>
      </c>
      <c r="F343" s="3" t="s">
        <v>450</v>
      </c>
      <c r="G343" s="3" t="s">
        <v>451</v>
      </c>
    </row>
    <row r="344" spans="1:7">
      <c r="A344" s="6">
        <v>42905</v>
      </c>
      <c r="B344" s="3" t="s">
        <v>13</v>
      </c>
      <c r="C344" s="3" t="s">
        <v>18</v>
      </c>
      <c r="D344" s="8" t="str">
        <f>HYPERLINK("http://npthd.inbcu.com/ViewContent.aspx?filename=NPMR_ABC_2017-06-19_E.MP4$4435$4783","THE BACHELORETTE: 1304")</f>
        <v>THE BACHELORETTE: 1304</v>
      </c>
      <c r="E344" s="3" t="s">
        <v>442</v>
      </c>
      <c r="F344" s="3" t="s">
        <v>451</v>
      </c>
      <c r="G344" s="3" t="s">
        <v>452</v>
      </c>
    </row>
    <row r="345" spans="1:7">
      <c r="A345" s="6">
        <v>42905</v>
      </c>
      <c r="B345" s="3" t="s">
        <v>13</v>
      </c>
      <c r="C345" s="3" t="s">
        <v>21</v>
      </c>
      <c r="D345" s="8" t="str">
        <f>HYPERLINK("http://npthd.inbcu.com/ViewContent.aspx?filename=NPMR_ABC_2017-06-19_E.MP4$4783$4903","COMMERCIAL")</f>
        <v>COMMERCIAL</v>
      </c>
      <c r="E345" s="3" t="s">
        <v>43</v>
      </c>
      <c r="F345" s="3" t="s">
        <v>452</v>
      </c>
      <c r="G345" s="3" t="s">
        <v>453</v>
      </c>
    </row>
    <row r="346" spans="1:7">
      <c r="A346" s="6">
        <v>42905</v>
      </c>
      <c r="B346" s="3" t="s">
        <v>13</v>
      </c>
      <c r="C346" s="3" t="s">
        <v>14</v>
      </c>
      <c r="D346" s="8" t="str">
        <f>HYPERLINK("http://npthd.inbcu.com/ViewContent.aspx?filename=NPMR_ABC_2017-06-19_E.MP4$4903$4918","Boy Band")</f>
        <v>Boy Band</v>
      </c>
      <c r="E346" s="3" t="s">
        <v>30</v>
      </c>
      <c r="F346" s="3" t="s">
        <v>453</v>
      </c>
      <c r="G346" s="3" t="s">
        <v>454</v>
      </c>
    </row>
    <row r="347" spans="1:7">
      <c r="A347" s="6">
        <v>42905</v>
      </c>
      <c r="B347" s="3" t="s">
        <v>13</v>
      </c>
      <c r="C347" s="3" t="s">
        <v>14</v>
      </c>
      <c r="D347" s="8" t="str">
        <f>HYPERLINK("http://npthd.inbcu.com/ViewContent.aspx?filename=NPMR_ABC_2017-06-19_E.MP4$4918$4933","What Would You Do?")</f>
        <v>What Would You Do?</v>
      </c>
      <c r="E347" s="3" t="s">
        <v>30</v>
      </c>
      <c r="F347" s="3" t="s">
        <v>454</v>
      </c>
      <c r="G347" s="3" t="s">
        <v>455</v>
      </c>
    </row>
    <row r="348" spans="1:7">
      <c r="A348" s="6">
        <v>42905</v>
      </c>
      <c r="B348" s="3" t="s">
        <v>13</v>
      </c>
      <c r="C348" s="3" t="s">
        <v>14</v>
      </c>
      <c r="D348" s="8" t="str">
        <f>HYPERLINK("http://npthd.inbcu.com/ViewContent.aspx?filename=NPMR_ABC_2017-06-19_E.MP4$4933$4963","ABC Sunday")</f>
        <v>ABC Sunday</v>
      </c>
      <c r="E348" s="3" t="s">
        <v>38</v>
      </c>
      <c r="F348" s="3" t="s">
        <v>455</v>
      </c>
      <c r="G348" s="3" t="s">
        <v>456</v>
      </c>
    </row>
    <row r="349" spans="1:7">
      <c r="A349" s="6">
        <v>42905</v>
      </c>
      <c r="B349" s="3" t="s">
        <v>13</v>
      </c>
      <c r="C349" s="3" t="s">
        <v>32</v>
      </c>
      <c r="D349" s="8" t="str">
        <f>HYPERLINK("http://npthd.inbcu.com/ViewContent.aspx?filename=NPMR_ABC_2017-06-19_E.MP4$4963$5025","LOCAL")</f>
        <v>LOCAL</v>
      </c>
      <c r="E349" s="3" t="s">
        <v>257</v>
      </c>
      <c r="F349" s="3" t="s">
        <v>456</v>
      </c>
      <c r="G349" s="3" t="s">
        <v>457</v>
      </c>
    </row>
    <row r="350" spans="1:7">
      <c r="A350" s="6">
        <v>42905</v>
      </c>
      <c r="B350" s="3" t="s">
        <v>13</v>
      </c>
      <c r="C350" s="3" t="s">
        <v>18</v>
      </c>
      <c r="D350" s="8" t="str">
        <f>HYPERLINK("http://npthd.inbcu.com/ViewContent.aspx?filename=NPMR_ABC_2017-06-19_E.MP4$5025$5550","THE BACHELORETTE: 1304")</f>
        <v>THE BACHELORETTE: 1304</v>
      </c>
      <c r="E350" s="3" t="s">
        <v>458</v>
      </c>
      <c r="F350" s="3" t="s">
        <v>457</v>
      </c>
      <c r="G350" s="3" t="s">
        <v>377</v>
      </c>
    </row>
    <row r="351" spans="1:7">
      <c r="A351" s="6">
        <v>42905</v>
      </c>
      <c r="B351" s="3" t="s">
        <v>13</v>
      </c>
      <c r="C351" s="3" t="s">
        <v>21</v>
      </c>
      <c r="D351" s="8" t="str">
        <f>HYPERLINK("http://npthd.inbcu.com/ViewContent.aspx?filename=NPMR_ABC_2017-06-19_E.MP4$5550$5685","COMMERCIAL")</f>
        <v>COMMERCIAL</v>
      </c>
      <c r="E351" s="3" t="s">
        <v>459</v>
      </c>
      <c r="F351" s="3" t="s">
        <v>377</v>
      </c>
      <c r="G351" s="3" t="s">
        <v>460</v>
      </c>
    </row>
    <row r="352" spans="1:7">
      <c r="A352" s="6">
        <v>42905</v>
      </c>
      <c r="B352" s="3" t="s">
        <v>13</v>
      </c>
      <c r="C352" s="3" t="s">
        <v>14</v>
      </c>
      <c r="D352" s="8" t="str">
        <f>HYPERLINK("http://npthd.inbcu.com/ViewContent.aspx?filename=NPMR_ABC_2017-06-19_E.MP4$5685$5700","Jimmy Kimmel Live!")</f>
        <v>Jimmy Kimmel Live!</v>
      </c>
      <c r="E352" s="3" t="s">
        <v>30</v>
      </c>
      <c r="F352" s="3" t="s">
        <v>460</v>
      </c>
      <c r="G352" s="3" t="s">
        <v>461</v>
      </c>
    </row>
    <row r="353" spans="1:7">
      <c r="A353" s="6">
        <v>42905</v>
      </c>
      <c r="B353" s="3" t="s">
        <v>13</v>
      </c>
      <c r="C353" s="3" t="s">
        <v>14</v>
      </c>
      <c r="D353" s="8" t="str">
        <f>HYPERLINK("http://npthd.inbcu.com/ViewContent.aspx?filename=NPMR_ABC_2017-06-19_E.MP4$5700$5715","Gong Show, The")</f>
        <v>Gong Show, The</v>
      </c>
      <c r="E353" s="3" t="s">
        <v>30</v>
      </c>
      <c r="F353" s="3" t="s">
        <v>461</v>
      </c>
      <c r="G353" s="3" t="s">
        <v>462</v>
      </c>
    </row>
    <row r="354" spans="1:7">
      <c r="A354" s="6">
        <v>42905</v>
      </c>
      <c r="B354" s="3" t="s">
        <v>13</v>
      </c>
      <c r="C354" s="3" t="s">
        <v>14</v>
      </c>
      <c r="D354" s="8" t="str">
        <f>HYPERLINK("http://npthd.inbcu.com/ViewContent.aspx?filename=NPMR_ABC_2017-06-19_E.MP4$5715$5730","Battle of the Network Stars")</f>
        <v>Battle of the Network Stars</v>
      </c>
      <c r="E354" s="3" t="s">
        <v>30</v>
      </c>
      <c r="F354" s="3" t="s">
        <v>462</v>
      </c>
      <c r="G354" s="3" t="s">
        <v>378</v>
      </c>
    </row>
    <row r="355" spans="1:7">
      <c r="A355" s="6">
        <v>42905</v>
      </c>
      <c r="B355" s="3" t="s">
        <v>13</v>
      </c>
      <c r="C355" s="3" t="s">
        <v>32</v>
      </c>
      <c r="D355" s="8" t="str">
        <f>HYPERLINK("http://npthd.inbcu.com/ViewContent.aspx?filename=NPMR_ABC_2017-06-19_E.MP4$5730$5820","LOCAL")</f>
        <v>LOCAL</v>
      </c>
      <c r="E355" s="3" t="s">
        <v>46</v>
      </c>
      <c r="F355" s="3" t="s">
        <v>378</v>
      </c>
      <c r="G355" s="3" t="s">
        <v>463</v>
      </c>
    </row>
    <row r="356" spans="1:7">
      <c r="A356" s="6">
        <v>42905</v>
      </c>
      <c r="B356" s="3" t="s">
        <v>13</v>
      </c>
      <c r="C356" s="3" t="s">
        <v>18</v>
      </c>
      <c r="D356" s="8" t="str">
        <f>HYPERLINK("http://npthd.inbcu.com/ViewContent.aspx?filename=NPMR_ABC_2017-06-19_E.MP4$5820$6603","THE BACHELORETTE: 1304")</f>
        <v>THE BACHELORETTE: 1304</v>
      </c>
      <c r="E356" s="3" t="s">
        <v>464</v>
      </c>
      <c r="F356" s="3" t="s">
        <v>463</v>
      </c>
      <c r="G356" s="3" t="s">
        <v>465</v>
      </c>
    </row>
    <row r="357" spans="1:7">
      <c r="A357" s="6">
        <v>42905</v>
      </c>
      <c r="B357" s="3" t="s">
        <v>13</v>
      </c>
      <c r="C357" s="3" t="s">
        <v>21</v>
      </c>
      <c r="D357" s="8" t="str">
        <f>HYPERLINK("http://npthd.inbcu.com/ViewContent.aspx?filename=NPMR_ABC_2017-06-19_E.MP4$6603$6813","COMMERCIAL")</f>
        <v>COMMERCIAL</v>
      </c>
      <c r="E357" s="3" t="s">
        <v>150</v>
      </c>
      <c r="F357" s="3" t="s">
        <v>465</v>
      </c>
      <c r="G357" s="3" t="s">
        <v>466</v>
      </c>
    </row>
    <row r="358" spans="1:7">
      <c r="A358" s="6">
        <v>42905</v>
      </c>
      <c r="B358" s="3" t="s">
        <v>13</v>
      </c>
      <c r="C358" s="3" t="s">
        <v>14</v>
      </c>
      <c r="D358" s="8" t="str">
        <f>HYPERLINK("http://npthd.inbcu.com/ViewContent.aspx?filename=NPMR_ABC_2017-06-19_E.MP4$6813$6828","Still Star Crossed")</f>
        <v>Still Star Crossed</v>
      </c>
      <c r="E358" s="3" t="s">
        <v>30</v>
      </c>
      <c r="F358" s="3" t="s">
        <v>466</v>
      </c>
      <c r="G358" s="3" t="s">
        <v>467</v>
      </c>
    </row>
    <row r="359" spans="1:7">
      <c r="A359" s="6">
        <v>42905</v>
      </c>
      <c r="B359" s="3" t="s">
        <v>13</v>
      </c>
      <c r="C359" s="3" t="s">
        <v>14</v>
      </c>
      <c r="D359" s="8" t="str">
        <f>HYPERLINK("http://npthd.inbcu.com/ViewContent.aspx?filename=NPMR_ABC_2017-06-19_E.MP4$6828$6858","Boy Band")</f>
        <v>Boy Band</v>
      </c>
      <c r="E359" s="3" t="s">
        <v>38</v>
      </c>
      <c r="F359" s="3" t="s">
        <v>467</v>
      </c>
      <c r="G359" s="3" t="s">
        <v>468</v>
      </c>
    </row>
    <row r="360" spans="1:7">
      <c r="A360" s="6">
        <v>42905</v>
      </c>
      <c r="B360" s="3" t="s">
        <v>13</v>
      </c>
      <c r="C360" s="3" t="s">
        <v>14</v>
      </c>
      <c r="D360" s="8" t="str">
        <f>HYPERLINK("http://npthd.inbcu.com/ViewContent.aspx?filename=NPMR_ABC_2017-06-19_E.MP4$6858$6889","Gong Show, The")</f>
        <v>Gong Show, The</v>
      </c>
      <c r="E360" s="3" t="s">
        <v>98</v>
      </c>
      <c r="F360" s="3" t="s">
        <v>468</v>
      </c>
      <c r="G360" s="3" t="s">
        <v>469</v>
      </c>
    </row>
    <row r="361" spans="1:7">
      <c r="A361" s="6">
        <v>42905</v>
      </c>
      <c r="B361" s="3" t="s">
        <v>13</v>
      </c>
      <c r="C361" s="3" t="s">
        <v>32</v>
      </c>
      <c r="D361" s="8" t="str">
        <f>HYPERLINK("http://npthd.inbcu.com/ViewContent.aspx?filename=NPMR_ABC_2017-06-19_E.MP4$6889$6894","LOCAL")</f>
        <v>LOCAL</v>
      </c>
      <c r="E361" s="3" t="s">
        <v>54</v>
      </c>
      <c r="F361" s="3" t="s">
        <v>469</v>
      </c>
      <c r="G361" s="3" t="s">
        <v>470</v>
      </c>
    </row>
    <row r="362" spans="1:7">
      <c r="A362" s="6">
        <v>42905</v>
      </c>
      <c r="B362" s="3" t="s">
        <v>13</v>
      </c>
      <c r="C362" s="3" t="s">
        <v>18</v>
      </c>
      <c r="D362" s="8" t="str">
        <f>HYPERLINK("http://npthd.inbcu.com/ViewContent.aspx?filename=NPMR_ABC_2017-06-19_E.MP4$6894$7330","THE BACHELORETTE: 1304")</f>
        <v>THE BACHELORETTE: 1304</v>
      </c>
      <c r="E362" s="3" t="s">
        <v>471</v>
      </c>
      <c r="F362" s="3" t="s">
        <v>470</v>
      </c>
      <c r="G362" s="3" t="s">
        <v>472</v>
      </c>
    </row>
    <row r="363" spans="1:7">
      <c r="A363" s="6">
        <v>42905</v>
      </c>
      <c r="B363" s="3" t="s">
        <v>13</v>
      </c>
      <c r="C363" s="3" t="s">
        <v>14</v>
      </c>
      <c r="D363" s="8" t="str">
        <f>HYPERLINK("http://npthd.inbcu.com/ViewContent.aspx?filename=NPMR_ABC_2017-06-19_E.MP4$7330$7377","Bachelorette")</f>
        <v>Bachelorette</v>
      </c>
      <c r="E363" s="3" t="s">
        <v>473</v>
      </c>
      <c r="F363" s="3" t="s">
        <v>472</v>
      </c>
      <c r="G363" s="3" t="s">
        <v>474</v>
      </c>
    </row>
    <row r="364" spans="1:7">
      <c r="A364" s="6">
        <v>42905</v>
      </c>
      <c r="B364" s="3" t="s">
        <v>13</v>
      </c>
      <c r="C364" s="3" t="s">
        <v>18</v>
      </c>
      <c r="D364" s="8" t="str">
        <f>HYPERLINK("http://npthd.inbcu.com/ViewContent.aspx?filename=NPMR_ABC_2017-06-19_E.MP4$7377$7437","THE BACHELORETTE: 1304")</f>
        <v>THE BACHELORETTE: 1304</v>
      </c>
      <c r="E364" s="3" t="s">
        <v>66</v>
      </c>
      <c r="F364" s="3" t="s">
        <v>474</v>
      </c>
      <c r="G364" s="3" t="s">
        <v>475</v>
      </c>
    </row>
    <row r="365" spans="1:7">
      <c r="A365" s="6">
        <v>42905</v>
      </c>
      <c r="B365" s="3" t="s">
        <v>13</v>
      </c>
      <c r="C365" s="3" t="s">
        <v>14</v>
      </c>
      <c r="D365" s="8" t="str">
        <f>HYPERLINK("http://npthd.inbcu.com/ViewContent.aspx?filename=NPMR_ABC_2017-06-19_E.MP4$7437$7442","Still Star Crossed")</f>
        <v>Still Star Crossed</v>
      </c>
      <c r="E365" s="3" t="s">
        <v>54</v>
      </c>
      <c r="F365" s="3" t="s">
        <v>475</v>
      </c>
      <c r="G365" s="3" t="s">
        <v>476</v>
      </c>
    </row>
    <row r="366" spans="1:7">
      <c r="A366" s="6">
        <v>42905</v>
      </c>
      <c r="B366" s="3" t="s">
        <v>13</v>
      </c>
      <c r="C366" s="3" t="s">
        <v>18</v>
      </c>
      <c r="D366" s="8" t="str">
        <f>HYPERLINK("http://npthd.inbcu.com/ViewContent.aspx?filename=NPMR_ABC_2017-06-19_E.MP4$7442$8002","STILL STAR CROSSED: all the worlds a stage")</f>
        <v>STILL STAR CROSSED: all the worlds a stage</v>
      </c>
      <c r="E366" s="3" t="s">
        <v>302</v>
      </c>
      <c r="F366" s="3" t="s">
        <v>476</v>
      </c>
      <c r="G366" s="3" t="s">
        <v>477</v>
      </c>
    </row>
    <row r="367" spans="1:7">
      <c r="A367" s="6">
        <v>42905</v>
      </c>
      <c r="B367" s="3" t="s">
        <v>13</v>
      </c>
      <c r="C367" s="3" t="s">
        <v>21</v>
      </c>
      <c r="D367" s="8" t="str">
        <f>HYPERLINK("http://npthd.inbcu.com/ViewContent.aspx?filename=NPMR_ABC_2017-06-19_E.MP4$8002$8183","COMMERCIAL")</f>
        <v>COMMERCIAL</v>
      </c>
      <c r="E367" s="3" t="s">
        <v>108</v>
      </c>
      <c r="F367" s="3" t="s">
        <v>477</v>
      </c>
      <c r="G367" s="3" t="s">
        <v>478</v>
      </c>
    </row>
    <row r="368" spans="1:7">
      <c r="A368" s="6">
        <v>42905</v>
      </c>
      <c r="B368" s="3" t="s">
        <v>13</v>
      </c>
      <c r="C368" s="3" t="s">
        <v>14</v>
      </c>
      <c r="D368" s="8" t="str">
        <f>HYPERLINK("http://npthd.inbcu.com/ViewContent.aspx?filename=NPMR_ABC_2017-06-19_E.MP4$8183$8198","Boy Band")</f>
        <v>Boy Band</v>
      </c>
      <c r="E368" s="3" t="s">
        <v>30</v>
      </c>
      <c r="F368" s="3" t="s">
        <v>478</v>
      </c>
      <c r="G368" s="3" t="s">
        <v>479</v>
      </c>
    </row>
    <row r="369" spans="1:7">
      <c r="A369" s="6">
        <v>42905</v>
      </c>
      <c r="B369" s="3" t="s">
        <v>13</v>
      </c>
      <c r="C369" s="3" t="s">
        <v>18</v>
      </c>
      <c r="D369" s="8" t="str">
        <f>HYPERLINK("http://npthd.inbcu.com/ViewContent.aspx?filename=NPMR_ABC_2017-06-19_E.MP4$8198$8507","STILL STAR CROSSED: all the worlds a stage")</f>
        <v>STILL STAR CROSSED: all the worlds a stage</v>
      </c>
      <c r="E369" s="3" t="s">
        <v>480</v>
      </c>
      <c r="F369" s="3" t="s">
        <v>479</v>
      </c>
      <c r="G369" s="3" t="s">
        <v>481</v>
      </c>
    </row>
    <row r="370" spans="1:7">
      <c r="A370" s="6">
        <v>42905</v>
      </c>
      <c r="B370" s="3" t="s">
        <v>13</v>
      </c>
      <c r="C370" s="3" t="s">
        <v>21</v>
      </c>
      <c r="D370" s="8" t="str">
        <f>HYPERLINK("http://npthd.inbcu.com/ViewContent.aspx?filename=NPMR_ABC_2017-06-19_E.MP4$8507$8688","COMMERCIAL")</f>
        <v>COMMERCIAL</v>
      </c>
      <c r="E370" s="3" t="s">
        <v>108</v>
      </c>
      <c r="F370" s="3" t="s">
        <v>481</v>
      </c>
      <c r="G370" s="3" t="s">
        <v>482</v>
      </c>
    </row>
    <row r="371" spans="1:7">
      <c r="A371" s="6">
        <v>42905</v>
      </c>
      <c r="B371" s="3" t="s">
        <v>13</v>
      </c>
      <c r="C371" s="3" t="s">
        <v>14</v>
      </c>
      <c r="D371" s="8" t="str">
        <f>HYPERLINK("http://npthd.inbcu.com/ViewContent.aspx?filename=NPMR_ABC_2017-06-19_E.MP4$8688$8703","Gong Show, The")</f>
        <v>Gong Show, The</v>
      </c>
      <c r="E371" s="3" t="s">
        <v>30</v>
      </c>
      <c r="F371" s="3" t="s">
        <v>482</v>
      </c>
      <c r="G371" s="3" t="s">
        <v>483</v>
      </c>
    </row>
    <row r="372" spans="1:7">
      <c r="A372" s="6">
        <v>42905</v>
      </c>
      <c r="B372" s="3" t="s">
        <v>13</v>
      </c>
      <c r="C372" s="3" t="s">
        <v>18</v>
      </c>
      <c r="D372" s="8" t="str">
        <f>HYPERLINK("http://npthd.inbcu.com/ViewContent.aspx?filename=NPMR_ABC_2017-06-19_E.MP4$8703$9183","STILL STAR CROSSED: all the worlds a stage")</f>
        <v>STILL STAR CROSSED: all the worlds a stage</v>
      </c>
      <c r="E372" s="3" t="s">
        <v>484</v>
      </c>
      <c r="F372" s="3" t="s">
        <v>483</v>
      </c>
      <c r="G372" s="3" t="s">
        <v>485</v>
      </c>
    </row>
    <row r="373" spans="1:7">
      <c r="A373" s="6">
        <v>42905</v>
      </c>
      <c r="B373" s="3" t="s">
        <v>13</v>
      </c>
      <c r="C373" s="3" t="s">
        <v>21</v>
      </c>
      <c r="D373" s="8" t="str">
        <f>HYPERLINK("http://npthd.inbcu.com/ViewContent.aspx?filename=NPMR_ABC_2017-06-19_E.MP4$9183$9273","COMMERCIAL")</f>
        <v>COMMERCIAL</v>
      </c>
      <c r="E373" s="3" t="s">
        <v>46</v>
      </c>
      <c r="F373" s="3" t="s">
        <v>485</v>
      </c>
      <c r="G373" s="3" t="s">
        <v>486</v>
      </c>
    </row>
    <row r="374" spans="1:7">
      <c r="A374" s="6">
        <v>42905</v>
      </c>
      <c r="B374" s="3" t="s">
        <v>13</v>
      </c>
      <c r="C374" s="3" t="s">
        <v>14</v>
      </c>
      <c r="D374" s="8" t="str">
        <f>HYPERLINK("http://npthd.inbcu.com/ViewContent.aspx?filename=NPMR_ABC_2017-06-19_E.MP4$9273$9278","Battle of the Network Stars")</f>
        <v>Battle of the Network Stars</v>
      </c>
      <c r="E374" s="3" t="s">
        <v>54</v>
      </c>
      <c r="F374" s="3" t="s">
        <v>486</v>
      </c>
      <c r="G374" s="3" t="s">
        <v>487</v>
      </c>
    </row>
    <row r="375" spans="1:7">
      <c r="A375" s="6">
        <v>42905</v>
      </c>
      <c r="B375" s="3" t="s">
        <v>13</v>
      </c>
      <c r="C375" s="3" t="s">
        <v>32</v>
      </c>
      <c r="D375" s="8" t="str">
        <f>HYPERLINK("http://npthd.inbcu.com/ViewContent.aspx?filename=NPMR_ABC_2017-06-19_E.MP4$9278$9415","LOCAL")</f>
        <v>LOCAL</v>
      </c>
      <c r="E375" s="3" t="s">
        <v>488</v>
      </c>
      <c r="F375" s="3" t="s">
        <v>487</v>
      </c>
      <c r="G375" s="3" t="s">
        <v>489</v>
      </c>
    </row>
    <row r="376" spans="1:7">
      <c r="A376" s="6">
        <v>42905</v>
      </c>
      <c r="B376" s="3" t="s">
        <v>13</v>
      </c>
      <c r="C376" s="3" t="s">
        <v>18</v>
      </c>
      <c r="D376" s="8" t="str">
        <f>HYPERLINK("http://npthd.inbcu.com/ViewContent.aspx?filename=NPMR_ABC_2017-06-19_E.MP4$9415$9701","STILL STAR CROSSED: all the worlds a stage")</f>
        <v>STILL STAR CROSSED: all the worlds a stage</v>
      </c>
      <c r="E376" s="3" t="s">
        <v>490</v>
      </c>
      <c r="F376" s="3" t="s">
        <v>489</v>
      </c>
      <c r="G376" s="3" t="s">
        <v>491</v>
      </c>
    </row>
    <row r="377" spans="1:7">
      <c r="A377" s="6">
        <v>42905</v>
      </c>
      <c r="B377" s="3" t="s">
        <v>13</v>
      </c>
      <c r="C377" s="3" t="s">
        <v>21</v>
      </c>
      <c r="D377" s="8" t="str">
        <f>HYPERLINK("http://npthd.inbcu.com/ViewContent.aspx?filename=NPMR_ABC_2017-06-19_E.MP4$9701$9792","COMMERCIAL")</f>
        <v>COMMERCIAL</v>
      </c>
      <c r="E377" s="3" t="s">
        <v>77</v>
      </c>
      <c r="F377" s="3" t="s">
        <v>491</v>
      </c>
      <c r="G377" s="3" t="s">
        <v>492</v>
      </c>
    </row>
    <row r="378" spans="1:7">
      <c r="A378" s="6">
        <v>42905</v>
      </c>
      <c r="B378" s="3" t="s">
        <v>13</v>
      </c>
      <c r="C378" s="3" t="s">
        <v>14</v>
      </c>
      <c r="D378" s="8" t="str">
        <f>HYPERLINK("http://npthd.inbcu.com/ViewContent.aspx?filename=NPMR_ABC_2017-06-19_E.MP4$9792$9807","Boy Band")</f>
        <v>Boy Band</v>
      </c>
      <c r="E378" s="3" t="s">
        <v>30</v>
      </c>
      <c r="F378" s="3" t="s">
        <v>492</v>
      </c>
      <c r="G378" s="3" t="s">
        <v>493</v>
      </c>
    </row>
    <row r="379" spans="1:7">
      <c r="A379" s="6">
        <v>42905</v>
      </c>
      <c r="B379" s="3" t="s">
        <v>13</v>
      </c>
      <c r="C379" s="3" t="s">
        <v>32</v>
      </c>
      <c r="D379" s="8" t="str">
        <f>HYPERLINK("http://npthd.inbcu.com/ViewContent.aspx?filename=NPMR_ABC_2017-06-19_E.MP4$9807$9867","LOCAL")</f>
        <v>LOCAL</v>
      </c>
      <c r="E379" s="3" t="s">
        <v>66</v>
      </c>
      <c r="F379" s="3" t="s">
        <v>493</v>
      </c>
      <c r="G379" s="3" t="s">
        <v>494</v>
      </c>
    </row>
    <row r="380" spans="1:7">
      <c r="A380" s="6">
        <v>42905</v>
      </c>
      <c r="B380" s="3" t="s">
        <v>13</v>
      </c>
      <c r="C380" s="3" t="s">
        <v>18</v>
      </c>
      <c r="D380" s="8" t="str">
        <f>HYPERLINK("http://npthd.inbcu.com/ViewContent.aspx?filename=NPMR_ABC_2017-06-19_E.MP4$9867$10205","STILL STAR CROSSED: all the worlds a stage")</f>
        <v>STILL STAR CROSSED: all the worlds a stage</v>
      </c>
      <c r="E380" s="3" t="s">
        <v>179</v>
      </c>
      <c r="F380" s="3" t="s">
        <v>494</v>
      </c>
      <c r="G380" s="3" t="s">
        <v>495</v>
      </c>
    </row>
    <row r="381" spans="1:7">
      <c r="A381" s="6">
        <v>42905</v>
      </c>
      <c r="B381" s="3" t="s">
        <v>13</v>
      </c>
      <c r="C381" s="3" t="s">
        <v>32</v>
      </c>
      <c r="D381" s="8" t="str">
        <f>HYPERLINK("http://npthd.inbcu.com/ViewContent.aspx?filename=NPMR_ABC_2017-06-19_E.MP4$10205$10221","LOCAL")</f>
        <v>LOCAL</v>
      </c>
      <c r="E381" s="3" t="s">
        <v>64</v>
      </c>
      <c r="F381" s="3" t="s">
        <v>495</v>
      </c>
      <c r="G381" s="3" t="s">
        <v>496</v>
      </c>
    </row>
    <row r="382" spans="1:7">
      <c r="A382" s="6">
        <v>42905</v>
      </c>
      <c r="B382" s="3" t="s">
        <v>13</v>
      </c>
      <c r="C382" s="3" t="s">
        <v>21</v>
      </c>
      <c r="D382" s="8" t="str">
        <f>HYPERLINK("http://npthd.inbcu.com/ViewContent.aspx?filename=NPMR_ABC_2017-06-19_E.MP4$10221$10341","COMMERCIAL")</f>
        <v>COMMERCIAL</v>
      </c>
      <c r="E382" s="3" t="s">
        <v>43</v>
      </c>
      <c r="F382" s="3" t="s">
        <v>496</v>
      </c>
      <c r="G382" s="3" t="s">
        <v>497</v>
      </c>
    </row>
    <row r="383" spans="1:7">
      <c r="A383" s="6">
        <v>42905</v>
      </c>
      <c r="B383" s="3" t="s">
        <v>13</v>
      </c>
      <c r="C383" s="3" t="s">
        <v>14</v>
      </c>
      <c r="D383" s="8" t="str">
        <f>HYPERLINK("http://npthd.inbcu.com/ViewContent.aspx?filename=NPMR_ABC_2017-06-19_E.MP4$10341$10356","Jimmy Kimmel Live!")</f>
        <v>Jimmy Kimmel Live!</v>
      </c>
      <c r="E383" s="3" t="s">
        <v>30</v>
      </c>
      <c r="F383" s="3" t="s">
        <v>497</v>
      </c>
      <c r="G383" s="3" t="s">
        <v>498</v>
      </c>
    </row>
    <row r="384" spans="1:7">
      <c r="A384" s="6">
        <v>42905</v>
      </c>
      <c r="B384" s="3" t="s">
        <v>13</v>
      </c>
      <c r="C384" s="3" t="s">
        <v>18</v>
      </c>
      <c r="D384" s="8" t="str">
        <f>HYPERLINK("http://npthd.inbcu.com/ViewContent.aspx?filename=NPMR_ABC_2017-06-19_E.MP4$10356$10872","STILL STAR CROSSED: all the worlds a stage")</f>
        <v>STILL STAR CROSSED: all the worlds a stage</v>
      </c>
      <c r="E384" s="3" t="s">
        <v>499</v>
      </c>
      <c r="F384" s="3" t="s">
        <v>498</v>
      </c>
      <c r="G384" s="3" t="s">
        <v>310</v>
      </c>
    </row>
    <row r="385" spans="1:7">
      <c r="A385" s="6">
        <v>42905</v>
      </c>
      <c r="B385" s="3" t="s">
        <v>13</v>
      </c>
      <c r="C385" s="3" t="s">
        <v>14</v>
      </c>
      <c r="D385" s="8" t="str">
        <f>HYPERLINK("http://npthd.inbcu.com/ViewContent.aspx?filename=NPMR_ABC_2017-06-19_E.MP4$10872$10902","Still Star Crossed")</f>
        <v>Still Star Crossed</v>
      </c>
      <c r="E385" s="3" t="s">
        <v>38</v>
      </c>
      <c r="F385" s="3" t="s">
        <v>310</v>
      </c>
      <c r="G385" s="3" t="s">
        <v>123</v>
      </c>
    </row>
    <row r="386" spans="1:7">
      <c r="A386" s="6">
        <v>42905</v>
      </c>
      <c r="B386" s="3" t="s">
        <v>13</v>
      </c>
      <c r="C386" s="3" t="s">
        <v>32</v>
      </c>
      <c r="D386" s="8" t="str">
        <f>HYPERLINK("http://npthd.inbcu.com/ViewContent.aspx?filename=NPMR_ABC_2017-06-19_E.MP4$10902$10917","LOCAL")</f>
        <v>LOCAL</v>
      </c>
      <c r="E386" s="3" t="s">
        <v>30</v>
      </c>
      <c r="F386" s="3" t="s">
        <v>123</v>
      </c>
      <c r="G386" s="3" t="s">
        <v>124</v>
      </c>
    </row>
    <row r="387" spans="1:7">
      <c r="A387" s="6">
        <v>42906</v>
      </c>
      <c r="B387" s="3" t="s">
        <v>13</v>
      </c>
      <c r="C387" s="3" t="s">
        <v>14</v>
      </c>
      <c r="D387" s="8" t="str">
        <f>HYPERLINK("http://npthd.inbcu.com/ViewContent.aspx?filename=NPMR_ABC_2017-06-20_E.MP4$200$206","ABC Open")</f>
        <v>ABC Open</v>
      </c>
      <c r="E387" s="3" t="s">
        <v>15</v>
      </c>
      <c r="F387" s="3" t="s">
        <v>16</v>
      </c>
      <c r="G387" s="3" t="s">
        <v>17</v>
      </c>
    </row>
    <row r="388" spans="1:7">
      <c r="A388" s="6">
        <v>42906</v>
      </c>
      <c r="B388" s="3" t="s">
        <v>13</v>
      </c>
      <c r="C388" s="3" t="s">
        <v>18</v>
      </c>
      <c r="D388" s="8" t="str">
        <f>HYPERLINK("http://npthd.inbcu.com/ViewContent.aspx?filename=NPMR_ABC_2017-06-20_E.MP4$206$578","DOWNWARD DOG: old")</f>
        <v>DOWNWARD DOG: old</v>
      </c>
      <c r="E388" s="3" t="s">
        <v>500</v>
      </c>
      <c r="F388" s="3" t="s">
        <v>17</v>
      </c>
      <c r="G388" s="3" t="s">
        <v>501</v>
      </c>
    </row>
    <row r="389" spans="1:7">
      <c r="A389" s="6">
        <v>42906</v>
      </c>
      <c r="B389" s="3" t="s">
        <v>13</v>
      </c>
      <c r="C389" s="3" t="s">
        <v>21</v>
      </c>
      <c r="D389" s="8" t="str">
        <f>HYPERLINK("http://npthd.inbcu.com/ViewContent.aspx?filename=NPMR_ABC_2017-06-20_E.MP4$578$698","COMMERCIAL")</f>
        <v>COMMERCIAL</v>
      </c>
      <c r="E389" s="3" t="s">
        <v>43</v>
      </c>
      <c r="F389" s="3" t="s">
        <v>501</v>
      </c>
      <c r="G389" s="3" t="s">
        <v>502</v>
      </c>
    </row>
    <row r="390" spans="1:7">
      <c r="A390" s="6">
        <v>42906</v>
      </c>
      <c r="B390" s="3" t="s">
        <v>13</v>
      </c>
      <c r="C390" s="3" t="s">
        <v>14</v>
      </c>
      <c r="D390" s="8" t="str">
        <f>HYPERLINK("http://npthd.inbcu.com/ViewContent.aspx?filename=NPMR_ABC_2017-06-20_E.MP4$698$729","Boy Band")</f>
        <v>Boy Band</v>
      </c>
      <c r="E390" s="3" t="s">
        <v>98</v>
      </c>
      <c r="F390" s="3" t="s">
        <v>502</v>
      </c>
      <c r="G390" s="3" t="s">
        <v>503</v>
      </c>
    </row>
    <row r="391" spans="1:7">
      <c r="A391" s="6">
        <v>42906</v>
      </c>
      <c r="B391" s="3" t="s">
        <v>13</v>
      </c>
      <c r="C391" s="3" t="s">
        <v>18</v>
      </c>
      <c r="D391" s="8" t="str">
        <f>HYPERLINK("http://npthd.inbcu.com/ViewContent.aspx?filename=NPMR_ABC_2017-06-20_E.MP4$729$1106","DOWNWARD DOG: old")</f>
        <v>DOWNWARD DOG: old</v>
      </c>
      <c r="E391" s="3" t="s">
        <v>309</v>
      </c>
      <c r="F391" s="3" t="s">
        <v>503</v>
      </c>
      <c r="G391" s="3" t="s">
        <v>504</v>
      </c>
    </row>
    <row r="392" spans="1:7">
      <c r="A392" s="6">
        <v>42906</v>
      </c>
      <c r="B392" s="3" t="s">
        <v>13</v>
      </c>
      <c r="C392" s="3" t="s">
        <v>21</v>
      </c>
      <c r="D392" s="8" t="str">
        <f>HYPERLINK("http://npthd.inbcu.com/ViewContent.aspx?filename=NPMR_ABC_2017-06-20_E.MP4$1106$1212","COMMERCIAL")</f>
        <v>COMMERCIAL</v>
      </c>
      <c r="E392" s="3" t="s">
        <v>293</v>
      </c>
      <c r="F392" s="3" t="s">
        <v>504</v>
      </c>
      <c r="G392" s="3" t="s">
        <v>505</v>
      </c>
    </row>
    <row r="393" spans="1:7">
      <c r="A393" s="6">
        <v>42906</v>
      </c>
      <c r="B393" s="3" t="s">
        <v>13</v>
      </c>
      <c r="C393" s="3" t="s">
        <v>14</v>
      </c>
      <c r="D393" s="8" t="str">
        <f>HYPERLINK("http://npthd.inbcu.com/ViewContent.aspx?filename=NPMR_ABC_2017-06-20_E.MP4$1212$1242","Gong Show, The")</f>
        <v>Gong Show, The</v>
      </c>
      <c r="E393" s="3" t="s">
        <v>38</v>
      </c>
      <c r="F393" s="3" t="s">
        <v>505</v>
      </c>
      <c r="G393" s="3" t="s">
        <v>506</v>
      </c>
    </row>
    <row r="394" spans="1:7">
      <c r="A394" s="6">
        <v>42906</v>
      </c>
      <c r="B394" s="3" t="s">
        <v>13</v>
      </c>
      <c r="C394" s="3" t="s">
        <v>32</v>
      </c>
      <c r="D394" s="8" t="str">
        <f>HYPERLINK("http://npthd.inbcu.com/ViewContent.aspx?filename=NPMR_ABC_2017-06-20_E.MP4$1242$1302","LOCAL")</f>
        <v>LOCAL</v>
      </c>
      <c r="E394" s="3" t="s">
        <v>66</v>
      </c>
      <c r="F394" s="3" t="s">
        <v>506</v>
      </c>
      <c r="G394" s="3" t="s">
        <v>507</v>
      </c>
    </row>
    <row r="395" spans="1:7">
      <c r="A395" s="6">
        <v>42906</v>
      </c>
      <c r="B395" s="3" t="s">
        <v>13</v>
      </c>
      <c r="C395" s="3" t="s">
        <v>18</v>
      </c>
      <c r="D395" s="8" t="str">
        <f>HYPERLINK("http://npthd.inbcu.com/ViewContent.aspx?filename=NPMR_ABC_2017-06-20_E.MP4$1302$1777","DOWNWARD DOG: old")</f>
        <v>DOWNWARD DOG: old</v>
      </c>
      <c r="E395" s="3" t="s">
        <v>250</v>
      </c>
      <c r="F395" s="3" t="s">
        <v>507</v>
      </c>
      <c r="G395" s="3" t="s">
        <v>508</v>
      </c>
    </row>
    <row r="396" spans="1:7">
      <c r="A396" s="6">
        <v>42906</v>
      </c>
      <c r="B396" s="3" t="s">
        <v>13</v>
      </c>
      <c r="C396" s="3" t="s">
        <v>21</v>
      </c>
      <c r="D396" s="8" t="str">
        <f>HYPERLINK("http://npthd.inbcu.com/ViewContent.aspx?filename=NPMR_ABC_2017-06-20_E.MP4$1777$1928","COMMERCIAL")</f>
        <v>COMMERCIAL</v>
      </c>
      <c r="E396" s="3" t="s">
        <v>91</v>
      </c>
      <c r="F396" s="3" t="s">
        <v>508</v>
      </c>
      <c r="G396" s="3" t="s">
        <v>509</v>
      </c>
    </row>
    <row r="397" spans="1:7">
      <c r="A397" s="6">
        <v>42906</v>
      </c>
      <c r="B397" s="3" t="s">
        <v>13</v>
      </c>
      <c r="C397" s="3" t="s">
        <v>14</v>
      </c>
      <c r="D397" s="8" t="str">
        <f>HYPERLINK("http://npthd.inbcu.com/ViewContent.aspx?filename=NPMR_ABC_2017-06-20_E.MP4$1928$1943","Jimmy Kimmel Live!")</f>
        <v>Jimmy Kimmel Live!</v>
      </c>
      <c r="E397" s="3" t="s">
        <v>30</v>
      </c>
      <c r="F397" s="3" t="s">
        <v>509</v>
      </c>
      <c r="G397" s="3" t="s">
        <v>510</v>
      </c>
    </row>
    <row r="398" spans="1:7">
      <c r="A398" s="6">
        <v>42906</v>
      </c>
      <c r="B398" s="3" t="s">
        <v>13</v>
      </c>
      <c r="C398" s="3" t="s">
        <v>14</v>
      </c>
      <c r="D398" s="8" t="str">
        <f>HYPERLINK("http://npthd.inbcu.com/ViewContent.aspx?filename=NPMR_ABC_2017-06-20_E.MP4$1943$1958","To Tell the Truth")</f>
        <v>To Tell the Truth</v>
      </c>
      <c r="E398" s="3" t="s">
        <v>30</v>
      </c>
      <c r="F398" s="3" t="s">
        <v>510</v>
      </c>
      <c r="G398" s="3" t="s">
        <v>511</v>
      </c>
    </row>
    <row r="399" spans="1:7">
      <c r="A399" s="6">
        <v>42906</v>
      </c>
      <c r="B399" s="3" t="s">
        <v>13</v>
      </c>
      <c r="C399" s="3" t="s">
        <v>18</v>
      </c>
      <c r="D399" s="8" t="str">
        <f>HYPERLINK("http://npthd.inbcu.com/ViewContent.aspx?filename=NPMR_ABC_2017-06-20_E.MP4$1958$2000","DOWNWARD DOG: old")</f>
        <v>DOWNWARD DOG: old</v>
      </c>
      <c r="E399" s="3" t="s">
        <v>512</v>
      </c>
      <c r="F399" s="3" t="s">
        <v>511</v>
      </c>
      <c r="G399" s="3" t="s">
        <v>513</v>
      </c>
    </row>
    <row r="400" spans="1:7">
      <c r="A400" s="6">
        <v>42906</v>
      </c>
      <c r="B400" s="3" t="s">
        <v>13</v>
      </c>
      <c r="C400" s="3" t="s">
        <v>14</v>
      </c>
      <c r="D400" s="8" t="str">
        <f>HYPERLINK("http://npthd.inbcu.com/ViewContent.aspx?filename=NPMR_ABC_2017-06-20_E.MP4$2000$2006","Middle, The")</f>
        <v>Middle, The</v>
      </c>
      <c r="E400" s="3" t="s">
        <v>15</v>
      </c>
      <c r="F400" s="3" t="s">
        <v>513</v>
      </c>
      <c r="G400" s="3" t="s">
        <v>514</v>
      </c>
    </row>
    <row r="401" spans="1:7">
      <c r="A401" s="6">
        <v>42906</v>
      </c>
      <c r="B401" s="3" t="s">
        <v>13</v>
      </c>
      <c r="C401" s="3" t="s">
        <v>18</v>
      </c>
      <c r="D401" s="8" t="str">
        <f>HYPERLINK("http://npthd.inbcu.com/ViewContent.aspx?filename=NPMR_ABC_2017-06-20_E.MP4$2006$2339","THE MIDDLE: ovary and out")</f>
        <v>THE MIDDLE: ovary and out</v>
      </c>
      <c r="E401" s="3" t="s">
        <v>515</v>
      </c>
      <c r="F401" s="3" t="s">
        <v>514</v>
      </c>
      <c r="G401" s="3" t="s">
        <v>516</v>
      </c>
    </row>
    <row r="402" spans="1:7">
      <c r="A402" s="6">
        <v>42906</v>
      </c>
      <c r="B402" s="3" t="s">
        <v>13</v>
      </c>
      <c r="C402" s="3" t="s">
        <v>21</v>
      </c>
      <c r="D402" s="8" t="str">
        <f>HYPERLINK("http://npthd.inbcu.com/ViewContent.aspx?filename=NPMR_ABC_2017-06-20_E.MP4$2339$2458","COMMERCIAL")</f>
        <v>COMMERCIAL</v>
      </c>
      <c r="E402" s="3" t="s">
        <v>119</v>
      </c>
      <c r="F402" s="3" t="s">
        <v>516</v>
      </c>
      <c r="G402" s="3" t="s">
        <v>517</v>
      </c>
    </row>
    <row r="403" spans="1:7">
      <c r="A403" s="6">
        <v>42906</v>
      </c>
      <c r="B403" s="3" t="s">
        <v>13</v>
      </c>
      <c r="C403" s="3" t="s">
        <v>14</v>
      </c>
      <c r="D403" s="8" t="str">
        <f>HYPERLINK("http://npthd.inbcu.com/ViewContent.aspx?filename=NPMR_ABC_2017-06-20_E.MP4$2458$2489","Boy Band")</f>
        <v>Boy Band</v>
      </c>
      <c r="E403" s="3" t="s">
        <v>98</v>
      </c>
      <c r="F403" s="3" t="s">
        <v>517</v>
      </c>
      <c r="G403" s="3" t="s">
        <v>518</v>
      </c>
    </row>
    <row r="404" spans="1:7">
      <c r="A404" s="6">
        <v>42906</v>
      </c>
      <c r="B404" s="3" t="s">
        <v>13</v>
      </c>
      <c r="C404" s="3" t="s">
        <v>18</v>
      </c>
      <c r="D404" s="8" t="str">
        <f>HYPERLINK("http://npthd.inbcu.com/ViewContent.aspx?filename=NPMR_ABC_2017-06-20_E.MP4$2489$2664","THE MIDDLE: ovary and out")</f>
        <v>THE MIDDLE: ovary and out</v>
      </c>
      <c r="E404" s="3" t="s">
        <v>519</v>
      </c>
      <c r="F404" s="3" t="s">
        <v>518</v>
      </c>
      <c r="G404" s="3" t="s">
        <v>520</v>
      </c>
    </row>
    <row r="405" spans="1:7">
      <c r="A405" s="6">
        <v>42906</v>
      </c>
      <c r="B405" s="3" t="s">
        <v>13</v>
      </c>
      <c r="C405" s="3" t="s">
        <v>14</v>
      </c>
      <c r="D405" s="8" t="str">
        <f>HYPERLINK("http://npthd.inbcu.com/ViewContent.aspx?filename=NPMR_ABC_2017-06-20_E.MP4$2664$2670","Jimmy Kimmel Live!")</f>
        <v>Jimmy Kimmel Live!</v>
      </c>
      <c r="E405" s="3" t="s">
        <v>15</v>
      </c>
      <c r="F405" s="3" t="s">
        <v>520</v>
      </c>
      <c r="G405" s="3" t="s">
        <v>521</v>
      </c>
    </row>
    <row r="406" spans="1:7">
      <c r="A406" s="6">
        <v>42906</v>
      </c>
      <c r="B406" s="3" t="s">
        <v>13</v>
      </c>
      <c r="C406" s="3" t="s">
        <v>21</v>
      </c>
      <c r="D406" s="8" t="str">
        <f>HYPERLINK("http://npthd.inbcu.com/ViewContent.aspx?filename=NPMR_ABC_2017-06-20_E.MP4$2670$2730","COMMERCIAL")</f>
        <v>COMMERCIAL</v>
      </c>
      <c r="E406" s="3" t="s">
        <v>66</v>
      </c>
      <c r="F406" s="3" t="s">
        <v>521</v>
      </c>
      <c r="G406" s="3" t="s">
        <v>522</v>
      </c>
    </row>
    <row r="407" spans="1:7">
      <c r="A407" s="6">
        <v>42906</v>
      </c>
      <c r="B407" s="3" t="s">
        <v>13</v>
      </c>
      <c r="C407" s="3" t="s">
        <v>14</v>
      </c>
      <c r="D407" s="8" t="str">
        <f>HYPERLINK("http://npthd.inbcu.com/ViewContent.aspx?filename=NPMR_ABC_2017-06-20_E.MP4$2730$2735","Boy Band")</f>
        <v>Boy Band</v>
      </c>
      <c r="E407" s="3" t="s">
        <v>54</v>
      </c>
      <c r="F407" s="3" t="s">
        <v>522</v>
      </c>
      <c r="G407" s="3" t="s">
        <v>523</v>
      </c>
    </row>
    <row r="408" spans="1:7">
      <c r="A408" s="6">
        <v>42906</v>
      </c>
      <c r="B408" s="3" t="s">
        <v>13</v>
      </c>
      <c r="C408" s="3" t="s">
        <v>14</v>
      </c>
      <c r="D408" s="8" t="str">
        <f>HYPERLINK("http://npthd.inbcu.com/ViewContent.aspx?filename=NPMR_ABC_2017-06-20_E.MP4$2735$2750","Gong Show, The")</f>
        <v>Gong Show, The</v>
      </c>
      <c r="E408" s="3" t="s">
        <v>30</v>
      </c>
      <c r="F408" s="3" t="s">
        <v>523</v>
      </c>
      <c r="G408" s="3" t="s">
        <v>524</v>
      </c>
    </row>
    <row r="409" spans="1:7">
      <c r="A409" s="6">
        <v>42906</v>
      </c>
      <c r="B409" s="3" t="s">
        <v>13</v>
      </c>
      <c r="C409" s="3" t="s">
        <v>32</v>
      </c>
      <c r="D409" s="8" t="str">
        <f>HYPERLINK("http://npthd.inbcu.com/ViewContent.aspx?filename=NPMR_ABC_2017-06-20_E.MP4$2750$2841","LOCAL")</f>
        <v>LOCAL</v>
      </c>
      <c r="E409" s="3" t="s">
        <v>77</v>
      </c>
      <c r="F409" s="3" t="s">
        <v>524</v>
      </c>
      <c r="G409" s="3" t="s">
        <v>525</v>
      </c>
    </row>
    <row r="410" spans="1:7">
      <c r="A410" s="6">
        <v>42906</v>
      </c>
      <c r="B410" s="3" t="s">
        <v>13</v>
      </c>
      <c r="C410" s="3" t="s">
        <v>18</v>
      </c>
      <c r="D410" s="8" t="str">
        <f>HYPERLINK("http://npthd.inbcu.com/ViewContent.aspx?filename=NPMR_ABC_2017-06-20_E.MP4$2841$3525","THE MIDDLE: ovary and out")</f>
        <v>THE MIDDLE: ovary and out</v>
      </c>
      <c r="E410" s="3" t="s">
        <v>526</v>
      </c>
      <c r="F410" s="3" t="s">
        <v>525</v>
      </c>
      <c r="G410" s="3" t="s">
        <v>527</v>
      </c>
    </row>
    <row r="411" spans="1:7">
      <c r="A411" s="6">
        <v>42906</v>
      </c>
      <c r="B411" s="3" t="s">
        <v>13</v>
      </c>
      <c r="C411" s="3" t="s">
        <v>21</v>
      </c>
      <c r="D411" s="8" t="str">
        <f>HYPERLINK("http://npthd.inbcu.com/ViewContent.aspx?filename=NPMR_ABC_2017-06-20_E.MP4$3525$3705","COMMERCIAL")</f>
        <v>COMMERCIAL</v>
      </c>
      <c r="E411" s="3" t="s">
        <v>22</v>
      </c>
      <c r="F411" s="3" t="s">
        <v>527</v>
      </c>
      <c r="G411" s="3" t="s">
        <v>528</v>
      </c>
    </row>
    <row r="412" spans="1:7">
      <c r="A412" s="6">
        <v>42906</v>
      </c>
      <c r="B412" s="3" t="s">
        <v>13</v>
      </c>
      <c r="C412" s="3" t="s">
        <v>14</v>
      </c>
      <c r="D412" s="8" t="str">
        <f>HYPERLINK("http://npthd.inbcu.com/ViewContent.aspx?filename=NPMR_ABC_2017-06-20_E.MP4$3705$3720","To Tell the Truth")</f>
        <v>To Tell the Truth</v>
      </c>
      <c r="E412" s="3" t="s">
        <v>30</v>
      </c>
      <c r="F412" s="3" t="s">
        <v>528</v>
      </c>
      <c r="G412" s="3" t="s">
        <v>529</v>
      </c>
    </row>
    <row r="413" spans="1:7">
      <c r="A413" s="6">
        <v>42906</v>
      </c>
      <c r="B413" s="3" t="s">
        <v>13</v>
      </c>
      <c r="C413" s="3" t="s">
        <v>32</v>
      </c>
      <c r="D413" s="8" t="str">
        <f>HYPERLINK("http://npthd.inbcu.com/ViewContent.aspx?filename=NPMR_ABC_2017-06-20_E.MP4$3720$3725","LOCAL")</f>
        <v>LOCAL</v>
      </c>
      <c r="E413" s="3" t="s">
        <v>54</v>
      </c>
      <c r="F413" s="3" t="s">
        <v>529</v>
      </c>
      <c r="G413" s="3" t="s">
        <v>530</v>
      </c>
    </row>
    <row r="414" spans="1:7">
      <c r="A414" s="6">
        <v>42906</v>
      </c>
      <c r="B414" s="3" t="s">
        <v>13</v>
      </c>
      <c r="C414" s="3" t="s">
        <v>18</v>
      </c>
      <c r="D414" s="8" t="str">
        <f>HYPERLINK("http://npthd.inbcu.com/ViewContent.aspx?filename=NPMR_ABC_2017-06-20_E.MP4$3725$3800","THE MIDDLE: ovary and out")</f>
        <v>THE MIDDLE: ovary and out</v>
      </c>
      <c r="E414" s="3" t="s">
        <v>531</v>
      </c>
      <c r="F414" s="3" t="s">
        <v>530</v>
      </c>
      <c r="G414" s="3" t="s">
        <v>242</v>
      </c>
    </row>
    <row r="415" spans="1:7">
      <c r="A415" s="6">
        <v>42906</v>
      </c>
      <c r="B415" s="3" t="s">
        <v>13</v>
      </c>
      <c r="C415" s="3" t="s">
        <v>14</v>
      </c>
      <c r="D415" s="8" t="str">
        <f>HYPERLINK("http://npthd.inbcu.com/ViewContent.aspx?filename=NPMR_ABC_2017-06-20_E.MP4$3800$3805","Black-ish")</f>
        <v>Black-ish</v>
      </c>
      <c r="E415" s="3" t="s">
        <v>54</v>
      </c>
      <c r="F415" s="3" t="s">
        <v>242</v>
      </c>
      <c r="G415" s="3" t="s">
        <v>243</v>
      </c>
    </row>
    <row r="416" spans="1:7">
      <c r="A416" s="6">
        <v>42906</v>
      </c>
      <c r="B416" s="3" t="s">
        <v>13</v>
      </c>
      <c r="C416" s="3" t="s">
        <v>18</v>
      </c>
      <c r="D416" s="8" t="str">
        <f>HYPERLINK("http://npthd.inbcu.com/ViewContent.aspx?filename=NPMR_ABC_2017-06-20_E.MP4$3805$4333","BLACK-ISH: jack of all trades")</f>
        <v>BLACK-ISH: jack of all trades</v>
      </c>
      <c r="E416" s="3" t="s">
        <v>532</v>
      </c>
      <c r="F416" s="3" t="s">
        <v>243</v>
      </c>
      <c r="G416" s="3" t="s">
        <v>533</v>
      </c>
    </row>
    <row r="417" spans="1:7">
      <c r="A417" s="6">
        <v>42906</v>
      </c>
      <c r="B417" s="3" t="s">
        <v>13</v>
      </c>
      <c r="C417" s="3" t="s">
        <v>21</v>
      </c>
      <c r="D417" s="8" t="str">
        <f>HYPERLINK("http://npthd.inbcu.com/ViewContent.aspx?filename=NPMR_ABC_2017-06-20_E.MP4$4333$4454","COMMERCIAL")</f>
        <v>COMMERCIAL</v>
      </c>
      <c r="E417" s="3" t="s">
        <v>175</v>
      </c>
      <c r="F417" s="3" t="s">
        <v>533</v>
      </c>
      <c r="G417" s="3" t="s">
        <v>534</v>
      </c>
    </row>
    <row r="418" spans="1:7">
      <c r="A418" s="6">
        <v>42906</v>
      </c>
      <c r="B418" s="3" t="s">
        <v>13</v>
      </c>
      <c r="C418" s="3" t="s">
        <v>14</v>
      </c>
      <c r="D418" s="8" t="str">
        <f>HYPERLINK("http://npthd.inbcu.com/ViewContent.aspx?filename=NPMR_ABC_2017-06-20_E.MP4$4454$4469","Good Morning America")</f>
        <v>Good Morning America</v>
      </c>
      <c r="E418" s="3" t="s">
        <v>30</v>
      </c>
      <c r="F418" s="3" t="s">
        <v>534</v>
      </c>
      <c r="G418" s="3" t="s">
        <v>535</v>
      </c>
    </row>
    <row r="419" spans="1:7">
      <c r="A419" s="6">
        <v>42906</v>
      </c>
      <c r="B419" s="3" t="s">
        <v>13</v>
      </c>
      <c r="C419" s="3" t="s">
        <v>14</v>
      </c>
      <c r="D419" s="8" t="str">
        <f>HYPERLINK("http://npthd.inbcu.com/ViewContent.aspx?filename=NPMR_ABC_2017-06-20_E.MP4$4469$4499","Boy Band")</f>
        <v>Boy Band</v>
      </c>
      <c r="E419" s="3" t="s">
        <v>38</v>
      </c>
      <c r="F419" s="3" t="s">
        <v>535</v>
      </c>
      <c r="G419" s="3" t="s">
        <v>536</v>
      </c>
    </row>
    <row r="420" spans="1:7">
      <c r="A420" s="6">
        <v>42906</v>
      </c>
      <c r="B420" s="3" t="s">
        <v>13</v>
      </c>
      <c r="C420" s="3" t="s">
        <v>14</v>
      </c>
      <c r="D420" s="8" t="str">
        <f>HYPERLINK("http://npthd.inbcu.com/ViewContent.aspx?filename=NPMR_ABC_2017-06-20_E.MP4$4499$4514","Gong Show, The")</f>
        <v>Gong Show, The</v>
      </c>
      <c r="E420" s="3" t="s">
        <v>30</v>
      </c>
      <c r="F420" s="3" t="s">
        <v>536</v>
      </c>
      <c r="G420" s="3" t="s">
        <v>537</v>
      </c>
    </row>
    <row r="421" spans="1:7">
      <c r="A421" s="6">
        <v>42906</v>
      </c>
      <c r="B421" s="3" t="s">
        <v>13</v>
      </c>
      <c r="C421" s="3" t="s">
        <v>18</v>
      </c>
      <c r="D421" s="8" t="str">
        <f>HYPERLINK("http://npthd.inbcu.com/ViewContent.aspx?filename=NPMR_ABC_2017-06-20_E.MP4$4514$4884","BLACK-ISH: jack of all trades")</f>
        <v>BLACK-ISH: jack of all trades</v>
      </c>
      <c r="E421" s="3" t="s">
        <v>538</v>
      </c>
      <c r="F421" s="3" t="s">
        <v>537</v>
      </c>
      <c r="G421" s="3" t="s">
        <v>539</v>
      </c>
    </row>
    <row r="422" spans="1:7">
      <c r="A422" s="6">
        <v>42906</v>
      </c>
      <c r="B422" s="3" t="s">
        <v>13</v>
      </c>
      <c r="C422" s="3" t="s">
        <v>21</v>
      </c>
      <c r="D422" s="8" t="str">
        <f>HYPERLINK("http://npthd.inbcu.com/ViewContent.aspx?filename=NPMR_ABC_2017-06-20_E.MP4$4884$4975","COMMERCIAL")</f>
        <v>COMMERCIAL</v>
      </c>
      <c r="E422" s="3" t="s">
        <v>77</v>
      </c>
      <c r="F422" s="3" t="s">
        <v>539</v>
      </c>
      <c r="G422" s="3" t="s">
        <v>540</v>
      </c>
    </row>
    <row r="423" spans="1:7">
      <c r="A423" s="6">
        <v>42906</v>
      </c>
      <c r="B423" s="3" t="s">
        <v>13</v>
      </c>
      <c r="C423" s="3" t="s">
        <v>14</v>
      </c>
      <c r="D423" s="8" t="str">
        <f>HYPERLINK("http://npthd.inbcu.com/ViewContent.aspx?filename=NPMR_ABC_2017-06-20_E.MP4$4975$4990","What Would You Do?")</f>
        <v>What Would You Do?</v>
      </c>
      <c r="E423" s="3" t="s">
        <v>30</v>
      </c>
      <c r="F423" s="3" t="s">
        <v>540</v>
      </c>
      <c r="G423" s="3" t="s">
        <v>541</v>
      </c>
    </row>
    <row r="424" spans="1:7">
      <c r="A424" s="6">
        <v>42906</v>
      </c>
      <c r="B424" s="3" t="s">
        <v>13</v>
      </c>
      <c r="C424" s="3" t="s">
        <v>14</v>
      </c>
      <c r="D424" s="8" t="str">
        <f>HYPERLINK("http://npthd.inbcu.com/ViewContent.aspx?filename=NPMR_ABC_2017-06-20_E.MP4$4990$5020","ABC Summer Fun &amp; Games")</f>
        <v>ABC Summer Fun &amp; Games</v>
      </c>
      <c r="E424" s="3" t="s">
        <v>38</v>
      </c>
      <c r="F424" s="3" t="s">
        <v>541</v>
      </c>
      <c r="G424" s="3" t="s">
        <v>542</v>
      </c>
    </row>
    <row r="425" spans="1:7">
      <c r="A425" s="6">
        <v>42906</v>
      </c>
      <c r="B425" s="3" t="s">
        <v>13</v>
      </c>
      <c r="C425" s="3" t="s">
        <v>32</v>
      </c>
      <c r="D425" s="8" t="str">
        <f>HYPERLINK("http://npthd.inbcu.com/ViewContent.aspx?filename=NPMR_ABC_2017-06-20_E.MP4$5020$5080","LOCAL")</f>
        <v>LOCAL</v>
      </c>
      <c r="E425" s="3" t="s">
        <v>66</v>
      </c>
      <c r="F425" s="3" t="s">
        <v>542</v>
      </c>
      <c r="G425" s="3" t="s">
        <v>543</v>
      </c>
    </row>
    <row r="426" spans="1:7">
      <c r="A426" s="6">
        <v>42906</v>
      </c>
      <c r="B426" s="3" t="s">
        <v>13</v>
      </c>
      <c r="C426" s="3" t="s">
        <v>18</v>
      </c>
      <c r="D426" s="8" t="str">
        <f>HYPERLINK("http://npthd.inbcu.com/ViewContent.aspx?filename=NPMR_ABC_2017-06-20_E.MP4$5080$5403","BLACK-ISH: jack of all trades")</f>
        <v>BLACK-ISH: jack of all trades</v>
      </c>
      <c r="E426" s="3" t="s">
        <v>544</v>
      </c>
      <c r="F426" s="3" t="s">
        <v>543</v>
      </c>
      <c r="G426" s="3" t="s">
        <v>545</v>
      </c>
    </row>
    <row r="427" spans="1:7">
      <c r="A427" s="6">
        <v>42906</v>
      </c>
      <c r="B427" s="3" t="s">
        <v>13</v>
      </c>
      <c r="C427" s="3" t="s">
        <v>21</v>
      </c>
      <c r="D427" s="8" t="str">
        <f>HYPERLINK("http://npthd.inbcu.com/ViewContent.aspx?filename=NPMR_ABC_2017-06-20_E.MP4$5403$5524","COMMERCIAL")</f>
        <v>COMMERCIAL</v>
      </c>
      <c r="E427" s="3" t="s">
        <v>175</v>
      </c>
      <c r="F427" s="3" t="s">
        <v>545</v>
      </c>
      <c r="G427" s="3" t="s">
        <v>546</v>
      </c>
    </row>
    <row r="428" spans="1:7">
      <c r="A428" s="6">
        <v>42906</v>
      </c>
      <c r="B428" s="3" t="s">
        <v>13</v>
      </c>
      <c r="C428" s="3" t="s">
        <v>14</v>
      </c>
      <c r="D428" s="8" t="str">
        <f>HYPERLINK("http://npthd.inbcu.com/ViewContent.aspx?filename=NPMR_ABC_2017-06-20_E.MP4$5524$5539","To Tell the Truth")</f>
        <v>To Tell the Truth</v>
      </c>
      <c r="E428" s="3" t="s">
        <v>30</v>
      </c>
      <c r="F428" s="3" t="s">
        <v>546</v>
      </c>
      <c r="G428" s="3" t="s">
        <v>547</v>
      </c>
    </row>
    <row r="429" spans="1:7">
      <c r="A429" s="6">
        <v>42906</v>
      </c>
      <c r="B429" s="3" t="s">
        <v>13</v>
      </c>
      <c r="C429" s="3" t="s">
        <v>14</v>
      </c>
      <c r="D429" s="8" t="str">
        <f>HYPERLINK("http://npthd.inbcu.com/ViewContent.aspx?filename=NPMR_ABC_2017-06-20_E.MP4$5539$5554","Battle of the Network Stars")</f>
        <v>Battle of the Network Stars</v>
      </c>
      <c r="E429" s="3" t="s">
        <v>30</v>
      </c>
      <c r="F429" s="3" t="s">
        <v>547</v>
      </c>
      <c r="G429" s="3" t="s">
        <v>548</v>
      </c>
    </row>
    <row r="430" spans="1:7">
      <c r="A430" s="6">
        <v>42906</v>
      </c>
      <c r="B430" s="3" t="s">
        <v>13</v>
      </c>
      <c r="C430" s="3" t="s">
        <v>18</v>
      </c>
      <c r="D430" s="8" t="str">
        <f>HYPERLINK("http://npthd.inbcu.com/ViewContent.aspx?filename=NPMR_ABC_2017-06-20_E.MP4$5554$5600","BLACK-ISH: jack of all trades")</f>
        <v>BLACK-ISH: jack of all trades</v>
      </c>
      <c r="E430" s="3" t="s">
        <v>549</v>
      </c>
      <c r="F430" s="3" t="s">
        <v>548</v>
      </c>
      <c r="G430" s="3" t="s">
        <v>550</v>
      </c>
    </row>
    <row r="431" spans="1:7">
      <c r="A431" s="6">
        <v>42906</v>
      </c>
      <c r="B431" s="3" t="s">
        <v>13</v>
      </c>
      <c r="C431" s="3" t="s">
        <v>14</v>
      </c>
      <c r="D431" s="8" t="str">
        <f>HYPERLINK("http://npthd.inbcu.com/ViewContent.aspx?filename=NPMR_ABC_2017-06-20_E.MP4$5600$5605","Black-ish")</f>
        <v>Black-ish</v>
      </c>
      <c r="E431" s="3" t="s">
        <v>54</v>
      </c>
      <c r="F431" s="3" t="s">
        <v>550</v>
      </c>
      <c r="G431" s="3" t="s">
        <v>551</v>
      </c>
    </row>
    <row r="432" spans="1:7">
      <c r="A432" s="6">
        <v>42906</v>
      </c>
      <c r="B432" s="3" t="s">
        <v>13</v>
      </c>
      <c r="C432" s="3" t="s">
        <v>18</v>
      </c>
      <c r="D432" s="8" t="str">
        <f>HYPERLINK("http://npthd.inbcu.com/ViewContent.aspx?filename=NPMR_ABC_2017-06-20_E.MP4$5605$6177","BLACK-ISH: one angry man")</f>
        <v>BLACK-ISH: one angry man</v>
      </c>
      <c r="E432" s="3" t="s">
        <v>552</v>
      </c>
      <c r="F432" s="3" t="s">
        <v>551</v>
      </c>
      <c r="G432" s="3" t="s">
        <v>553</v>
      </c>
    </row>
    <row r="433" spans="1:7">
      <c r="A433" s="6">
        <v>42906</v>
      </c>
      <c r="B433" s="3" t="s">
        <v>13</v>
      </c>
      <c r="C433" s="3" t="s">
        <v>21</v>
      </c>
      <c r="D433" s="8" t="str">
        <f>HYPERLINK("http://npthd.inbcu.com/ViewContent.aspx?filename=NPMR_ABC_2017-06-20_E.MP4$6177$6268","COMMERCIAL")</f>
        <v>COMMERCIAL</v>
      </c>
      <c r="E433" s="3" t="s">
        <v>77</v>
      </c>
      <c r="F433" s="3" t="s">
        <v>553</v>
      </c>
      <c r="G433" s="3" t="s">
        <v>554</v>
      </c>
    </row>
    <row r="434" spans="1:7">
      <c r="A434" s="6">
        <v>42906</v>
      </c>
      <c r="B434" s="3" t="s">
        <v>13</v>
      </c>
      <c r="C434" s="3" t="s">
        <v>14</v>
      </c>
      <c r="D434" s="8" t="str">
        <f>HYPERLINK("http://npthd.inbcu.com/ViewContent.aspx?filename=NPMR_ABC_2017-06-20_E.MP4$6268$6298","Boy Band")</f>
        <v>Boy Band</v>
      </c>
      <c r="E434" s="3" t="s">
        <v>38</v>
      </c>
      <c r="F434" s="3" t="s">
        <v>554</v>
      </c>
      <c r="G434" s="3" t="s">
        <v>555</v>
      </c>
    </row>
    <row r="435" spans="1:7">
      <c r="A435" s="6">
        <v>42906</v>
      </c>
      <c r="B435" s="3" t="s">
        <v>13</v>
      </c>
      <c r="C435" s="3" t="s">
        <v>14</v>
      </c>
      <c r="D435" s="8" t="str">
        <f>HYPERLINK("http://npthd.inbcu.com/ViewContent.aspx?filename=NPMR_ABC_2017-06-20_E.MP4$6298$6328","Gong Show, The")</f>
        <v>Gong Show, The</v>
      </c>
      <c r="E435" s="3" t="s">
        <v>38</v>
      </c>
      <c r="F435" s="3" t="s">
        <v>555</v>
      </c>
      <c r="G435" s="3" t="s">
        <v>556</v>
      </c>
    </row>
    <row r="436" spans="1:7">
      <c r="A436" s="6">
        <v>42906</v>
      </c>
      <c r="B436" s="3" t="s">
        <v>13</v>
      </c>
      <c r="C436" s="3" t="s">
        <v>18</v>
      </c>
      <c r="D436" s="8" t="str">
        <f>HYPERLINK("http://npthd.inbcu.com/ViewContent.aspx?filename=NPMR_ABC_2017-06-20_E.MP4$6328$6845","BLACK-ISH: one angry man")</f>
        <v>BLACK-ISH: one angry man</v>
      </c>
      <c r="E436" s="3" t="s">
        <v>557</v>
      </c>
      <c r="F436" s="3" t="s">
        <v>556</v>
      </c>
      <c r="G436" s="3" t="s">
        <v>178</v>
      </c>
    </row>
    <row r="437" spans="1:7">
      <c r="A437" s="6">
        <v>42906</v>
      </c>
      <c r="B437" s="3" t="s">
        <v>13</v>
      </c>
      <c r="C437" s="3" t="s">
        <v>21</v>
      </c>
      <c r="D437" s="8" t="str">
        <f>HYPERLINK("http://npthd.inbcu.com/ViewContent.aspx?filename=NPMR_ABC_2017-06-20_E.MP4$6845$6955","COMMERCIAL")</f>
        <v>COMMERCIAL</v>
      </c>
      <c r="E437" s="3" t="s">
        <v>558</v>
      </c>
      <c r="F437" s="3" t="s">
        <v>178</v>
      </c>
      <c r="G437" s="3" t="s">
        <v>559</v>
      </c>
    </row>
    <row r="438" spans="1:7">
      <c r="A438" s="6">
        <v>42906</v>
      </c>
      <c r="B438" s="3" t="s">
        <v>13</v>
      </c>
      <c r="C438" s="3" t="s">
        <v>14</v>
      </c>
      <c r="D438" s="8" t="str">
        <f>HYPERLINK("http://npthd.inbcu.com/ViewContent.aspx?filename=NPMR_ABC_2017-06-20_E.MP4$6955$6971","To Tell the Truth")</f>
        <v>To Tell the Truth</v>
      </c>
      <c r="E438" s="3" t="s">
        <v>64</v>
      </c>
      <c r="F438" s="3" t="s">
        <v>559</v>
      </c>
      <c r="G438" s="3" t="s">
        <v>560</v>
      </c>
    </row>
    <row r="439" spans="1:7">
      <c r="A439" s="6">
        <v>42906</v>
      </c>
      <c r="B439" s="3" t="s">
        <v>13</v>
      </c>
      <c r="C439" s="3" t="s">
        <v>14</v>
      </c>
      <c r="D439" s="8" t="str">
        <f>HYPERLINK("http://npthd.inbcu.com/ViewContent.aspx?filename=NPMR_ABC_2017-06-20_E.MP4$6971$7001","ABC Summer Fun &amp; Games")</f>
        <v>ABC Summer Fun &amp; Games</v>
      </c>
      <c r="E439" s="3" t="s">
        <v>38</v>
      </c>
      <c r="F439" s="3" t="s">
        <v>560</v>
      </c>
      <c r="G439" s="3" t="s">
        <v>561</v>
      </c>
    </row>
    <row r="440" spans="1:7">
      <c r="A440" s="6">
        <v>42906</v>
      </c>
      <c r="B440" s="3" t="s">
        <v>13</v>
      </c>
      <c r="C440" s="3" t="s">
        <v>32</v>
      </c>
      <c r="D440" s="8" t="str">
        <f>HYPERLINK("http://npthd.inbcu.com/ViewContent.aspx?filename=NPMR_ABC_2017-06-20_E.MP4$7001$7062","LOCAL")</f>
        <v>LOCAL</v>
      </c>
      <c r="E440" s="3" t="s">
        <v>33</v>
      </c>
      <c r="F440" s="3" t="s">
        <v>561</v>
      </c>
      <c r="G440" s="3" t="s">
        <v>562</v>
      </c>
    </row>
    <row r="441" spans="1:7">
      <c r="A441" s="6">
        <v>42906</v>
      </c>
      <c r="B441" s="3" t="s">
        <v>13</v>
      </c>
      <c r="C441" s="3" t="s">
        <v>18</v>
      </c>
      <c r="D441" s="8" t="str">
        <f>HYPERLINK("http://npthd.inbcu.com/ViewContent.aspx?filename=NPMR_ABC_2017-06-20_E.MP4$7062$7197","BLACK-ISH: one angry man")</f>
        <v>BLACK-ISH: one angry man</v>
      </c>
      <c r="E441" s="3" t="s">
        <v>459</v>
      </c>
      <c r="F441" s="3" t="s">
        <v>562</v>
      </c>
      <c r="G441" s="3" t="s">
        <v>563</v>
      </c>
    </row>
    <row r="442" spans="1:7">
      <c r="A442" s="6">
        <v>42906</v>
      </c>
      <c r="B442" s="3" t="s">
        <v>13</v>
      </c>
      <c r="C442" s="3" t="s">
        <v>21</v>
      </c>
      <c r="D442" s="8" t="str">
        <f>HYPERLINK("http://npthd.inbcu.com/ViewContent.aspx?filename=NPMR_ABC_2017-06-20_E.MP4$7197$7317","COMMERCIAL")</f>
        <v>COMMERCIAL</v>
      </c>
      <c r="E442" s="3" t="s">
        <v>43</v>
      </c>
      <c r="F442" s="3" t="s">
        <v>563</v>
      </c>
      <c r="G442" s="3" t="s">
        <v>564</v>
      </c>
    </row>
    <row r="443" spans="1:7">
      <c r="A443" s="6">
        <v>42906</v>
      </c>
      <c r="B443" s="3" t="s">
        <v>13</v>
      </c>
      <c r="C443" s="3" t="s">
        <v>14</v>
      </c>
      <c r="D443" s="8" t="str">
        <f>HYPERLINK("http://npthd.inbcu.com/ViewContent.aspx?filename=NPMR_ABC_2017-06-20_E.MP4$7317$7322","Boy Band")</f>
        <v>Boy Band</v>
      </c>
      <c r="E443" s="3" t="s">
        <v>54</v>
      </c>
      <c r="F443" s="3" t="s">
        <v>564</v>
      </c>
      <c r="G443" s="3" t="s">
        <v>565</v>
      </c>
    </row>
    <row r="444" spans="1:7">
      <c r="A444" s="6">
        <v>42906</v>
      </c>
      <c r="B444" s="3" t="s">
        <v>13</v>
      </c>
      <c r="C444" s="3" t="s">
        <v>14</v>
      </c>
      <c r="D444" s="8" t="str">
        <f>HYPERLINK("http://npthd.inbcu.com/ViewContent.aspx?filename=NPMR_ABC_2017-06-20_E.MP4$7322$7352","Battle of the Network Stars")</f>
        <v>Battle of the Network Stars</v>
      </c>
      <c r="E444" s="3" t="s">
        <v>38</v>
      </c>
      <c r="F444" s="3" t="s">
        <v>565</v>
      </c>
      <c r="G444" s="3" t="s">
        <v>566</v>
      </c>
    </row>
    <row r="445" spans="1:7">
      <c r="A445" s="6">
        <v>42906</v>
      </c>
      <c r="B445" s="3" t="s">
        <v>13</v>
      </c>
      <c r="C445" s="3" t="s">
        <v>32</v>
      </c>
      <c r="D445" s="8" t="str">
        <f>HYPERLINK("http://npthd.inbcu.com/ViewContent.aspx?filename=NPMR_ABC_2017-06-20_E.MP4$7352$7359","LOCAL")</f>
        <v>LOCAL</v>
      </c>
      <c r="E445" s="3" t="s">
        <v>567</v>
      </c>
      <c r="F445" s="3" t="s">
        <v>566</v>
      </c>
      <c r="G445" s="3" t="s">
        <v>568</v>
      </c>
    </row>
    <row r="446" spans="1:7">
      <c r="A446" s="6">
        <v>42906</v>
      </c>
      <c r="B446" s="3" t="s">
        <v>13</v>
      </c>
      <c r="C446" s="3" t="s">
        <v>18</v>
      </c>
      <c r="D446" s="8" t="str">
        <f>HYPERLINK("http://npthd.inbcu.com/ViewContent.aspx?filename=NPMR_ABC_2017-06-20_E.MP4$7359$7401","BLACK-ISH: one angry man")</f>
        <v>BLACK-ISH: one angry man</v>
      </c>
      <c r="E446" s="3" t="s">
        <v>512</v>
      </c>
      <c r="F446" s="3" t="s">
        <v>568</v>
      </c>
      <c r="G446" s="3" t="s">
        <v>87</v>
      </c>
    </row>
    <row r="447" spans="1:7">
      <c r="A447" s="6">
        <v>42906</v>
      </c>
      <c r="B447" s="3" t="s">
        <v>13</v>
      </c>
      <c r="C447" s="3" t="s">
        <v>14</v>
      </c>
      <c r="D447" s="8" t="str">
        <f>HYPERLINK("http://npthd.inbcu.com/ViewContent.aspx?filename=NPMR_ABC_2017-06-20_E.MP4$7401$7405","American Housewife")</f>
        <v>American Housewife</v>
      </c>
      <c r="E447" s="3" t="s">
        <v>84</v>
      </c>
      <c r="F447" s="3" t="s">
        <v>87</v>
      </c>
      <c r="G447" s="3" t="s">
        <v>395</v>
      </c>
    </row>
    <row r="448" spans="1:7">
      <c r="A448" s="6">
        <v>42906</v>
      </c>
      <c r="B448" s="3" t="s">
        <v>13</v>
      </c>
      <c r="C448" s="3" t="s">
        <v>18</v>
      </c>
      <c r="D448" s="8" t="str">
        <f>HYPERLINK("http://npthd.inbcu.com/ViewContent.aspx?filename=NPMR_ABC_2017-06-20_E.MP4$7405$7768","AMERICAN HOUSEWIFE: art show")</f>
        <v>AMERICAN HOUSEWIFE: art show</v>
      </c>
      <c r="E448" s="3" t="s">
        <v>569</v>
      </c>
      <c r="F448" s="3" t="s">
        <v>395</v>
      </c>
      <c r="G448" s="3" t="s">
        <v>570</v>
      </c>
    </row>
    <row r="449" spans="1:7">
      <c r="A449" s="6">
        <v>42906</v>
      </c>
      <c r="B449" s="3" t="s">
        <v>13</v>
      </c>
      <c r="C449" s="3" t="s">
        <v>21</v>
      </c>
      <c r="D449" s="8" t="str">
        <f>HYPERLINK("http://npthd.inbcu.com/ViewContent.aspx?filename=NPMR_ABC_2017-06-20_E.MP4$7768$7889","COMMERCIAL")</f>
        <v>COMMERCIAL</v>
      </c>
      <c r="E449" s="3" t="s">
        <v>175</v>
      </c>
      <c r="F449" s="3" t="s">
        <v>570</v>
      </c>
      <c r="G449" s="3" t="s">
        <v>571</v>
      </c>
    </row>
    <row r="450" spans="1:7">
      <c r="A450" s="6">
        <v>42906</v>
      </c>
      <c r="B450" s="3" t="s">
        <v>13</v>
      </c>
      <c r="C450" s="3" t="s">
        <v>14</v>
      </c>
      <c r="D450" s="8" t="str">
        <f>HYPERLINK("http://npthd.inbcu.com/ViewContent.aspx?filename=NPMR_ABC_2017-06-20_E.MP4$7889$7904","Boy Band")</f>
        <v>Boy Band</v>
      </c>
      <c r="E450" s="3" t="s">
        <v>30</v>
      </c>
      <c r="F450" s="3" t="s">
        <v>571</v>
      </c>
      <c r="G450" s="3" t="s">
        <v>572</v>
      </c>
    </row>
    <row r="451" spans="1:7">
      <c r="A451" s="6">
        <v>42906</v>
      </c>
      <c r="B451" s="3" t="s">
        <v>13</v>
      </c>
      <c r="C451" s="3" t="s">
        <v>14</v>
      </c>
      <c r="D451" s="8" t="str">
        <f>HYPERLINK("http://npthd.inbcu.com/ViewContent.aspx?filename=NPMR_ABC_2017-06-20_E.MP4$7904$7919","Gong Show, The")</f>
        <v>Gong Show, The</v>
      </c>
      <c r="E451" s="3" t="s">
        <v>30</v>
      </c>
      <c r="F451" s="3" t="s">
        <v>572</v>
      </c>
      <c r="G451" s="3" t="s">
        <v>573</v>
      </c>
    </row>
    <row r="452" spans="1:7">
      <c r="A452" s="6">
        <v>42906</v>
      </c>
      <c r="B452" s="3" t="s">
        <v>13</v>
      </c>
      <c r="C452" s="3" t="s">
        <v>18</v>
      </c>
      <c r="D452" s="8" t="str">
        <f>HYPERLINK("http://npthd.inbcu.com/ViewContent.aspx?filename=NPMR_ABC_2017-06-20_E.MP4$7919$8427","AMERICAN HOUSEWIFE: art show")</f>
        <v>AMERICAN HOUSEWIFE: art show</v>
      </c>
      <c r="E452" s="3" t="s">
        <v>259</v>
      </c>
      <c r="F452" s="3" t="s">
        <v>573</v>
      </c>
      <c r="G452" s="3" t="s">
        <v>574</v>
      </c>
    </row>
    <row r="453" spans="1:7">
      <c r="A453" s="6">
        <v>42906</v>
      </c>
      <c r="B453" s="3" t="s">
        <v>13</v>
      </c>
      <c r="C453" s="3" t="s">
        <v>21</v>
      </c>
      <c r="D453" s="8" t="str">
        <f>HYPERLINK("http://npthd.inbcu.com/ViewContent.aspx?filename=NPMR_ABC_2017-06-20_E.MP4$8427$8607","COMMERCIAL")</f>
        <v>COMMERCIAL</v>
      </c>
      <c r="E453" s="3" t="s">
        <v>22</v>
      </c>
      <c r="F453" s="3" t="s">
        <v>574</v>
      </c>
      <c r="G453" s="3" t="s">
        <v>575</v>
      </c>
    </row>
    <row r="454" spans="1:7">
      <c r="A454" s="6">
        <v>42906</v>
      </c>
      <c r="B454" s="3" t="s">
        <v>13</v>
      </c>
      <c r="C454" s="3" t="s">
        <v>14</v>
      </c>
      <c r="D454" s="8" t="str">
        <f>HYPERLINK("http://npthd.inbcu.com/ViewContent.aspx?filename=NPMR_ABC_2017-06-20_E.MP4$8607$8624","To Tell the Truth")</f>
        <v>To Tell the Truth</v>
      </c>
      <c r="E454" s="3" t="s">
        <v>576</v>
      </c>
      <c r="F454" s="3" t="s">
        <v>575</v>
      </c>
      <c r="G454" s="3" t="s">
        <v>577</v>
      </c>
    </row>
    <row r="455" spans="1:7">
      <c r="A455" s="6">
        <v>42906</v>
      </c>
      <c r="B455" s="3" t="s">
        <v>13</v>
      </c>
      <c r="C455" s="3" t="s">
        <v>18</v>
      </c>
      <c r="D455" s="8" t="str">
        <f>HYPERLINK("http://npthd.inbcu.com/ViewContent.aspx?filename=NPMR_ABC_2017-06-20_E.MP4$8624$8970","AMERICAN HOUSEWIFE: art show")</f>
        <v>AMERICAN HOUSEWIFE: art show</v>
      </c>
      <c r="E455" s="3" t="s">
        <v>578</v>
      </c>
      <c r="F455" s="3" t="s">
        <v>577</v>
      </c>
      <c r="G455" s="3" t="s">
        <v>579</v>
      </c>
    </row>
    <row r="456" spans="1:7">
      <c r="A456" s="6">
        <v>42906</v>
      </c>
      <c r="B456" s="3" t="s">
        <v>13</v>
      </c>
      <c r="C456" s="3" t="s">
        <v>21</v>
      </c>
      <c r="D456" s="8" t="str">
        <f>HYPERLINK("http://npthd.inbcu.com/ViewContent.aspx?filename=NPMR_ABC_2017-06-20_E.MP4$8970$9035","COMMERCIAL")</f>
        <v>COMMERCIAL</v>
      </c>
      <c r="E456" s="3" t="s">
        <v>580</v>
      </c>
      <c r="F456" s="3" t="s">
        <v>579</v>
      </c>
      <c r="G456" s="3" t="s">
        <v>581</v>
      </c>
    </row>
    <row r="457" spans="1:7">
      <c r="A457" s="6">
        <v>42906</v>
      </c>
      <c r="B457" s="3" t="s">
        <v>13</v>
      </c>
      <c r="C457" s="3" t="s">
        <v>14</v>
      </c>
      <c r="D457" s="8" t="str">
        <f>HYPERLINK("http://npthd.inbcu.com/ViewContent.aspx?filename=NPMR_ABC_2017-06-20_E.MP4$9035$9060","Funderdome")</f>
        <v>Funderdome</v>
      </c>
      <c r="E457" s="3" t="s">
        <v>582</v>
      </c>
      <c r="F457" s="3" t="s">
        <v>581</v>
      </c>
      <c r="G457" s="3" t="s">
        <v>583</v>
      </c>
    </row>
    <row r="458" spans="1:7">
      <c r="A458" s="6">
        <v>42906</v>
      </c>
      <c r="B458" s="3" t="s">
        <v>13</v>
      </c>
      <c r="C458" s="3" t="s">
        <v>32</v>
      </c>
      <c r="D458" s="8" t="str">
        <f>HYPERLINK("http://npthd.inbcu.com/ViewContent.aspx?filename=NPMR_ABC_2017-06-20_E.MP4$9060$9166","LOCAL")</f>
        <v>LOCAL</v>
      </c>
      <c r="E458" s="3" t="s">
        <v>293</v>
      </c>
      <c r="F458" s="3" t="s">
        <v>583</v>
      </c>
      <c r="G458" s="3" t="s">
        <v>584</v>
      </c>
    </row>
    <row r="459" spans="1:7">
      <c r="A459" s="6">
        <v>42906</v>
      </c>
      <c r="B459" s="3" t="s">
        <v>13</v>
      </c>
      <c r="C459" s="3" t="s">
        <v>18</v>
      </c>
      <c r="D459" s="8" t="str">
        <f>HYPERLINK("http://npthd.inbcu.com/ViewContent.aspx?filename=NPMR_ABC_2017-06-20_E.MP4$9166$9200","AMERICAN HOUSEWIFE: art show")</f>
        <v>AMERICAN HOUSEWIFE: art show</v>
      </c>
      <c r="E459" s="3" t="s">
        <v>585</v>
      </c>
      <c r="F459" s="3" t="s">
        <v>584</v>
      </c>
      <c r="G459" s="3" t="s">
        <v>586</v>
      </c>
    </row>
    <row r="460" spans="1:7">
      <c r="A460" s="6">
        <v>42906</v>
      </c>
      <c r="B460" s="3" t="s">
        <v>13</v>
      </c>
      <c r="C460" s="3" t="s">
        <v>14</v>
      </c>
      <c r="D460" s="8" t="str">
        <f>HYPERLINK("http://npthd.inbcu.com/ViewContent.aspx?filename=NPMR_ABC_2017-06-20_E.MP4$9200$9205","Fresh Off The Boat")</f>
        <v>Fresh Off The Boat</v>
      </c>
      <c r="E460" s="3" t="s">
        <v>54</v>
      </c>
      <c r="F460" s="3" t="s">
        <v>586</v>
      </c>
      <c r="G460" s="3" t="s">
        <v>587</v>
      </c>
    </row>
    <row r="461" spans="1:7">
      <c r="A461" s="6">
        <v>42906</v>
      </c>
      <c r="B461" s="3" t="s">
        <v>13</v>
      </c>
      <c r="C461" s="3" t="s">
        <v>18</v>
      </c>
      <c r="D461" s="8" t="str">
        <f>HYPERLINK("http://npthd.inbcu.com/ViewContent.aspx?filename=NPMR_ABC_2017-06-20_E.MP4$9205$9691","FRESH OFF THE BOAT: the gloves are off")</f>
        <v>FRESH OFF THE BOAT: the gloves are off</v>
      </c>
      <c r="E461" s="3" t="s">
        <v>588</v>
      </c>
      <c r="F461" s="3" t="s">
        <v>587</v>
      </c>
      <c r="G461" s="3" t="s">
        <v>589</v>
      </c>
    </row>
    <row r="462" spans="1:7">
      <c r="A462" s="6">
        <v>42906</v>
      </c>
      <c r="B462" s="3" t="s">
        <v>13</v>
      </c>
      <c r="C462" s="3" t="s">
        <v>21</v>
      </c>
      <c r="D462" s="8" t="str">
        <f>HYPERLINK("http://npthd.inbcu.com/ViewContent.aspx?filename=NPMR_ABC_2017-06-20_E.MP4$9691$9871","COMMERCIAL")</f>
        <v>COMMERCIAL</v>
      </c>
      <c r="E462" s="3" t="s">
        <v>22</v>
      </c>
      <c r="F462" s="3" t="s">
        <v>589</v>
      </c>
      <c r="G462" s="3" t="s">
        <v>590</v>
      </c>
    </row>
    <row r="463" spans="1:7">
      <c r="A463" s="6">
        <v>42906</v>
      </c>
      <c r="B463" s="3" t="s">
        <v>13</v>
      </c>
      <c r="C463" s="3" t="s">
        <v>14</v>
      </c>
      <c r="D463" s="8" t="str">
        <f>HYPERLINK("http://npthd.inbcu.com/ViewContent.aspx?filename=NPMR_ABC_2017-06-20_E.MP4$9871$9901","Boy Band")</f>
        <v>Boy Band</v>
      </c>
      <c r="E463" s="3" t="s">
        <v>38</v>
      </c>
      <c r="F463" s="3" t="s">
        <v>590</v>
      </c>
      <c r="G463" s="3" t="s">
        <v>591</v>
      </c>
    </row>
    <row r="464" spans="1:7">
      <c r="A464" s="6">
        <v>42906</v>
      </c>
      <c r="B464" s="3" t="s">
        <v>13</v>
      </c>
      <c r="C464" s="3" t="s">
        <v>18</v>
      </c>
      <c r="D464" s="8" t="str">
        <f>HYPERLINK("http://npthd.inbcu.com/ViewContent.aspx?filename=NPMR_ABC_2017-06-20_E.MP4$9901$10220","FRESH OFF THE BOAT: the gloves are off")</f>
        <v>FRESH OFF THE BOAT: the gloves are off</v>
      </c>
      <c r="E464" s="3" t="s">
        <v>592</v>
      </c>
      <c r="F464" s="3" t="s">
        <v>591</v>
      </c>
      <c r="G464" s="3" t="s">
        <v>593</v>
      </c>
    </row>
    <row r="465" spans="1:7">
      <c r="A465" s="6">
        <v>42906</v>
      </c>
      <c r="B465" s="3" t="s">
        <v>13</v>
      </c>
      <c r="C465" s="3" t="s">
        <v>21</v>
      </c>
      <c r="D465" s="8" t="str">
        <f>HYPERLINK("http://npthd.inbcu.com/ViewContent.aspx?filename=NPMR_ABC_2017-06-20_E.MP4$10220$10296","COMMERCIAL")</f>
        <v>COMMERCIAL</v>
      </c>
      <c r="E465" s="3" t="s">
        <v>594</v>
      </c>
      <c r="F465" s="3" t="s">
        <v>593</v>
      </c>
      <c r="G465" s="3" t="s">
        <v>595</v>
      </c>
    </row>
    <row r="466" spans="1:7">
      <c r="A466" s="6">
        <v>42906</v>
      </c>
      <c r="B466" s="3" t="s">
        <v>13</v>
      </c>
      <c r="C466" s="3" t="s">
        <v>14</v>
      </c>
      <c r="D466" s="8" t="str">
        <f>HYPERLINK("http://npthd.inbcu.com/ViewContent.aspx?filename=NPMR_ABC_2017-06-20_E.MP4$10296$10311","Jimmy Kimmel Live!")</f>
        <v>Jimmy Kimmel Live!</v>
      </c>
      <c r="E466" s="3" t="s">
        <v>30</v>
      </c>
      <c r="F466" s="3" t="s">
        <v>595</v>
      </c>
      <c r="G466" s="3" t="s">
        <v>596</v>
      </c>
    </row>
    <row r="467" spans="1:7">
      <c r="A467" s="6">
        <v>42906</v>
      </c>
      <c r="B467" s="3" t="s">
        <v>13</v>
      </c>
      <c r="C467" s="3" t="s">
        <v>32</v>
      </c>
      <c r="D467" s="8" t="str">
        <f>HYPERLINK("http://npthd.inbcu.com/ViewContent.aspx?filename=NPMR_ABC_2017-06-20_E.MP4$10311$10401","LOCAL")</f>
        <v>LOCAL</v>
      </c>
      <c r="E467" s="3" t="s">
        <v>46</v>
      </c>
      <c r="F467" s="3" t="s">
        <v>596</v>
      </c>
      <c r="G467" s="3" t="s">
        <v>597</v>
      </c>
    </row>
    <row r="468" spans="1:7">
      <c r="A468" s="6">
        <v>42906</v>
      </c>
      <c r="B468" s="3" t="s">
        <v>13</v>
      </c>
      <c r="C468" s="3" t="s">
        <v>18</v>
      </c>
      <c r="D468" s="8" t="str">
        <f>HYPERLINK("http://npthd.inbcu.com/ViewContent.aspx?filename=NPMR_ABC_2017-06-20_E.MP4$10401$10824","FRESH OFF THE BOAT: the gloves are off")</f>
        <v>FRESH OFF THE BOAT: the gloves are off</v>
      </c>
      <c r="E468" s="3" t="s">
        <v>598</v>
      </c>
      <c r="F468" s="3" t="s">
        <v>597</v>
      </c>
      <c r="G468" s="3" t="s">
        <v>599</v>
      </c>
    </row>
    <row r="469" spans="1:7">
      <c r="A469" s="6">
        <v>42906</v>
      </c>
      <c r="B469" s="3" t="s">
        <v>13</v>
      </c>
      <c r="C469" s="3" t="s">
        <v>32</v>
      </c>
      <c r="D469" s="8" t="str">
        <f>HYPERLINK("http://npthd.inbcu.com/ViewContent.aspx?filename=NPMR_ABC_2017-06-20_E.MP4$10824$10840","LOCAL")</f>
        <v>LOCAL</v>
      </c>
      <c r="E469" s="3" t="s">
        <v>64</v>
      </c>
      <c r="F469" s="3" t="s">
        <v>599</v>
      </c>
      <c r="G469" s="3" t="s">
        <v>600</v>
      </c>
    </row>
    <row r="470" spans="1:7">
      <c r="A470" s="6">
        <v>42906</v>
      </c>
      <c r="B470" s="3" t="s">
        <v>13</v>
      </c>
      <c r="C470" s="3" t="s">
        <v>21</v>
      </c>
      <c r="D470" s="8" t="str">
        <f>HYPERLINK("http://npthd.inbcu.com/ViewContent.aspx?filename=NPMR_ABC_2017-06-20_E.MP4$10840$10931","COMMERCIAL")</f>
        <v>COMMERCIAL</v>
      </c>
      <c r="E470" s="3" t="s">
        <v>77</v>
      </c>
      <c r="F470" s="3" t="s">
        <v>600</v>
      </c>
      <c r="G470" s="3" t="s">
        <v>601</v>
      </c>
    </row>
    <row r="471" spans="1:7">
      <c r="A471" s="6">
        <v>42906</v>
      </c>
      <c r="B471" s="3" t="s">
        <v>13</v>
      </c>
      <c r="C471" s="3" t="s">
        <v>14</v>
      </c>
      <c r="D471" s="8" t="str">
        <f>HYPERLINK("http://npthd.inbcu.com/ViewContent.aspx?filename=NPMR_ABC_2017-06-20_E.MP4$10931$10946","Gong Show, The")</f>
        <v>Gong Show, The</v>
      </c>
      <c r="E471" s="3" t="s">
        <v>30</v>
      </c>
      <c r="F471" s="3" t="s">
        <v>601</v>
      </c>
      <c r="G471" s="3" t="s">
        <v>602</v>
      </c>
    </row>
    <row r="472" spans="1:7">
      <c r="A472" s="6">
        <v>42906</v>
      </c>
      <c r="B472" s="3" t="s">
        <v>13</v>
      </c>
      <c r="C472" s="3" t="s">
        <v>18</v>
      </c>
      <c r="D472" s="8" t="str">
        <f>HYPERLINK("http://npthd.inbcu.com/ViewContent.aspx?filename=NPMR_ABC_2017-06-20_E.MP4$10946$10985","FRESH OFF THE BOAT: the gloves are off")</f>
        <v>FRESH OFF THE BOAT: the gloves are off</v>
      </c>
      <c r="E472" s="3" t="s">
        <v>603</v>
      </c>
      <c r="F472" s="3" t="s">
        <v>602</v>
      </c>
      <c r="G472" s="3" t="s">
        <v>123</v>
      </c>
    </row>
    <row r="473" spans="1:7">
      <c r="A473" s="6">
        <v>42906</v>
      </c>
      <c r="B473" s="3" t="s">
        <v>13</v>
      </c>
      <c r="C473" s="3" t="s">
        <v>32</v>
      </c>
      <c r="D473" s="8" t="str">
        <f>HYPERLINK("http://npthd.inbcu.com/ViewContent.aspx?filename=NPMR_ABC_2017-06-20_E.MP4$10985$11000","LOCAL")</f>
        <v>LOCAL</v>
      </c>
      <c r="E473" s="3" t="s">
        <v>30</v>
      </c>
      <c r="F473" s="3" t="s">
        <v>123</v>
      </c>
      <c r="G473" s="3" t="s">
        <v>124</v>
      </c>
    </row>
    <row r="474" spans="1:7">
      <c r="A474" s="6">
        <v>42907</v>
      </c>
      <c r="B474" s="3" t="s">
        <v>13</v>
      </c>
      <c r="C474" s="3" t="s">
        <v>14</v>
      </c>
      <c r="D474" s="8" t="str">
        <f>HYPERLINK("http://npthd.inbcu.com/ViewContent.aspx?filename=NPMR_ABC_2017-06-21_E.MP4$131$136","ABC Open")</f>
        <v>ABC Open</v>
      </c>
      <c r="E474" s="3" t="s">
        <v>54</v>
      </c>
      <c r="F474" s="3" t="s">
        <v>16</v>
      </c>
      <c r="G474" s="3" t="s">
        <v>125</v>
      </c>
    </row>
    <row r="475" spans="1:7">
      <c r="A475" s="6">
        <v>42907</v>
      </c>
      <c r="B475" s="3" t="s">
        <v>13</v>
      </c>
      <c r="C475" s="3" t="s">
        <v>18</v>
      </c>
      <c r="D475" s="8" t="str">
        <f>HYPERLINK("http://npthd.inbcu.com/ViewContent.aspx?filename=NPMR_ABC_2017-06-21_E.MP4$136$778","THE GOLDBERGS: so swayze is crazy")</f>
        <v>THE GOLDBERGS: so swayze is crazy</v>
      </c>
      <c r="E475" s="3" t="s">
        <v>604</v>
      </c>
      <c r="F475" s="3" t="s">
        <v>125</v>
      </c>
      <c r="G475" s="3" t="s">
        <v>605</v>
      </c>
    </row>
    <row r="476" spans="1:7">
      <c r="A476" s="6">
        <v>42907</v>
      </c>
      <c r="B476" s="3" t="s">
        <v>13</v>
      </c>
      <c r="C476" s="3" t="s">
        <v>21</v>
      </c>
      <c r="D476" s="8" t="str">
        <f>HYPERLINK("http://npthd.inbcu.com/ViewContent.aspx?filename=NPMR_ABC_2017-06-21_E.MP4$778$898","COMMERCIAL")</f>
        <v>COMMERCIAL</v>
      </c>
      <c r="E476" s="3" t="s">
        <v>43</v>
      </c>
      <c r="F476" s="3" t="s">
        <v>605</v>
      </c>
      <c r="G476" s="3" t="s">
        <v>606</v>
      </c>
    </row>
    <row r="477" spans="1:7">
      <c r="A477" s="6">
        <v>42907</v>
      </c>
      <c r="B477" s="3" t="s">
        <v>13</v>
      </c>
      <c r="C477" s="3" t="s">
        <v>14</v>
      </c>
      <c r="D477" s="8" t="str">
        <f>HYPERLINK("http://npthd.inbcu.com/ViewContent.aspx?filename=NPMR_ABC_2017-06-21_E.MP4$898$913","To Tell the Truth")</f>
        <v>To Tell the Truth</v>
      </c>
      <c r="E477" s="3" t="s">
        <v>30</v>
      </c>
      <c r="F477" s="3" t="s">
        <v>606</v>
      </c>
      <c r="G477" s="3" t="s">
        <v>607</v>
      </c>
    </row>
    <row r="478" spans="1:7">
      <c r="A478" s="6">
        <v>42907</v>
      </c>
      <c r="B478" s="3" t="s">
        <v>13</v>
      </c>
      <c r="C478" s="3" t="s">
        <v>14</v>
      </c>
      <c r="D478" s="8" t="str">
        <f>HYPERLINK("http://npthd.inbcu.com/ViewContent.aspx?filename=NPMR_ABC_2017-06-21_E.MP4$913$928","Boy Band")</f>
        <v>Boy Band</v>
      </c>
      <c r="E478" s="3" t="s">
        <v>30</v>
      </c>
      <c r="F478" s="3" t="s">
        <v>607</v>
      </c>
      <c r="G478" s="3" t="s">
        <v>608</v>
      </c>
    </row>
    <row r="479" spans="1:7">
      <c r="A479" s="6">
        <v>42907</v>
      </c>
      <c r="B479" s="3" t="s">
        <v>13</v>
      </c>
      <c r="C479" s="3" t="s">
        <v>18</v>
      </c>
      <c r="D479" s="8" t="str">
        <f>HYPERLINK("http://npthd.inbcu.com/ViewContent.aspx?filename=NPMR_ABC_2017-06-21_E.MP4$928$1253","THE GOLDBERGS: so swayze is crazy")</f>
        <v>THE GOLDBERGS: so swayze is crazy</v>
      </c>
      <c r="E479" s="3" t="s">
        <v>609</v>
      </c>
      <c r="F479" s="3" t="s">
        <v>608</v>
      </c>
      <c r="G479" s="3" t="s">
        <v>610</v>
      </c>
    </row>
    <row r="480" spans="1:7">
      <c r="A480" s="6">
        <v>42907</v>
      </c>
      <c r="B480" s="3" t="s">
        <v>13</v>
      </c>
      <c r="C480" s="3" t="s">
        <v>21</v>
      </c>
      <c r="D480" s="8" t="str">
        <f>HYPERLINK("http://npthd.inbcu.com/ViewContent.aspx?filename=NPMR_ABC_2017-06-21_E.MP4$1253$1359","COMMERCIAL")</f>
        <v>COMMERCIAL</v>
      </c>
      <c r="E480" s="3" t="s">
        <v>293</v>
      </c>
      <c r="F480" s="3" t="s">
        <v>610</v>
      </c>
      <c r="G480" s="3" t="s">
        <v>611</v>
      </c>
    </row>
    <row r="481" spans="1:7">
      <c r="A481" s="6">
        <v>42907</v>
      </c>
      <c r="B481" s="3" t="s">
        <v>13</v>
      </c>
      <c r="C481" s="3" t="s">
        <v>14</v>
      </c>
      <c r="D481" s="8" t="str">
        <f>HYPERLINK("http://npthd.inbcu.com/ViewContent.aspx?filename=NPMR_ABC_2017-06-21_E.MP4$1359$1389","Gong Show, The")</f>
        <v>Gong Show, The</v>
      </c>
      <c r="E481" s="3" t="s">
        <v>38</v>
      </c>
      <c r="F481" s="3" t="s">
        <v>611</v>
      </c>
      <c r="G481" s="3" t="s">
        <v>612</v>
      </c>
    </row>
    <row r="482" spans="1:7">
      <c r="A482" s="6">
        <v>42907</v>
      </c>
      <c r="B482" s="3" t="s">
        <v>13</v>
      </c>
      <c r="C482" s="3" t="s">
        <v>32</v>
      </c>
      <c r="D482" s="8" t="str">
        <f>HYPERLINK("http://npthd.inbcu.com/ViewContent.aspx?filename=NPMR_ABC_2017-06-21_E.MP4$1389$1449","LOCAL")</f>
        <v>LOCAL</v>
      </c>
      <c r="E482" s="3" t="s">
        <v>66</v>
      </c>
      <c r="F482" s="3" t="s">
        <v>612</v>
      </c>
      <c r="G482" s="3" t="s">
        <v>613</v>
      </c>
    </row>
    <row r="483" spans="1:7">
      <c r="A483" s="6">
        <v>42907</v>
      </c>
      <c r="B483" s="3" t="s">
        <v>13</v>
      </c>
      <c r="C483" s="3" t="s">
        <v>18</v>
      </c>
      <c r="D483" s="8" t="str">
        <f>HYPERLINK("http://npthd.inbcu.com/ViewContent.aspx?filename=NPMR_ABC_2017-06-21_E.MP4$1449$1710","THE GOLDBERGS: so swayze is crazy")</f>
        <v>THE GOLDBERGS: so swayze is crazy</v>
      </c>
      <c r="E483" s="3" t="s">
        <v>614</v>
      </c>
      <c r="F483" s="3" t="s">
        <v>613</v>
      </c>
      <c r="G483" s="3" t="s">
        <v>615</v>
      </c>
    </row>
    <row r="484" spans="1:7">
      <c r="A484" s="6">
        <v>42907</v>
      </c>
      <c r="B484" s="3" t="s">
        <v>13</v>
      </c>
      <c r="C484" s="3" t="s">
        <v>21</v>
      </c>
      <c r="D484" s="8" t="str">
        <f>HYPERLINK("http://npthd.inbcu.com/ViewContent.aspx?filename=NPMR_ABC_2017-06-21_E.MP4$1710$1860","COMMERCIAL")</f>
        <v>COMMERCIAL</v>
      </c>
      <c r="E484" s="3" t="s">
        <v>28</v>
      </c>
      <c r="F484" s="3" t="s">
        <v>615</v>
      </c>
      <c r="G484" s="3" t="s">
        <v>616</v>
      </c>
    </row>
    <row r="485" spans="1:7">
      <c r="A485" s="6">
        <v>42907</v>
      </c>
      <c r="B485" s="3" t="s">
        <v>13</v>
      </c>
      <c r="C485" s="3" t="s">
        <v>14</v>
      </c>
      <c r="D485" s="8" t="str">
        <f>HYPERLINK("http://npthd.inbcu.com/ViewContent.aspx?filename=NPMR_ABC_2017-06-21_E.MP4$1860$1876","Boy Band")</f>
        <v>Boy Band</v>
      </c>
      <c r="E485" s="3" t="s">
        <v>64</v>
      </c>
      <c r="F485" s="3" t="s">
        <v>616</v>
      </c>
      <c r="G485" s="3" t="s">
        <v>617</v>
      </c>
    </row>
    <row r="486" spans="1:7">
      <c r="A486" s="6">
        <v>42907</v>
      </c>
      <c r="B486" s="3" t="s">
        <v>13</v>
      </c>
      <c r="C486" s="3" t="s">
        <v>14</v>
      </c>
      <c r="D486" s="8" t="str">
        <f>HYPERLINK("http://npthd.inbcu.com/ViewContent.aspx?filename=NPMR_ABC_2017-06-21_E.MP4$1876$1891","What Would You Do?")</f>
        <v>What Would You Do?</v>
      </c>
      <c r="E486" s="3" t="s">
        <v>30</v>
      </c>
      <c r="F486" s="3" t="s">
        <v>617</v>
      </c>
      <c r="G486" s="3" t="s">
        <v>618</v>
      </c>
    </row>
    <row r="487" spans="1:7">
      <c r="A487" s="6">
        <v>42907</v>
      </c>
      <c r="B487" s="3" t="s">
        <v>13</v>
      </c>
      <c r="C487" s="3" t="s">
        <v>18</v>
      </c>
      <c r="D487" s="8" t="str">
        <f>HYPERLINK("http://npthd.inbcu.com/ViewContent.aspx?filename=NPMR_ABC_2017-06-21_E.MP4$1891$1931","THE GOLDBERGS: so swayze is crazy")</f>
        <v>THE GOLDBERGS: so swayze is crazy</v>
      </c>
      <c r="E487" s="3" t="s">
        <v>619</v>
      </c>
      <c r="F487" s="3" t="s">
        <v>618</v>
      </c>
      <c r="G487" s="3" t="s">
        <v>513</v>
      </c>
    </row>
    <row r="488" spans="1:7">
      <c r="A488" s="6">
        <v>42907</v>
      </c>
      <c r="B488" s="3" t="s">
        <v>13</v>
      </c>
      <c r="C488" s="3" t="s">
        <v>14</v>
      </c>
      <c r="D488" s="8" t="str">
        <f>HYPERLINK("http://npthd.inbcu.com/ViewContent.aspx?filename=NPMR_ABC_2017-06-21_E.MP4$1931$1936","Speechless")</f>
        <v>Speechless</v>
      </c>
      <c r="E488" s="3" t="s">
        <v>54</v>
      </c>
      <c r="F488" s="3" t="s">
        <v>513</v>
      </c>
      <c r="G488" s="3" t="s">
        <v>620</v>
      </c>
    </row>
    <row r="489" spans="1:7">
      <c r="A489" s="6">
        <v>42907</v>
      </c>
      <c r="B489" s="3" t="s">
        <v>13</v>
      </c>
      <c r="C489" s="3" t="s">
        <v>18</v>
      </c>
      <c r="D489" s="8" t="str">
        <f>HYPERLINK("http://npthd.inbcu.com/ViewContent.aspx?filename=NPMR_ABC_2017-06-21_E.MP4$1936$2361","SPEECHLESS: prom")</f>
        <v>SPEECHLESS: prom</v>
      </c>
      <c r="E489" s="3" t="s">
        <v>621</v>
      </c>
      <c r="F489" s="3" t="s">
        <v>620</v>
      </c>
      <c r="G489" s="3" t="s">
        <v>622</v>
      </c>
    </row>
    <row r="490" spans="1:7">
      <c r="A490" s="6">
        <v>42907</v>
      </c>
      <c r="B490" s="3" t="s">
        <v>13</v>
      </c>
      <c r="C490" s="3" t="s">
        <v>21</v>
      </c>
      <c r="D490" s="8" t="str">
        <f>HYPERLINK("http://npthd.inbcu.com/ViewContent.aspx?filename=NPMR_ABC_2017-06-21_E.MP4$2361$2501","COMMERCIAL")</f>
        <v>COMMERCIAL</v>
      </c>
      <c r="E490" s="3" t="s">
        <v>623</v>
      </c>
      <c r="F490" s="3" t="s">
        <v>622</v>
      </c>
      <c r="G490" s="3" t="s">
        <v>624</v>
      </c>
    </row>
    <row r="491" spans="1:7">
      <c r="A491" s="6">
        <v>42907</v>
      </c>
      <c r="B491" s="3" t="s">
        <v>13</v>
      </c>
      <c r="C491" s="3" t="s">
        <v>14</v>
      </c>
      <c r="D491" s="8" t="str">
        <f>HYPERLINK("http://npthd.inbcu.com/ViewContent.aspx?filename=NPMR_ABC_2017-06-21_E.MP4$2501$2532","Boy Band")</f>
        <v>Boy Band</v>
      </c>
      <c r="E491" s="3" t="s">
        <v>98</v>
      </c>
      <c r="F491" s="3" t="s">
        <v>624</v>
      </c>
      <c r="G491" s="3" t="s">
        <v>625</v>
      </c>
    </row>
    <row r="492" spans="1:7">
      <c r="A492" s="6">
        <v>42907</v>
      </c>
      <c r="B492" s="3" t="s">
        <v>13</v>
      </c>
      <c r="C492" s="3" t="s">
        <v>18</v>
      </c>
      <c r="D492" s="8" t="str">
        <f>HYPERLINK("http://npthd.inbcu.com/ViewContent.aspx?filename=NPMR_ABC_2017-06-21_E.MP4$2532$2896","SPEECHLESS: prom")</f>
        <v>SPEECHLESS: prom</v>
      </c>
      <c r="E492" s="3" t="s">
        <v>626</v>
      </c>
      <c r="F492" s="3" t="s">
        <v>625</v>
      </c>
      <c r="G492" s="3" t="s">
        <v>627</v>
      </c>
    </row>
    <row r="493" spans="1:7">
      <c r="A493" s="6">
        <v>42907</v>
      </c>
      <c r="B493" s="3" t="s">
        <v>13</v>
      </c>
      <c r="C493" s="3" t="s">
        <v>14</v>
      </c>
      <c r="D493" s="8" t="str">
        <f>HYPERLINK("http://npthd.inbcu.com/ViewContent.aspx?filename=NPMR_ABC_2017-06-21_E.MP4$2896$2902","Gong Show, The")</f>
        <v>Gong Show, The</v>
      </c>
      <c r="E493" s="3" t="s">
        <v>15</v>
      </c>
      <c r="F493" s="3" t="s">
        <v>627</v>
      </c>
      <c r="G493" s="3" t="s">
        <v>628</v>
      </c>
    </row>
    <row r="494" spans="1:7">
      <c r="A494" s="6">
        <v>42907</v>
      </c>
      <c r="B494" s="3" t="s">
        <v>13</v>
      </c>
      <c r="C494" s="3" t="s">
        <v>21</v>
      </c>
      <c r="D494" s="8" t="str">
        <f>HYPERLINK("http://npthd.inbcu.com/ViewContent.aspx?filename=NPMR_ABC_2017-06-21_E.MP4$2902$2977","COMMERCIAL")</f>
        <v>COMMERCIAL</v>
      </c>
      <c r="E494" s="3" t="s">
        <v>531</v>
      </c>
      <c r="F494" s="3" t="s">
        <v>628</v>
      </c>
      <c r="G494" s="3" t="s">
        <v>629</v>
      </c>
    </row>
    <row r="495" spans="1:7">
      <c r="A495" s="6">
        <v>42907</v>
      </c>
      <c r="B495" s="3" t="s">
        <v>13</v>
      </c>
      <c r="C495" s="3" t="s">
        <v>32</v>
      </c>
      <c r="D495" s="8" t="str">
        <f>HYPERLINK("http://npthd.inbcu.com/ViewContent.aspx?filename=NPMR_ABC_2017-06-21_E.MP4$2977$3087","LOCAL")</f>
        <v>LOCAL</v>
      </c>
      <c r="E495" s="3" t="s">
        <v>558</v>
      </c>
      <c r="F495" s="3" t="s">
        <v>629</v>
      </c>
      <c r="G495" s="3" t="s">
        <v>630</v>
      </c>
    </row>
    <row r="496" spans="1:7">
      <c r="A496" s="6">
        <v>42907</v>
      </c>
      <c r="B496" s="3" t="s">
        <v>13</v>
      </c>
      <c r="C496" s="3" t="s">
        <v>18</v>
      </c>
      <c r="D496" s="8" t="str">
        <f>HYPERLINK("http://npthd.inbcu.com/ViewContent.aspx?filename=NPMR_ABC_2017-06-21_E.MP4$3087$3518","SPEECHLESS: prom")</f>
        <v>SPEECHLESS: prom</v>
      </c>
      <c r="E496" s="3" t="s">
        <v>332</v>
      </c>
      <c r="F496" s="3" t="s">
        <v>630</v>
      </c>
      <c r="G496" s="3" t="s">
        <v>631</v>
      </c>
    </row>
    <row r="497" spans="1:7">
      <c r="A497" s="6">
        <v>42907</v>
      </c>
      <c r="B497" s="3" t="s">
        <v>13</v>
      </c>
      <c r="C497" s="3" t="s">
        <v>21</v>
      </c>
      <c r="D497" s="8" t="str">
        <f>HYPERLINK("http://npthd.inbcu.com/ViewContent.aspx?filename=NPMR_ABC_2017-06-21_E.MP4$3518$3653","COMMERCIAL")</f>
        <v>COMMERCIAL</v>
      </c>
      <c r="E497" s="3" t="s">
        <v>459</v>
      </c>
      <c r="F497" s="3" t="s">
        <v>631</v>
      </c>
      <c r="G497" s="3" t="s">
        <v>632</v>
      </c>
    </row>
    <row r="498" spans="1:7">
      <c r="A498" s="6">
        <v>42907</v>
      </c>
      <c r="B498" s="3" t="s">
        <v>13</v>
      </c>
      <c r="C498" s="3" t="s">
        <v>14</v>
      </c>
      <c r="D498" s="8" t="str">
        <f>HYPERLINK("http://npthd.inbcu.com/ViewContent.aspx?filename=NPMR_ABC_2017-06-21_E.MP4$3653$3669","To Tell the Truth")</f>
        <v>To Tell the Truth</v>
      </c>
      <c r="E498" s="3" t="s">
        <v>64</v>
      </c>
      <c r="F498" s="3" t="s">
        <v>632</v>
      </c>
      <c r="G498" s="3" t="s">
        <v>633</v>
      </c>
    </row>
    <row r="499" spans="1:7">
      <c r="A499" s="6">
        <v>42907</v>
      </c>
      <c r="B499" s="3" t="s">
        <v>13</v>
      </c>
      <c r="C499" s="3" t="s">
        <v>14</v>
      </c>
      <c r="D499" s="8" t="str">
        <f>HYPERLINK("http://npthd.inbcu.com/ViewContent.aspx?filename=NPMR_ABC_2017-06-21_E.MP4$3669$3685","Gong Show, The")</f>
        <v>Gong Show, The</v>
      </c>
      <c r="E499" s="3" t="s">
        <v>64</v>
      </c>
      <c r="F499" s="3" t="s">
        <v>633</v>
      </c>
      <c r="G499" s="3" t="s">
        <v>634</v>
      </c>
    </row>
    <row r="500" spans="1:7">
      <c r="A500" s="6">
        <v>42907</v>
      </c>
      <c r="B500" s="3" t="s">
        <v>13</v>
      </c>
      <c r="C500" s="3" t="s">
        <v>32</v>
      </c>
      <c r="D500" s="8" t="str">
        <f>HYPERLINK("http://npthd.inbcu.com/ViewContent.aspx?filename=NPMR_ABC_2017-06-21_E.MP4$3685$3689","LOCAL")</f>
        <v>LOCAL</v>
      </c>
      <c r="E500" s="3" t="s">
        <v>84</v>
      </c>
      <c r="F500" s="3" t="s">
        <v>634</v>
      </c>
      <c r="G500" s="3" t="s">
        <v>635</v>
      </c>
    </row>
    <row r="501" spans="1:7">
      <c r="A501" s="6">
        <v>42907</v>
      </c>
      <c r="B501" s="3" t="s">
        <v>13</v>
      </c>
      <c r="C501" s="3" t="s">
        <v>18</v>
      </c>
      <c r="D501" s="8" t="str">
        <f>HYPERLINK("http://npthd.inbcu.com/ViewContent.aspx?filename=NPMR_ABC_2017-06-21_E.MP4$3689$3731","THE GOLDBERGS: so swayze is crazy")</f>
        <v>THE GOLDBERGS: so swayze is crazy</v>
      </c>
      <c r="E501" s="3" t="s">
        <v>512</v>
      </c>
      <c r="F501" s="3" t="s">
        <v>635</v>
      </c>
      <c r="G501" s="3" t="s">
        <v>242</v>
      </c>
    </row>
    <row r="502" spans="1:7">
      <c r="A502" s="6">
        <v>42907</v>
      </c>
      <c r="B502" s="3" t="s">
        <v>13</v>
      </c>
      <c r="C502" s="3" t="s">
        <v>14</v>
      </c>
      <c r="D502" s="8" t="str">
        <f>HYPERLINK("http://npthd.inbcu.com/ViewContent.aspx?filename=NPMR_ABC_2017-06-21_E.MP4$3731$3736","Modern Family")</f>
        <v>Modern Family</v>
      </c>
      <c r="E502" s="3" t="s">
        <v>54</v>
      </c>
      <c r="F502" s="3" t="s">
        <v>242</v>
      </c>
      <c r="G502" s="3" t="s">
        <v>243</v>
      </c>
    </row>
    <row r="503" spans="1:7">
      <c r="A503" s="6">
        <v>42907</v>
      </c>
      <c r="B503" s="3" t="s">
        <v>13</v>
      </c>
      <c r="C503" s="3" t="s">
        <v>18</v>
      </c>
      <c r="D503" s="8" t="str">
        <f>HYPERLINK("http://npthd.inbcu.com/ViewContent.aspx?filename=NPMR_ABC_2017-06-21_E.MP4$3736$4086","MODERN FAMILY: a stereotypical day")</f>
        <v>MODERN FAMILY: a stereotypical day</v>
      </c>
      <c r="E503" s="3" t="s">
        <v>636</v>
      </c>
      <c r="F503" s="3" t="s">
        <v>243</v>
      </c>
      <c r="G503" s="3" t="s">
        <v>637</v>
      </c>
    </row>
    <row r="504" spans="1:7">
      <c r="A504" s="6">
        <v>42907</v>
      </c>
      <c r="B504" s="3" t="s">
        <v>13</v>
      </c>
      <c r="C504" s="3" t="s">
        <v>21</v>
      </c>
      <c r="D504" s="8" t="str">
        <f>HYPERLINK("http://npthd.inbcu.com/ViewContent.aspx?filename=NPMR_ABC_2017-06-21_E.MP4$4086$4237","COMMERCIAL")</f>
        <v>COMMERCIAL</v>
      </c>
      <c r="E504" s="3" t="s">
        <v>91</v>
      </c>
      <c r="F504" s="3" t="s">
        <v>637</v>
      </c>
      <c r="G504" s="3" t="s">
        <v>638</v>
      </c>
    </row>
    <row r="505" spans="1:7">
      <c r="A505" s="6">
        <v>42907</v>
      </c>
      <c r="B505" s="3" t="s">
        <v>13</v>
      </c>
      <c r="C505" s="3" t="s">
        <v>14</v>
      </c>
      <c r="D505" s="8" t="str">
        <f>HYPERLINK("http://npthd.inbcu.com/ViewContent.aspx?filename=NPMR_ABC_2017-06-21_E.MP4$4237$4252","Boy Band")</f>
        <v>Boy Band</v>
      </c>
      <c r="E505" s="3" t="s">
        <v>30</v>
      </c>
      <c r="F505" s="3" t="s">
        <v>638</v>
      </c>
      <c r="G505" s="3" t="s">
        <v>639</v>
      </c>
    </row>
    <row r="506" spans="1:7">
      <c r="A506" s="6">
        <v>42907</v>
      </c>
      <c r="B506" s="3" t="s">
        <v>13</v>
      </c>
      <c r="C506" s="3" t="s">
        <v>14</v>
      </c>
      <c r="D506" s="8" t="str">
        <f>HYPERLINK("http://npthd.inbcu.com/ViewContent.aspx?filename=NPMR_ABC_2017-06-21_E.MP4$4252$4267","Gong Show, The")</f>
        <v>Gong Show, The</v>
      </c>
      <c r="E506" s="3" t="s">
        <v>30</v>
      </c>
      <c r="F506" s="3" t="s">
        <v>639</v>
      </c>
      <c r="G506" s="3" t="s">
        <v>640</v>
      </c>
    </row>
    <row r="507" spans="1:7">
      <c r="A507" s="6">
        <v>42907</v>
      </c>
      <c r="B507" s="3" t="s">
        <v>13</v>
      </c>
      <c r="C507" s="3" t="s">
        <v>18</v>
      </c>
      <c r="D507" s="8" t="str">
        <f>HYPERLINK("http://npthd.inbcu.com/ViewContent.aspx?filename=NPMR_ABC_2017-06-21_E.MP4$4267$4860","MODERN FAMILY: a stereotypical day")</f>
        <v>MODERN FAMILY: a stereotypical day</v>
      </c>
      <c r="E507" s="3" t="s">
        <v>641</v>
      </c>
      <c r="F507" s="3" t="s">
        <v>640</v>
      </c>
      <c r="G507" s="3" t="s">
        <v>642</v>
      </c>
    </row>
    <row r="508" spans="1:7">
      <c r="A508" s="6">
        <v>42907</v>
      </c>
      <c r="B508" s="3" t="s">
        <v>13</v>
      </c>
      <c r="C508" s="3" t="s">
        <v>21</v>
      </c>
      <c r="D508" s="8" t="str">
        <f>HYPERLINK("http://npthd.inbcu.com/ViewContent.aspx?filename=NPMR_ABC_2017-06-21_E.MP4$4860$4981","COMMERCIAL")</f>
        <v>COMMERCIAL</v>
      </c>
      <c r="E508" s="3" t="s">
        <v>175</v>
      </c>
      <c r="F508" s="3" t="s">
        <v>642</v>
      </c>
      <c r="G508" s="3" t="s">
        <v>643</v>
      </c>
    </row>
    <row r="509" spans="1:7">
      <c r="A509" s="6">
        <v>42907</v>
      </c>
      <c r="B509" s="3" t="s">
        <v>13</v>
      </c>
      <c r="C509" s="3" t="s">
        <v>14</v>
      </c>
      <c r="D509" s="8" t="str">
        <f>HYPERLINK("http://npthd.inbcu.com/ViewContent.aspx?filename=NPMR_ABC_2017-06-21_E.MP4$4981$4996","Boy Band")</f>
        <v>Boy Band</v>
      </c>
      <c r="E509" s="3" t="s">
        <v>30</v>
      </c>
      <c r="F509" s="3" t="s">
        <v>643</v>
      </c>
      <c r="G509" s="3" t="s">
        <v>644</v>
      </c>
    </row>
    <row r="510" spans="1:7">
      <c r="A510" s="6">
        <v>42907</v>
      </c>
      <c r="B510" s="3" t="s">
        <v>13</v>
      </c>
      <c r="C510" s="3" t="s">
        <v>14</v>
      </c>
      <c r="D510" s="8" t="str">
        <f>HYPERLINK("http://npthd.inbcu.com/ViewContent.aspx?filename=NPMR_ABC_2017-06-21_E.MP4$4996$5006","What Would You Do?")</f>
        <v>What Would You Do?</v>
      </c>
      <c r="E510" s="3" t="s">
        <v>197</v>
      </c>
      <c r="F510" s="3" t="s">
        <v>644</v>
      </c>
      <c r="G510" s="3" t="s">
        <v>645</v>
      </c>
    </row>
    <row r="511" spans="1:7">
      <c r="A511" s="6">
        <v>42907</v>
      </c>
      <c r="B511" s="3" t="s">
        <v>13</v>
      </c>
      <c r="C511" s="3" t="s">
        <v>14</v>
      </c>
      <c r="D511" s="8" t="str">
        <f>HYPERLINK("http://npthd.inbcu.com/ViewContent.aspx?filename=NPMR_ABC_2017-06-21_E.MP4$5006$5021","Battle of the Network Stars")</f>
        <v>Battle of the Network Stars</v>
      </c>
      <c r="E511" s="3" t="s">
        <v>30</v>
      </c>
      <c r="F511" s="3" t="s">
        <v>645</v>
      </c>
      <c r="G511" s="3" t="s">
        <v>646</v>
      </c>
    </row>
    <row r="512" spans="1:7">
      <c r="A512" s="6">
        <v>42907</v>
      </c>
      <c r="B512" s="3" t="s">
        <v>13</v>
      </c>
      <c r="C512" s="3" t="s">
        <v>32</v>
      </c>
      <c r="D512" s="8" t="str">
        <f>HYPERLINK("http://npthd.inbcu.com/ViewContent.aspx?filename=NPMR_ABC_2017-06-21_E.MP4$5021$5081","LOCAL")</f>
        <v>LOCAL</v>
      </c>
      <c r="E512" s="3" t="s">
        <v>66</v>
      </c>
      <c r="F512" s="3" t="s">
        <v>646</v>
      </c>
      <c r="G512" s="3" t="s">
        <v>647</v>
      </c>
    </row>
    <row r="513" spans="1:7">
      <c r="A513" s="6">
        <v>42907</v>
      </c>
      <c r="B513" s="3" t="s">
        <v>13</v>
      </c>
      <c r="C513" s="3" t="s">
        <v>18</v>
      </c>
      <c r="D513" s="8" t="str">
        <f>HYPERLINK("http://npthd.inbcu.com/ViewContent.aspx?filename=NPMR_ABC_2017-06-21_E.MP4$5081$5355","MODERN FAMILY: a stereotypical day")</f>
        <v>MODERN FAMILY: a stereotypical day</v>
      </c>
      <c r="E513" s="3" t="s">
        <v>648</v>
      </c>
      <c r="F513" s="3" t="s">
        <v>647</v>
      </c>
      <c r="G513" s="3" t="s">
        <v>649</v>
      </c>
    </row>
    <row r="514" spans="1:7">
      <c r="A514" s="6">
        <v>42907</v>
      </c>
      <c r="B514" s="3" t="s">
        <v>13</v>
      </c>
      <c r="C514" s="3" t="s">
        <v>21</v>
      </c>
      <c r="D514" s="8" t="str">
        <f>HYPERLINK("http://npthd.inbcu.com/ViewContent.aspx?filename=NPMR_ABC_2017-06-21_E.MP4$5355$5523","COMMERCIAL")</f>
        <v>COMMERCIAL</v>
      </c>
      <c r="E514" s="3" t="s">
        <v>650</v>
      </c>
      <c r="F514" s="3" t="s">
        <v>649</v>
      </c>
      <c r="G514" s="3" t="s">
        <v>651</v>
      </c>
    </row>
    <row r="515" spans="1:7">
      <c r="A515" s="6">
        <v>42907</v>
      </c>
      <c r="B515" s="3" t="s">
        <v>13</v>
      </c>
      <c r="C515" s="3" t="s">
        <v>14</v>
      </c>
      <c r="D515" s="8" t="str">
        <f>HYPERLINK("http://npthd.inbcu.com/ViewContent.aspx?filename=NPMR_ABC_2017-06-21_E.MP4$5523$5538","To Tell the Truth")</f>
        <v>To Tell the Truth</v>
      </c>
      <c r="E515" s="3" t="s">
        <v>30</v>
      </c>
      <c r="F515" s="3" t="s">
        <v>651</v>
      </c>
      <c r="G515" s="3" t="s">
        <v>652</v>
      </c>
    </row>
    <row r="516" spans="1:7">
      <c r="A516" s="6">
        <v>42907</v>
      </c>
      <c r="B516" s="3" t="s">
        <v>13</v>
      </c>
      <c r="C516" s="3" t="s">
        <v>14</v>
      </c>
      <c r="D516" s="8" t="str">
        <f>HYPERLINK("http://npthd.inbcu.com/ViewContent.aspx?filename=NPMR_ABC_2017-06-21_E.MP4$5538$5542","Boy Band")</f>
        <v>Boy Band</v>
      </c>
      <c r="E516" s="3" t="s">
        <v>84</v>
      </c>
      <c r="F516" s="3" t="s">
        <v>652</v>
      </c>
      <c r="G516" s="3" t="s">
        <v>653</v>
      </c>
    </row>
    <row r="517" spans="1:7">
      <c r="A517" s="6">
        <v>42907</v>
      </c>
      <c r="B517" s="3" t="s">
        <v>13</v>
      </c>
      <c r="C517" s="3" t="s">
        <v>18</v>
      </c>
      <c r="D517" s="8" t="str">
        <f>HYPERLINK("http://npthd.inbcu.com/ViewContent.aspx?filename=NPMR_ABC_2017-06-21_E.MP4$5542$5591","MODERN FAMILY: a stereotypical day")</f>
        <v>MODERN FAMILY: a stereotypical day</v>
      </c>
      <c r="E517" s="3" t="s">
        <v>654</v>
      </c>
      <c r="F517" s="3" t="s">
        <v>653</v>
      </c>
      <c r="G517" s="3" t="s">
        <v>655</v>
      </c>
    </row>
    <row r="518" spans="1:7">
      <c r="A518" s="6">
        <v>42907</v>
      </c>
      <c r="B518" s="3" t="s">
        <v>13</v>
      </c>
      <c r="C518" s="3" t="s">
        <v>14</v>
      </c>
      <c r="D518" s="8" t="str">
        <f>HYPERLINK("http://npthd.inbcu.com/ViewContent.aspx?filename=NPMR_ABC_2017-06-21_E.MP4$5591$5596","American Housewife")</f>
        <v>American Housewife</v>
      </c>
      <c r="E518" s="3" t="s">
        <v>54</v>
      </c>
      <c r="F518" s="3" t="s">
        <v>655</v>
      </c>
      <c r="G518" s="3" t="s">
        <v>69</v>
      </c>
    </row>
    <row r="519" spans="1:7">
      <c r="A519" s="6">
        <v>42907</v>
      </c>
      <c r="B519" s="3" t="s">
        <v>13</v>
      </c>
      <c r="C519" s="3" t="s">
        <v>18</v>
      </c>
      <c r="D519" s="8" t="str">
        <f>HYPERLINK("http://npthd.inbcu.com/ViewContent.aspx?filename=NPMR_ABC_2017-06-21_E.MP4$5596$6093","AMERICAN HOUSEWIFE: the playdate")</f>
        <v>AMERICAN HOUSEWIFE: the playdate</v>
      </c>
      <c r="E519" s="3" t="s">
        <v>656</v>
      </c>
      <c r="F519" s="3" t="s">
        <v>69</v>
      </c>
      <c r="G519" s="3" t="s">
        <v>657</v>
      </c>
    </row>
    <row r="520" spans="1:7">
      <c r="A520" s="6">
        <v>42907</v>
      </c>
      <c r="B520" s="3" t="s">
        <v>13</v>
      </c>
      <c r="C520" s="3" t="s">
        <v>21</v>
      </c>
      <c r="D520" s="8" t="str">
        <f>HYPERLINK("http://npthd.inbcu.com/ViewContent.aspx?filename=NPMR_ABC_2017-06-21_E.MP4$6093$6215","COMMERCIAL")</f>
        <v>COMMERCIAL</v>
      </c>
      <c r="E520" s="3" t="s">
        <v>252</v>
      </c>
      <c r="F520" s="3" t="s">
        <v>657</v>
      </c>
      <c r="G520" s="3" t="s">
        <v>658</v>
      </c>
    </row>
    <row r="521" spans="1:7">
      <c r="A521" s="6">
        <v>42907</v>
      </c>
      <c r="B521" s="3" t="s">
        <v>13</v>
      </c>
      <c r="C521" s="3" t="s">
        <v>14</v>
      </c>
      <c r="D521" s="8" t="str">
        <f>HYPERLINK("http://npthd.inbcu.com/ViewContent.aspx?filename=NPMR_ABC_2017-06-21_E.MP4$6215$6230","Boy Band")</f>
        <v>Boy Band</v>
      </c>
      <c r="E521" s="3" t="s">
        <v>30</v>
      </c>
      <c r="F521" s="3" t="s">
        <v>658</v>
      </c>
      <c r="G521" s="3" t="s">
        <v>659</v>
      </c>
    </row>
    <row r="522" spans="1:7">
      <c r="A522" s="6">
        <v>42907</v>
      </c>
      <c r="B522" s="3" t="s">
        <v>13</v>
      </c>
      <c r="C522" s="3" t="s">
        <v>14</v>
      </c>
      <c r="D522" s="8" t="str">
        <f>HYPERLINK("http://npthd.inbcu.com/ViewContent.aspx?filename=NPMR_ABC_2017-06-21_E.MP4$6230$6235","Gong Show, The")</f>
        <v>Gong Show, The</v>
      </c>
      <c r="E522" s="3" t="s">
        <v>54</v>
      </c>
      <c r="F522" s="3" t="s">
        <v>659</v>
      </c>
      <c r="G522" s="3" t="s">
        <v>660</v>
      </c>
    </row>
    <row r="523" spans="1:7">
      <c r="A523" s="6">
        <v>42907</v>
      </c>
      <c r="B523" s="3" t="s">
        <v>13</v>
      </c>
      <c r="C523" s="3" t="s">
        <v>18</v>
      </c>
      <c r="D523" s="8" t="str">
        <f>HYPERLINK("http://npthd.inbcu.com/ViewContent.aspx?filename=NPMR_ABC_2017-06-21_E.MP4$6235$6687","AMERICAN HOUSEWIFE: the playdate")</f>
        <v>AMERICAN HOUSEWIFE: the playdate</v>
      </c>
      <c r="E523" s="3" t="s">
        <v>194</v>
      </c>
      <c r="F523" s="3" t="s">
        <v>660</v>
      </c>
      <c r="G523" s="3" t="s">
        <v>661</v>
      </c>
    </row>
    <row r="524" spans="1:7">
      <c r="A524" s="6">
        <v>42907</v>
      </c>
      <c r="B524" s="3" t="s">
        <v>13</v>
      </c>
      <c r="C524" s="3" t="s">
        <v>21</v>
      </c>
      <c r="D524" s="8" t="str">
        <f>HYPERLINK("http://npthd.inbcu.com/ViewContent.aspx?filename=NPMR_ABC_2017-06-21_E.MP4$6687$6779","COMMERCIAL")</f>
        <v>COMMERCIAL</v>
      </c>
      <c r="E524" s="3" t="s">
        <v>267</v>
      </c>
      <c r="F524" s="3" t="s">
        <v>661</v>
      </c>
      <c r="G524" s="3" t="s">
        <v>662</v>
      </c>
    </row>
    <row r="525" spans="1:7">
      <c r="A525" s="6">
        <v>42907</v>
      </c>
      <c r="B525" s="3" t="s">
        <v>13</v>
      </c>
      <c r="C525" s="3" t="s">
        <v>14</v>
      </c>
      <c r="D525" s="8" t="str">
        <f>HYPERLINK("http://npthd.inbcu.com/ViewContent.aspx?filename=NPMR_ABC_2017-06-21_E.MP4$6779$6794","Boy Band")</f>
        <v>Boy Band</v>
      </c>
      <c r="E525" s="3" t="s">
        <v>30</v>
      </c>
      <c r="F525" s="3" t="s">
        <v>662</v>
      </c>
      <c r="G525" s="3" t="s">
        <v>663</v>
      </c>
    </row>
    <row r="526" spans="1:7">
      <c r="A526" s="6">
        <v>42907</v>
      </c>
      <c r="B526" s="3" t="s">
        <v>13</v>
      </c>
      <c r="C526" s="3" t="s">
        <v>32</v>
      </c>
      <c r="D526" s="8" t="str">
        <f>HYPERLINK("http://npthd.inbcu.com/ViewContent.aspx?filename=NPMR_ABC_2017-06-21_E.MP4$6794$6884","LOCAL")</f>
        <v>LOCAL</v>
      </c>
      <c r="E526" s="3" t="s">
        <v>46</v>
      </c>
      <c r="F526" s="3" t="s">
        <v>663</v>
      </c>
      <c r="G526" s="3" t="s">
        <v>664</v>
      </c>
    </row>
    <row r="527" spans="1:7">
      <c r="A527" s="6">
        <v>42907</v>
      </c>
      <c r="B527" s="3" t="s">
        <v>13</v>
      </c>
      <c r="C527" s="3" t="s">
        <v>18</v>
      </c>
      <c r="D527" s="8" t="str">
        <f>HYPERLINK("http://npthd.inbcu.com/ViewContent.aspx?filename=NPMR_ABC_2017-06-21_E.MP4$6884$7120","AMERICAN HOUSEWIFE: the playdate")</f>
        <v>AMERICAN HOUSEWIFE: the playdate</v>
      </c>
      <c r="E527" s="3" t="s">
        <v>665</v>
      </c>
      <c r="F527" s="3" t="s">
        <v>664</v>
      </c>
      <c r="G527" s="3" t="s">
        <v>666</v>
      </c>
    </row>
    <row r="528" spans="1:7">
      <c r="A528" s="6">
        <v>42907</v>
      </c>
      <c r="B528" s="3" t="s">
        <v>13</v>
      </c>
      <c r="C528" s="3" t="s">
        <v>14</v>
      </c>
      <c r="D528" s="8" t="str">
        <f>HYPERLINK("http://npthd.inbcu.com/ViewContent.aspx?filename=NPMR_ABC_2017-06-21_E.MP4$7120$7126","Gong Show, The")</f>
        <v>Gong Show, The</v>
      </c>
      <c r="E528" s="3" t="s">
        <v>15</v>
      </c>
      <c r="F528" s="3" t="s">
        <v>666</v>
      </c>
      <c r="G528" s="3" t="s">
        <v>667</v>
      </c>
    </row>
    <row r="529" spans="1:7">
      <c r="A529" s="6">
        <v>42907</v>
      </c>
      <c r="B529" s="3" t="s">
        <v>13</v>
      </c>
      <c r="C529" s="3" t="s">
        <v>21</v>
      </c>
      <c r="D529" s="8" t="str">
        <f>HYPERLINK("http://npthd.inbcu.com/ViewContent.aspx?filename=NPMR_ABC_2017-06-21_E.MP4$7126$7262","COMMERCIAL")</f>
        <v>COMMERCIAL</v>
      </c>
      <c r="E529" s="3" t="s">
        <v>668</v>
      </c>
      <c r="F529" s="3" t="s">
        <v>667</v>
      </c>
      <c r="G529" s="3" t="s">
        <v>669</v>
      </c>
    </row>
    <row r="530" spans="1:7">
      <c r="A530" s="6">
        <v>42907</v>
      </c>
      <c r="B530" s="3" t="s">
        <v>13</v>
      </c>
      <c r="C530" s="3" t="s">
        <v>32</v>
      </c>
      <c r="D530" s="8" t="str">
        <f>HYPERLINK("http://npthd.inbcu.com/ViewContent.aspx?filename=NPMR_ABC_2017-06-21_E.MP4$7262$7281","LOCAL")</f>
        <v>LOCAL</v>
      </c>
      <c r="E530" s="3" t="s">
        <v>670</v>
      </c>
      <c r="F530" s="3" t="s">
        <v>669</v>
      </c>
      <c r="G530" s="3" t="s">
        <v>671</v>
      </c>
    </row>
    <row r="531" spans="1:7">
      <c r="A531" s="6">
        <v>42907</v>
      </c>
      <c r="B531" s="3" t="s">
        <v>13</v>
      </c>
      <c r="C531" s="3" t="s">
        <v>18</v>
      </c>
      <c r="D531" s="8" t="str">
        <f>HYPERLINK("http://npthd.inbcu.com/ViewContent.aspx?filename=NPMR_ABC_2017-06-21_E.MP4$7281$7331","AMERICAN HOUSEWIFE: the playdate")</f>
        <v>AMERICAN HOUSEWIFE: the playdate</v>
      </c>
      <c r="E531" s="3" t="s">
        <v>672</v>
      </c>
      <c r="F531" s="3" t="s">
        <v>671</v>
      </c>
      <c r="G531" s="3" t="s">
        <v>394</v>
      </c>
    </row>
    <row r="532" spans="1:7">
      <c r="A532" s="6">
        <v>42907</v>
      </c>
      <c r="B532" s="3" t="s">
        <v>13</v>
      </c>
      <c r="C532" s="3" t="s">
        <v>14</v>
      </c>
      <c r="D532" s="8" t="str">
        <f>HYPERLINK("http://npthd.inbcu.com/ViewContent.aspx?filename=NPMR_ABC_2017-06-21_E.MP4$7331$7336","To Tell the Truth")</f>
        <v>To Tell the Truth</v>
      </c>
      <c r="E532" s="3" t="s">
        <v>54</v>
      </c>
      <c r="F532" s="3" t="s">
        <v>394</v>
      </c>
      <c r="G532" s="3" t="s">
        <v>395</v>
      </c>
    </row>
    <row r="533" spans="1:7">
      <c r="A533" s="6">
        <v>42907</v>
      </c>
      <c r="B533" s="3" t="s">
        <v>13</v>
      </c>
      <c r="C533" s="3" t="s">
        <v>18</v>
      </c>
      <c r="D533" s="8" t="str">
        <f>HYPERLINK("http://npthd.inbcu.com/ViewContent.aspx?filename=NPMR_ABC_2017-06-21_E.MP4$7336$7905","TO TELL THE TRUTH: justin long, arielle kebbel, nikki")</f>
        <v>TO TELL THE TRUTH: justin long, arielle kebbel, nikki</v>
      </c>
      <c r="E533" s="3" t="s">
        <v>673</v>
      </c>
      <c r="F533" s="3" t="s">
        <v>395</v>
      </c>
      <c r="G533" s="3" t="s">
        <v>674</v>
      </c>
    </row>
    <row r="534" spans="1:7">
      <c r="A534" s="6">
        <v>42907</v>
      </c>
      <c r="B534" s="3" t="s">
        <v>13</v>
      </c>
      <c r="C534" s="3" t="s">
        <v>21</v>
      </c>
      <c r="D534" s="8" t="str">
        <f>HYPERLINK("http://npthd.inbcu.com/ViewContent.aspx?filename=NPMR_ABC_2017-06-21_E.MP4$7905$8055","COMMERCIAL")</f>
        <v>COMMERCIAL</v>
      </c>
      <c r="E534" s="3" t="s">
        <v>28</v>
      </c>
      <c r="F534" s="3" t="s">
        <v>674</v>
      </c>
      <c r="G534" s="3" t="s">
        <v>675</v>
      </c>
    </row>
    <row r="535" spans="1:7">
      <c r="A535" s="6">
        <v>42907</v>
      </c>
      <c r="B535" s="3" t="s">
        <v>13</v>
      </c>
      <c r="C535" s="3" t="s">
        <v>14</v>
      </c>
      <c r="D535" s="8" t="str">
        <f>HYPERLINK("http://npthd.inbcu.com/ViewContent.aspx?filename=NPMR_ABC_2017-06-21_E.MP4$8055$8085","Boy Band")</f>
        <v>Boy Band</v>
      </c>
      <c r="E535" s="3" t="s">
        <v>38</v>
      </c>
      <c r="F535" s="3" t="s">
        <v>675</v>
      </c>
      <c r="G535" s="3" t="s">
        <v>676</v>
      </c>
    </row>
    <row r="536" spans="1:7">
      <c r="A536" s="6">
        <v>42907</v>
      </c>
      <c r="B536" s="3" t="s">
        <v>13</v>
      </c>
      <c r="C536" s="3" t="s">
        <v>14</v>
      </c>
      <c r="D536" s="8" t="str">
        <f>HYPERLINK("http://npthd.inbcu.com/ViewContent.aspx?filename=NPMR_ABC_2017-06-21_E.MP4$8085$8115","Gong Show, The")</f>
        <v>Gong Show, The</v>
      </c>
      <c r="E536" s="3" t="s">
        <v>38</v>
      </c>
      <c r="F536" s="3" t="s">
        <v>676</v>
      </c>
      <c r="G536" s="3" t="s">
        <v>677</v>
      </c>
    </row>
    <row r="537" spans="1:7">
      <c r="A537" s="6">
        <v>42907</v>
      </c>
      <c r="B537" s="3" t="s">
        <v>13</v>
      </c>
      <c r="C537" s="3" t="s">
        <v>18</v>
      </c>
      <c r="D537" s="8" t="str">
        <f>HYPERLINK("http://npthd.inbcu.com/ViewContent.aspx?filename=NPMR_ABC_2017-06-21_E.MP4$8115$8583","TO TELL THE TRUTH: justin long, arielle kebbel, nikki")</f>
        <v>TO TELL THE TRUTH: justin long, arielle kebbel, nikki</v>
      </c>
      <c r="E537" s="3" t="s">
        <v>678</v>
      </c>
      <c r="F537" s="3" t="s">
        <v>677</v>
      </c>
      <c r="G537" s="3" t="s">
        <v>679</v>
      </c>
    </row>
    <row r="538" spans="1:7">
      <c r="A538" s="6">
        <v>42907</v>
      </c>
      <c r="B538" s="3" t="s">
        <v>13</v>
      </c>
      <c r="C538" s="3" t="s">
        <v>21</v>
      </c>
      <c r="D538" s="8" t="str">
        <f>HYPERLINK("http://npthd.inbcu.com/ViewContent.aspx?filename=NPMR_ABC_2017-06-21_E.MP4$8583$8763","COMMERCIAL")</f>
        <v>COMMERCIAL</v>
      </c>
      <c r="E538" s="3" t="s">
        <v>22</v>
      </c>
      <c r="F538" s="3" t="s">
        <v>679</v>
      </c>
      <c r="G538" s="3" t="s">
        <v>680</v>
      </c>
    </row>
    <row r="539" spans="1:7">
      <c r="A539" s="6">
        <v>42907</v>
      </c>
      <c r="B539" s="3" t="s">
        <v>13</v>
      </c>
      <c r="C539" s="3" t="s">
        <v>14</v>
      </c>
      <c r="D539" s="8" t="str">
        <f>HYPERLINK("http://npthd.inbcu.com/ViewContent.aspx?filename=NPMR_ABC_2017-06-21_E.MP4$8763$8773","What Would You Do?")</f>
        <v>What Would You Do?</v>
      </c>
      <c r="E539" s="3" t="s">
        <v>197</v>
      </c>
      <c r="F539" s="3" t="s">
        <v>680</v>
      </c>
      <c r="G539" s="3" t="s">
        <v>681</v>
      </c>
    </row>
    <row r="540" spans="1:7">
      <c r="A540" s="6">
        <v>42907</v>
      </c>
      <c r="B540" s="3" t="s">
        <v>13</v>
      </c>
      <c r="C540" s="3" t="s">
        <v>14</v>
      </c>
      <c r="D540" s="8" t="str">
        <f>HYPERLINK("http://npthd.inbcu.com/ViewContent.aspx?filename=NPMR_ABC_2017-06-21_E.MP4$8773$8788","Celebrity Family Feud")</f>
        <v>Celebrity Family Feud</v>
      </c>
      <c r="E540" s="3" t="s">
        <v>30</v>
      </c>
      <c r="F540" s="3" t="s">
        <v>681</v>
      </c>
      <c r="G540" s="3" t="s">
        <v>682</v>
      </c>
    </row>
    <row r="541" spans="1:7">
      <c r="A541" s="6">
        <v>42907</v>
      </c>
      <c r="B541" s="3" t="s">
        <v>13</v>
      </c>
      <c r="C541" s="3" t="s">
        <v>14</v>
      </c>
      <c r="D541" s="8" t="str">
        <f>HYPERLINK("http://npthd.inbcu.com/ViewContent.aspx?filename=NPMR_ABC_2017-06-21_E.MP4$8788$8793","Battle of the Network Stars")</f>
        <v>Battle of the Network Stars</v>
      </c>
      <c r="E541" s="3" t="s">
        <v>54</v>
      </c>
      <c r="F541" s="3" t="s">
        <v>682</v>
      </c>
      <c r="G541" s="3" t="s">
        <v>683</v>
      </c>
    </row>
    <row r="542" spans="1:7">
      <c r="A542" s="6">
        <v>42907</v>
      </c>
      <c r="B542" s="3" t="s">
        <v>13</v>
      </c>
      <c r="C542" s="3" t="s">
        <v>18</v>
      </c>
      <c r="D542" s="8" t="str">
        <f>HYPERLINK("http://npthd.inbcu.com/ViewContent.aspx?filename=NPMR_ABC_2017-06-21_E.MP4$8793$9153","TO TELL THE TRUTH: justin long, arielle kebbel, nikki")</f>
        <v>TO TELL THE TRUTH: justin long, arielle kebbel, nikki</v>
      </c>
      <c r="E542" s="3" t="s">
        <v>190</v>
      </c>
      <c r="F542" s="3" t="s">
        <v>683</v>
      </c>
      <c r="G542" s="3" t="s">
        <v>684</v>
      </c>
    </row>
    <row r="543" spans="1:7">
      <c r="A543" s="6">
        <v>42907</v>
      </c>
      <c r="B543" s="3" t="s">
        <v>13</v>
      </c>
      <c r="C543" s="3" t="s">
        <v>21</v>
      </c>
      <c r="D543" s="8" t="str">
        <f>HYPERLINK("http://npthd.inbcu.com/ViewContent.aspx?filename=NPMR_ABC_2017-06-21_E.MP4$9153$9258","COMMERCIAL")</f>
        <v>COMMERCIAL</v>
      </c>
      <c r="E543" s="3" t="s">
        <v>199</v>
      </c>
      <c r="F543" s="3" t="s">
        <v>684</v>
      </c>
      <c r="G543" s="3" t="s">
        <v>685</v>
      </c>
    </row>
    <row r="544" spans="1:7">
      <c r="A544" s="6">
        <v>42907</v>
      </c>
      <c r="B544" s="3" t="s">
        <v>13</v>
      </c>
      <c r="C544" s="3" t="s">
        <v>14</v>
      </c>
      <c r="D544" s="8" t="str">
        <f>HYPERLINK("http://npthd.inbcu.com/ViewContent.aspx?filename=NPMR_ABC_2017-06-21_E.MP4$9258$9274","Boy Band")</f>
        <v>Boy Band</v>
      </c>
      <c r="E544" s="3" t="s">
        <v>64</v>
      </c>
      <c r="F544" s="3" t="s">
        <v>685</v>
      </c>
      <c r="G544" s="3" t="s">
        <v>686</v>
      </c>
    </row>
    <row r="545" spans="1:7">
      <c r="A545" s="6">
        <v>42907</v>
      </c>
      <c r="B545" s="3" t="s">
        <v>13</v>
      </c>
      <c r="C545" s="3" t="s">
        <v>32</v>
      </c>
      <c r="D545" s="8" t="str">
        <f>HYPERLINK("http://npthd.inbcu.com/ViewContent.aspx?filename=NPMR_ABC_2017-06-21_E.MP4$9274$9379","LOCAL")</f>
        <v>LOCAL</v>
      </c>
      <c r="E545" s="3" t="s">
        <v>199</v>
      </c>
      <c r="F545" s="3" t="s">
        <v>686</v>
      </c>
      <c r="G545" s="3" t="s">
        <v>687</v>
      </c>
    </row>
    <row r="546" spans="1:7">
      <c r="A546" s="6">
        <v>42907</v>
      </c>
      <c r="B546" s="3" t="s">
        <v>13</v>
      </c>
      <c r="C546" s="3" t="s">
        <v>18</v>
      </c>
      <c r="D546" s="8" t="str">
        <f>HYPERLINK("http://npthd.inbcu.com/ViewContent.aspx?filename=NPMR_ABC_2017-06-21_E.MP4$9379$9766","TO TELL THE TRUTH: justin long, arielle kebbel, nikki")</f>
        <v>TO TELL THE TRUTH: justin long, arielle kebbel, nikki</v>
      </c>
      <c r="E546" s="3" t="s">
        <v>688</v>
      </c>
      <c r="F546" s="3" t="s">
        <v>687</v>
      </c>
      <c r="G546" s="3" t="s">
        <v>689</v>
      </c>
    </row>
    <row r="547" spans="1:7">
      <c r="A547" s="6">
        <v>42907</v>
      </c>
      <c r="B547" s="3" t="s">
        <v>13</v>
      </c>
      <c r="C547" s="3" t="s">
        <v>21</v>
      </c>
      <c r="D547" s="8" t="str">
        <f>HYPERLINK("http://npthd.inbcu.com/ViewContent.aspx?filename=NPMR_ABC_2017-06-21_E.MP4$9766$9901","COMMERCIAL")</f>
        <v>COMMERCIAL</v>
      </c>
      <c r="E547" s="3" t="s">
        <v>459</v>
      </c>
      <c r="F547" s="3" t="s">
        <v>689</v>
      </c>
      <c r="G547" s="3" t="s">
        <v>690</v>
      </c>
    </row>
    <row r="548" spans="1:7">
      <c r="A548" s="6">
        <v>42907</v>
      </c>
      <c r="B548" s="3" t="s">
        <v>13</v>
      </c>
      <c r="C548" s="3" t="s">
        <v>14</v>
      </c>
      <c r="D548" s="8" t="str">
        <f>HYPERLINK("http://npthd.inbcu.com/ViewContent.aspx?filename=NPMR_ABC_2017-06-21_E.MP4$9901$9916","Boy Band")</f>
        <v>Boy Band</v>
      </c>
      <c r="E548" s="3" t="s">
        <v>30</v>
      </c>
      <c r="F548" s="3" t="s">
        <v>690</v>
      </c>
      <c r="G548" s="3" t="s">
        <v>691</v>
      </c>
    </row>
    <row r="549" spans="1:7">
      <c r="A549" s="6">
        <v>42907</v>
      </c>
      <c r="B549" s="3" t="s">
        <v>13</v>
      </c>
      <c r="C549" s="3" t="s">
        <v>32</v>
      </c>
      <c r="D549" s="8" t="str">
        <f>HYPERLINK("http://npthd.inbcu.com/ViewContent.aspx?filename=NPMR_ABC_2017-06-21_E.MP4$9916$10006","LOCAL")</f>
        <v>LOCAL</v>
      </c>
      <c r="E549" s="3" t="s">
        <v>46</v>
      </c>
      <c r="F549" s="3" t="s">
        <v>691</v>
      </c>
      <c r="G549" s="3" t="s">
        <v>692</v>
      </c>
    </row>
    <row r="550" spans="1:7">
      <c r="A550" s="6">
        <v>42907</v>
      </c>
      <c r="B550" s="3" t="s">
        <v>13</v>
      </c>
      <c r="C550" s="3" t="s">
        <v>18</v>
      </c>
      <c r="D550" s="8" t="str">
        <f>HYPERLINK("http://npthd.inbcu.com/ViewContent.aspx?filename=NPMR_ABC_2017-06-21_E.MP4$10006$10441","TO TELL THE TRUTH: justin long, arielle kebbel, nikki")</f>
        <v>TO TELL THE TRUTH: justin long, arielle kebbel, nikki</v>
      </c>
      <c r="E550" s="3" t="s">
        <v>415</v>
      </c>
      <c r="F550" s="3" t="s">
        <v>692</v>
      </c>
      <c r="G550" s="3" t="s">
        <v>693</v>
      </c>
    </row>
    <row r="551" spans="1:7">
      <c r="A551" s="6">
        <v>42907</v>
      </c>
      <c r="B551" s="3" t="s">
        <v>13</v>
      </c>
      <c r="C551" s="3" t="s">
        <v>32</v>
      </c>
      <c r="D551" s="8" t="str">
        <f>HYPERLINK("http://npthd.inbcu.com/ViewContent.aspx?filename=NPMR_ABC_2017-06-21_E.MP4$10441$10457","LOCAL")</f>
        <v>LOCAL</v>
      </c>
      <c r="E551" s="3" t="s">
        <v>64</v>
      </c>
      <c r="F551" s="3" t="s">
        <v>693</v>
      </c>
      <c r="G551" s="3" t="s">
        <v>694</v>
      </c>
    </row>
    <row r="552" spans="1:7">
      <c r="A552" s="6">
        <v>42907</v>
      </c>
      <c r="B552" s="3" t="s">
        <v>13</v>
      </c>
      <c r="C552" s="3" t="s">
        <v>21</v>
      </c>
      <c r="D552" s="8" t="str">
        <f>HYPERLINK("http://npthd.inbcu.com/ViewContent.aspx?filename=NPMR_ABC_2017-06-21_E.MP4$10457$10608","COMMERCIAL")</f>
        <v>COMMERCIAL</v>
      </c>
      <c r="E552" s="3" t="s">
        <v>91</v>
      </c>
      <c r="F552" s="3" t="s">
        <v>694</v>
      </c>
      <c r="G552" s="3" t="s">
        <v>695</v>
      </c>
    </row>
    <row r="553" spans="1:7">
      <c r="A553" s="6">
        <v>42907</v>
      </c>
      <c r="B553" s="3" t="s">
        <v>13</v>
      </c>
      <c r="C553" s="3" t="s">
        <v>14</v>
      </c>
      <c r="D553" s="8" t="str">
        <f>HYPERLINK("http://npthd.inbcu.com/ViewContent.aspx?filename=NPMR_ABC_2017-06-21_E.MP4$10608$10624","Jimmy Kimmel Live!")</f>
        <v>Jimmy Kimmel Live!</v>
      </c>
      <c r="E553" s="3" t="s">
        <v>64</v>
      </c>
      <c r="F553" s="3" t="s">
        <v>695</v>
      </c>
      <c r="G553" s="3" t="s">
        <v>696</v>
      </c>
    </row>
    <row r="554" spans="1:7">
      <c r="A554" s="6">
        <v>42907</v>
      </c>
      <c r="B554" s="3" t="s">
        <v>13</v>
      </c>
      <c r="C554" s="3" t="s">
        <v>18</v>
      </c>
      <c r="D554" s="8" t="str">
        <f>HYPERLINK("http://npthd.inbcu.com/ViewContent.aspx?filename=NPMR_ABC_2017-06-21_E.MP4$10624$10917","TO TELL THE TRUTH: justin long, arielle kebbel, nikki")</f>
        <v>TO TELL THE TRUTH: justin long, arielle kebbel, nikki</v>
      </c>
      <c r="E554" s="3" t="s">
        <v>697</v>
      </c>
      <c r="F554" s="3" t="s">
        <v>696</v>
      </c>
      <c r="G554" s="3" t="s">
        <v>698</v>
      </c>
    </row>
    <row r="555" spans="1:7">
      <c r="A555" s="6">
        <v>42907</v>
      </c>
      <c r="B555" s="3" t="s">
        <v>13</v>
      </c>
      <c r="C555" s="3" t="s">
        <v>32</v>
      </c>
      <c r="D555" s="8" t="str">
        <f>HYPERLINK("http://npthd.inbcu.com/ViewContent.aspx?filename=NPMR_ABC_2017-06-21_E.MP4$10917$10931","LOCAL")</f>
        <v>LOCAL</v>
      </c>
      <c r="E555" s="3" t="s">
        <v>342</v>
      </c>
      <c r="F555" s="3" t="s">
        <v>698</v>
      </c>
      <c r="G555" s="3" t="s">
        <v>124</v>
      </c>
    </row>
    <row r="556" spans="1:7">
      <c r="A556" s="6">
        <v>42908</v>
      </c>
      <c r="B556" s="3" t="s">
        <v>13</v>
      </c>
      <c r="C556" s="3" t="s">
        <v>14</v>
      </c>
      <c r="D556" s="8" t="str">
        <f>HYPERLINK("http://npthd.inbcu.com/ViewContent.aspx?filename=NPMR_ABC_2017-06-22_E.MP4$129$134","ABC Open")</f>
        <v>ABC Open</v>
      </c>
      <c r="E556" s="3" t="s">
        <v>54</v>
      </c>
      <c r="F556" s="3" t="s">
        <v>16</v>
      </c>
      <c r="G556" s="3" t="s">
        <v>125</v>
      </c>
    </row>
    <row r="557" spans="1:7">
      <c r="A557" s="6">
        <v>42908</v>
      </c>
      <c r="B557" s="3" t="s">
        <v>13</v>
      </c>
      <c r="C557" s="3" t="s">
        <v>18</v>
      </c>
      <c r="D557" s="8" t="str">
        <f>HYPERLINK("http://npthd.inbcu.com/ViewContent.aspx?filename=NPMR_ABC_2017-06-22_E.MP4$134$764","BOY BAND: meet the boys")</f>
        <v>BOY BAND: meet the boys</v>
      </c>
      <c r="E557" s="3" t="s">
        <v>699</v>
      </c>
      <c r="F557" s="3" t="s">
        <v>125</v>
      </c>
      <c r="G557" s="3" t="s">
        <v>700</v>
      </c>
    </row>
    <row r="558" spans="1:7">
      <c r="A558" s="6">
        <v>42908</v>
      </c>
      <c r="B558" s="3" t="s">
        <v>13</v>
      </c>
      <c r="C558" s="3" t="s">
        <v>21</v>
      </c>
      <c r="D558" s="8" t="str">
        <f>HYPERLINK("http://npthd.inbcu.com/ViewContent.aspx?filename=NPMR_ABC_2017-06-22_E.MP4$764$854","COMMERCIAL")</f>
        <v>COMMERCIAL</v>
      </c>
      <c r="E558" s="3" t="s">
        <v>46</v>
      </c>
      <c r="F558" s="3" t="s">
        <v>700</v>
      </c>
      <c r="G558" s="3" t="s">
        <v>701</v>
      </c>
    </row>
    <row r="559" spans="1:7">
      <c r="A559" s="6">
        <v>42908</v>
      </c>
      <c r="B559" s="3" t="s">
        <v>13</v>
      </c>
      <c r="C559" s="3" t="s">
        <v>14</v>
      </c>
      <c r="D559" s="8" t="str">
        <f>HYPERLINK("http://npthd.inbcu.com/ViewContent.aspx?filename=NPMR_ABC_2017-06-22_E.MP4$854$884","Gong Show, The")</f>
        <v>Gong Show, The</v>
      </c>
      <c r="E559" s="3" t="s">
        <v>38</v>
      </c>
      <c r="F559" s="3" t="s">
        <v>701</v>
      </c>
      <c r="G559" s="3" t="s">
        <v>702</v>
      </c>
    </row>
    <row r="560" spans="1:7">
      <c r="A560" s="6">
        <v>42908</v>
      </c>
      <c r="B560" s="3" t="s">
        <v>13</v>
      </c>
      <c r="C560" s="3" t="s">
        <v>14</v>
      </c>
      <c r="D560" s="8" t="str">
        <f>HYPERLINK("http://npthd.inbcu.com/ViewContent.aspx?filename=NPMR_ABC_2017-06-22_E.MP4$884$914","Battle of the Network Stars")</f>
        <v>Battle of the Network Stars</v>
      </c>
      <c r="E560" s="3" t="s">
        <v>38</v>
      </c>
      <c r="F560" s="3" t="s">
        <v>702</v>
      </c>
      <c r="G560" s="3" t="s">
        <v>703</v>
      </c>
    </row>
    <row r="561" spans="1:7">
      <c r="A561" s="6">
        <v>42908</v>
      </c>
      <c r="B561" s="3" t="s">
        <v>13</v>
      </c>
      <c r="C561" s="3" t="s">
        <v>18</v>
      </c>
      <c r="D561" s="8" t="str">
        <f>HYPERLINK("http://npthd.inbcu.com/ViewContent.aspx?filename=NPMR_ABC_2017-06-22_E.MP4$914$1623","BOY BAND: meet the boys")</f>
        <v>BOY BAND: meet the boys</v>
      </c>
      <c r="E561" s="3" t="s">
        <v>704</v>
      </c>
      <c r="F561" s="3" t="s">
        <v>703</v>
      </c>
      <c r="G561" s="3" t="s">
        <v>705</v>
      </c>
    </row>
    <row r="562" spans="1:7">
      <c r="A562" s="6">
        <v>42908</v>
      </c>
      <c r="B562" s="3" t="s">
        <v>13</v>
      </c>
      <c r="C562" s="3" t="s">
        <v>21</v>
      </c>
      <c r="D562" s="8" t="str">
        <f>HYPERLINK("http://npthd.inbcu.com/ViewContent.aspx?filename=NPMR_ABC_2017-06-22_E.MP4$1623$1743","COMMERCIAL")</f>
        <v>COMMERCIAL</v>
      </c>
      <c r="E562" s="3" t="s">
        <v>43</v>
      </c>
      <c r="F562" s="3" t="s">
        <v>705</v>
      </c>
      <c r="G562" s="3" t="s">
        <v>706</v>
      </c>
    </row>
    <row r="563" spans="1:7">
      <c r="A563" s="6">
        <v>42908</v>
      </c>
      <c r="B563" s="3" t="s">
        <v>13</v>
      </c>
      <c r="C563" s="3" t="s">
        <v>14</v>
      </c>
      <c r="D563" s="8" t="str">
        <f>HYPERLINK("http://npthd.inbcu.com/ViewContent.aspx?filename=NPMR_ABC_2017-06-22_E.MP4$1743$1773","ABC Sunday")</f>
        <v>ABC Sunday</v>
      </c>
      <c r="E563" s="3" t="s">
        <v>38</v>
      </c>
      <c r="F563" s="3" t="s">
        <v>706</v>
      </c>
      <c r="G563" s="3" t="s">
        <v>707</v>
      </c>
    </row>
    <row r="564" spans="1:7">
      <c r="A564" s="6">
        <v>42908</v>
      </c>
      <c r="B564" s="3" t="s">
        <v>13</v>
      </c>
      <c r="C564" s="3" t="s">
        <v>32</v>
      </c>
      <c r="D564" s="8" t="str">
        <f>HYPERLINK("http://npthd.inbcu.com/ViewContent.aspx?filename=NPMR_ABC_2017-06-22_E.MP4$1773$1834","LOCAL")</f>
        <v>LOCAL</v>
      </c>
      <c r="E564" s="3" t="s">
        <v>33</v>
      </c>
      <c r="F564" s="3" t="s">
        <v>707</v>
      </c>
      <c r="G564" s="3" t="s">
        <v>708</v>
      </c>
    </row>
    <row r="565" spans="1:7">
      <c r="A565" s="6">
        <v>42908</v>
      </c>
      <c r="B565" s="3" t="s">
        <v>13</v>
      </c>
      <c r="C565" s="3" t="s">
        <v>18</v>
      </c>
      <c r="D565" s="8" t="str">
        <f>HYPERLINK("http://npthd.inbcu.com/ViewContent.aspx?filename=NPMR_ABC_2017-06-22_E.MP4$1834$2302","BOY BAND: meet the boys")</f>
        <v>BOY BAND: meet the boys</v>
      </c>
      <c r="E565" s="3" t="s">
        <v>678</v>
      </c>
      <c r="F565" s="3" t="s">
        <v>708</v>
      </c>
      <c r="G565" s="3" t="s">
        <v>709</v>
      </c>
    </row>
    <row r="566" spans="1:7">
      <c r="A566" s="6">
        <v>42908</v>
      </c>
      <c r="B566" s="3" t="s">
        <v>13</v>
      </c>
      <c r="C566" s="3" t="s">
        <v>21</v>
      </c>
      <c r="D566" s="8" t="str">
        <f>HYPERLINK("http://npthd.inbcu.com/ViewContent.aspx?filename=NPMR_ABC_2017-06-22_E.MP4$2302$2482","COMMERCIAL")</f>
        <v>COMMERCIAL</v>
      </c>
      <c r="E566" s="3" t="s">
        <v>22</v>
      </c>
      <c r="F566" s="3" t="s">
        <v>709</v>
      </c>
      <c r="G566" s="3" t="s">
        <v>710</v>
      </c>
    </row>
    <row r="567" spans="1:7">
      <c r="A567" s="6">
        <v>42908</v>
      </c>
      <c r="B567" s="3" t="s">
        <v>13</v>
      </c>
      <c r="C567" s="3" t="s">
        <v>14</v>
      </c>
      <c r="D567" s="8" t="str">
        <f>HYPERLINK("http://npthd.inbcu.com/ViewContent.aspx?filename=NPMR_ABC_2017-06-22_E.MP4$2482$2492","What Would You Do?")</f>
        <v>What Would You Do?</v>
      </c>
      <c r="E567" s="3" t="s">
        <v>197</v>
      </c>
      <c r="F567" s="3" t="s">
        <v>710</v>
      </c>
      <c r="G567" s="3" t="s">
        <v>711</v>
      </c>
    </row>
    <row r="568" spans="1:7">
      <c r="A568" s="6">
        <v>42908</v>
      </c>
      <c r="B568" s="3" t="s">
        <v>13</v>
      </c>
      <c r="C568" s="3" t="s">
        <v>14</v>
      </c>
      <c r="D568" s="8" t="str">
        <f>HYPERLINK("http://npthd.inbcu.com/ViewContent.aspx?filename=NPMR_ABC_2017-06-22_E.MP4$2492$2507","Gong Show, The")</f>
        <v>Gong Show, The</v>
      </c>
      <c r="E568" s="3" t="s">
        <v>30</v>
      </c>
      <c r="F568" s="3" t="s">
        <v>711</v>
      </c>
      <c r="G568" s="3" t="s">
        <v>712</v>
      </c>
    </row>
    <row r="569" spans="1:7">
      <c r="A569" s="6">
        <v>42908</v>
      </c>
      <c r="B569" s="3" t="s">
        <v>13</v>
      </c>
      <c r="C569" s="3" t="s">
        <v>18</v>
      </c>
      <c r="D569" s="8" t="str">
        <f>HYPERLINK("http://npthd.inbcu.com/ViewContent.aspx?filename=NPMR_ABC_2017-06-22_E.MP4$2507$2854","BOY BAND: meet the boys")</f>
        <v>BOY BAND: meet the boys</v>
      </c>
      <c r="E569" s="3" t="s">
        <v>713</v>
      </c>
      <c r="F569" s="3" t="s">
        <v>712</v>
      </c>
      <c r="G569" s="3" t="s">
        <v>714</v>
      </c>
    </row>
    <row r="570" spans="1:7">
      <c r="A570" s="6">
        <v>42908</v>
      </c>
      <c r="B570" s="3" t="s">
        <v>13</v>
      </c>
      <c r="C570" s="3" t="s">
        <v>21</v>
      </c>
      <c r="D570" s="8" t="str">
        <f>HYPERLINK("http://npthd.inbcu.com/ViewContent.aspx?filename=NPMR_ABC_2017-06-22_E.MP4$2854$2944","COMMERCIAL")</f>
        <v>COMMERCIAL</v>
      </c>
      <c r="E570" s="3" t="s">
        <v>46</v>
      </c>
      <c r="F570" s="3" t="s">
        <v>714</v>
      </c>
      <c r="G570" s="3" t="s">
        <v>715</v>
      </c>
    </row>
    <row r="571" spans="1:7">
      <c r="A571" s="6">
        <v>42908</v>
      </c>
      <c r="B571" s="3" t="s">
        <v>13</v>
      </c>
      <c r="C571" s="3" t="s">
        <v>14</v>
      </c>
      <c r="D571" s="8" t="str">
        <f>HYPERLINK("http://npthd.inbcu.com/ViewContent.aspx?filename=NPMR_ABC_2017-06-22_E.MP4$2944$2974","Bachelorette")</f>
        <v>Bachelorette</v>
      </c>
      <c r="E571" s="3" t="s">
        <v>38</v>
      </c>
      <c r="F571" s="3" t="s">
        <v>715</v>
      </c>
      <c r="G571" s="3" t="s">
        <v>716</v>
      </c>
    </row>
    <row r="572" spans="1:7">
      <c r="A572" s="6">
        <v>42908</v>
      </c>
      <c r="B572" s="3" t="s">
        <v>13</v>
      </c>
      <c r="C572" s="3" t="s">
        <v>32</v>
      </c>
      <c r="D572" s="8" t="str">
        <f>HYPERLINK("http://npthd.inbcu.com/ViewContent.aspx?filename=NPMR_ABC_2017-06-22_E.MP4$2974$3064","LOCAL")</f>
        <v>LOCAL</v>
      </c>
      <c r="E572" s="3" t="s">
        <v>46</v>
      </c>
      <c r="F572" s="3" t="s">
        <v>716</v>
      </c>
      <c r="G572" s="3" t="s">
        <v>717</v>
      </c>
    </row>
    <row r="573" spans="1:7">
      <c r="A573" s="6">
        <v>42908</v>
      </c>
      <c r="B573" s="3" t="s">
        <v>13</v>
      </c>
      <c r="C573" s="3" t="s">
        <v>18</v>
      </c>
      <c r="D573" s="8" t="str">
        <f>HYPERLINK("http://npthd.inbcu.com/ViewContent.aspx?filename=NPMR_ABC_2017-06-22_E.MP4$3064$3350","BOY BAND: meet the boys")</f>
        <v>BOY BAND: meet the boys</v>
      </c>
      <c r="E573" s="3" t="s">
        <v>490</v>
      </c>
      <c r="F573" s="3" t="s">
        <v>717</v>
      </c>
      <c r="G573" s="3" t="s">
        <v>718</v>
      </c>
    </row>
    <row r="574" spans="1:7">
      <c r="A574" s="6">
        <v>42908</v>
      </c>
      <c r="B574" s="3" t="s">
        <v>13</v>
      </c>
      <c r="C574" s="3" t="s">
        <v>21</v>
      </c>
      <c r="D574" s="8" t="str">
        <f>HYPERLINK("http://npthd.inbcu.com/ViewContent.aspx?filename=NPMR_ABC_2017-06-22_E.MP4$3350$3560","COMMERCIAL")</f>
        <v>COMMERCIAL</v>
      </c>
      <c r="E574" s="3" t="s">
        <v>150</v>
      </c>
      <c r="F574" s="3" t="s">
        <v>718</v>
      </c>
      <c r="G574" s="3" t="s">
        <v>719</v>
      </c>
    </row>
    <row r="575" spans="1:7">
      <c r="A575" s="6">
        <v>42908</v>
      </c>
      <c r="B575" s="3" t="s">
        <v>13</v>
      </c>
      <c r="C575" s="3" t="s">
        <v>14</v>
      </c>
      <c r="D575" s="8" t="str">
        <f>HYPERLINK("http://npthd.inbcu.com/ViewContent.aspx?filename=NPMR_ABC_2017-06-22_E.MP4$3560$3565","Gong Show, The")</f>
        <v>Gong Show, The</v>
      </c>
      <c r="E575" s="3" t="s">
        <v>54</v>
      </c>
      <c r="F575" s="3" t="s">
        <v>719</v>
      </c>
      <c r="G575" s="3" t="s">
        <v>720</v>
      </c>
    </row>
    <row r="576" spans="1:7">
      <c r="A576" s="6">
        <v>42908</v>
      </c>
      <c r="B576" s="3" t="s">
        <v>13</v>
      </c>
      <c r="C576" s="3" t="s">
        <v>14</v>
      </c>
      <c r="D576" s="8" t="str">
        <f>HYPERLINK("http://npthd.inbcu.com/ViewContent.aspx?filename=NPMR_ABC_2017-06-22_E.MP4$3565$3580","Battle of the Network Stars")</f>
        <v>Battle of the Network Stars</v>
      </c>
      <c r="E576" s="3" t="s">
        <v>30</v>
      </c>
      <c r="F576" s="3" t="s">
        <v>720</v>
      </c>
      <c r="G576" s="3" t="s">
        <v>721</v>
      </c>
    </row>
    <row r="577" spans="1:7">
      <c r="A577" s="6">
        <v>42908</v>
      </c>
      <c r="B577" s="3" t="s">
        <v>13</v>
      </c>
      <c r="C577" s="3" t="s">
        <v>32</v>
      </c>
      <c r="D577" s="8" t="str">
        <f>HYPERLINK("http://npthd.inbcu.com/ViewContent.aspx?filename=NPMR_ABC_2017-06-22_E.MP4$3580$3584","LOCAL")</f>
        <v>LOCAL</v>
      </c>
      <c r="E577" s="3" t="s">
        <v>84</v>
      </c>
      <c r="F577" s="3" t="s">
        <v>721</v>
      </c>
      <c r="G577" s="3" t="s">
        <v>722</v>
      </c>
    </row>
    <row r="578" spans="1:7">
      <c r="A578" s="6">
        <v>42908</v>
      </c>
      <c r="B578" s="3" t="s">
        <v>13</v>
      </c>
      <c r="C578" s="3" t="s">
        <v>18</v>
      </c>
      <c r="D578" s="8" t="str">
        <f>HYPERLINK("http://npthd.inbcu.com/ViewContent.aspx?filename=NPMR_ABC_2017-06-22_E.MP4$3584$4083","BOY BAND: meet the boys")</f>
        <v>BOY BAND: meet the boys</v>
      </c>
      <c r="E578" s="3" t="s">
        <v>723</v>
      </c>
      <c r="F578" s="3" t="s">
        <v>722</v>
      </c>
      <c r="G578" s="3" t="s">
        <v>724</v>
      </c>
    </row>
    <row r="579" spans="1:7">
      <c r="A579" s="6">
        <v>42908</v>
      </c>
      <c r="B579" s="3" t="s">
        <v>13</v>
      </c>
      <c r="C579" s="3" t="s">
        <v>21</v>
      </c>
      <c r="D579" s="8" t="str">
        <f>HYPERLINK("http://npthd.inbcu.com/ViewContent.aspx?filename=NPMR_ABC_2017-06-22_E.MP4$4083$4264","COMMERCIAL")</f>
        <v>COMMERCIAL</v>
      </c>
      <c r="E579" s="3" t="s">
        <v>108</v>
      </c>
      <c r="F579" s="3" t="s">
        <v>724</v>
      </c>
      <c r="G579" s="3" t="s">
        <v>57</v>
      </c>
    </row>
    <row r="580" spans="1:7">
      <c r="A580" s="6">
        <v>42908</v>
      </c>
      <c r="B580" s="3" t="s">
        <v>13</v>
      </c>
      <c r="C580" s="3" t="s">
        <v>14</v>
      </c>
      <c r="D580" s="8" t="str">
        <f>HYPERLINK("http://npthd.inbcu.com/ViewContent.aspx?filename=NPMR_ABC_2017-06-22_E.MP4$4264$4279","Gong Show, The")</f>
        <v>Gong Show, The</v>
      </c>
      <c r="E580" s="3" t="s">
        <v>30</v>
      </c>
      <c r="F580" s="3" t="s">
        <v>57</v>
      </c>
      <c r="G580" s="3" t="s">
        <v>725</v>
      </c>
    </row>
    <row r="581" spans="1:7">
      <c r="A581" s="6">
        <v>42908</v>
      </c>
      <c r="B581" s="3" t="s">
        <v>13</v>
      </c>
      <c r="C581" s="3" t="s">
        <v>14</v>
      </c>
      <c r="D581" s="8" t="str">
        <f>HYPERLINK("http://npthd.inbcu.com/ViewContent.aspx?filename=NPMR_ABC_2017-06-22_E.MP4$4279$4294","Funderdome")</f>
        <v>Funderdome</v>
      </c>
      <c r="E581" s="3" t="s">
        <v>30</v>
      </c>
      <c r="F581" s="3" t="s">
        <v>725</v>
      </c>
      <c r="G581" s="3" t="s">
        <v>726</v>
      </c>
    </row>
    <row r="582" spans="1:7">
      <c r="A582" s="6">
        <v>42908</v>
      </c>
      <c r="B582" s="3" t="s">
        <v>13</v>
      </c>
      <c r="C582" s="3" t="s">
        <v>18</v>
      </c>
      <c r="D582" s="8" t="str">
        <f>HYPERLINK("http://npthd.inbcu.com/ViewContent.aspx?filename=NPMR_ABC_2017-06-22_E.MP4$4294$4779","BOY BAND: meet the boys")</f>
        <v>BOY BAND: meet the boys</v>
      </c>
      <c r="E582" s="3" t="s">
        <v>727</v>
      </c>
      <c r="F582" s="3" t="s">
        <v>726</v>
      </c>
      <c r="G582" s="3" t="s">
        <v>728</v>
      </c>
    </row>
    <row r="583" spans="1:7">
      <c r="A583" s="6">
        <v>42908</v>
      </c>
      <c r="B583" s="3" t="s">
        <v>13</v>
      </c>
      <c r="C583" s="3" t="s">
        <v>21</v>
      </c>
      <c r="D583" s="8" t="str">
        <f>HYPERLINK("http://npthd.inbcu.com/ViewContent.aspx?filename=NPMR_ABC_2017-06-22_E.MP4$4779$4914","COMMERCIAL")</f>
        <v>COMMERCIAL</v>
      </c>
      <c r="E583" s="3" t="s">
        <v>459</v>
      </c>
      <c r="F583" s="3" t="s">
        <v>728</v>
      </c>
      <c r="G583" s="3" t="s">
        <v>729</v>
      </c>
    </row>
    <row r="584" spans="1:7">
      <c r="A584" s="6">
        <v>42908</v>
      </c>
      <c r="B584" s="3" t="s">
        <v>13</v>
      </c>
      <c r="C584" s="3" t="s">
        <v>14</v>
      </c>
      <c r="D584" s="8" t="str">
        <f>HYPERLINK("http://npthd.inbcu.com/ViewContent.aspx?filename=NPMR_ABC_2017-06-22_E.MP4$4914$4929","Good Morning America")</f>
        <v>Good Morning America</v>
      </c>
      <c r="E584" s="3" t="s">
        <v>30</v>
      </c>
      <c r="F584" s="3" t="s">
        <v>729</v>
      </c>
      <c r="G584" s="3" t="s">
        <v>730</v>
      </c>
    </row>
    <row r="585" spans="1:7">
      <c r="A585" s="6">
        <v>42908</v>
      </c>
      <c r="B585" s="3" t="s">
        <v>13</v>
      </c>
      <c r="C585" s="3" t="s">
        <v>32</v>
      </c>
      <c r="D585" s="8" t="str">
        <f>HYPERLINK("http://npthd.inbcu.com/ViewContent.aspx?filename=NPMR_ABC_2017-06-22_E.MP4$4929$4990","LOCAL")</f>
        <v>LOCAL</v>
      </c>
      <c r="E585" s="3" t="s">
        <v>33</v>
      </c>
      <c r="F585" s="3" t="s">
        <v>730</v>
      </c>
      <c r="G585" s="3" t="s">
        <v>731</v>
      </c>
    </row>
    <row r="586" spans="1:7">
      <c r="A586" s="6">
        <v>42908</v>
      </c>
      <c r="B586" s="3" t="s">
        <v>13</v>
      </c>
      <c r="C586" s="3" t="s">
        <v>18</v>
      </c>
      <c r="D586" s="8" t="str">
        <f>HYPERLINK("http://npthd.inbcu.com/ViewContent.aspx?filename=NPMR_ABC_2017-06-22_E.MP4$4990$5376","BOY BAND: meet the boys")</f>
        <v>BOY BAND: meet the boys</v>
      </c>
      <c r="E586" s="3" t="s">
        <v>732</v>
      </c>
      <c r="F586" s="3" t="s">
        <v>731</v>
      </c>
      <c r="G586" s="3" t="s">
        <v>733</v>
      </c>
    </row>
    <row r="587" spans="1:7">
      <c r="A587" s="6">
        <v>42908</v>
      </c>
      <c r="B587" s="3" t="s">
        <v>13</v>
      </c>
      <c r="C587" s="3" t="s">
        <v>21</v>
      </c>
      <c r="D587" s="8" t="str">
        <f>HYPERLINK("http://npthd.inbcu.com/ViewContent.aspx?filename=NPMR_ABC_2017-06-22_E.MP4$5376$5556","COMMERCIAL")</f>
        <v>COMMERCIAL</v>
      </c>
      <c r="E587" s="3" t="s">
        <v>22</v>
      </c>
      <c r="F587" s="3" t="s">
        <v>733</v>
      </c>
      <c r="G587" s="3" t="s">
        <v>734</v>
      </c>
    </row>
    <row r="588" spans="1:7">
      <c r="A588" s="6">
        <v>42908</v>
      </c>
      <c r="B588" s="3" t="s">
        <v>13</v>
      </c>
      <c r="C588" s="3" t="s">
        <v>14</v>
      </c>
      <c r="D588" s="8" t="str">
        <f>HYPERLINK("http://npthd.inbcu.com/ViewContent.aspx?filename=NPMR_ABC_2017-06-22_E.MP4$5556$5586","Gong Show, The")</f>
        <v>Gong Show, The</v>
      </c>
      <c r="E588" s="3" t="s">
        <v>38</v>
      </c>
      <c r="F588" s="3" t="s">
        <v>734</v>
      </c>
      <c r="G588" s="3" t="s">
        <v>735</v>
      </c>
    </row>
    <row r="589" spans="1:7">
      <c r="A589" s="6">
        <v>42908</v>
      </c>
      <c r="B589" s="3" t="s">
        <v>13</v>
      </c>
      <c r="C589" s="3" t="s">
        <v>14</v>
      </c>
      <c r="D589" s="8" t="str">
        <f>HYPERLINK("http://npthd.inbcu.com/ViewContent.aspx?filename=NPMR_ABC_2017-06-22_E.MP4$5586$5601","Battle of the Network Stars")</f>
        <v>Battle of the Network Stars</v>
      </c>
      <c r="E589" s="3" t="s">
        <v>30</v>
      </c>
      <c r="F589" s="3" t="s">
        <v>735</v>
      </c>
      <c r="G589" s="3" t="s">
        <v>736</v>
      </c>
    </row>
    <row r="590" spans="1:7">
      <c r="A590" s="6">
        <v>42908</v>
      </c>
      <c r="B590" s="3" t="s">
        <v>13</v>
      </c>
      <c r="C590" s="3" t="s">
        <v>18</v>
      </c>
      <c r="D590" s="8" t="str">
        <f>HYPERLINK("http://npthd.inbcu.com/ViewContent.aspx?filename=NPMR_ABC_2017-06-22_E.MP4$5601$6004","BOY BAND: meet the boys")</f>
        <v>BOY BAND: meet the boys</v>
      </c>
      <c r="E590" s="3" t="s">
        <v>737</v>
      </c>
      <c r="F590" s="3" t="s">
        <v>736</v>
      </c>
      <c r="G590" s="3" t="s">
        <v>170</v>
      </c>
    </row>
    <row r="591" spans="1:7">
      <c r="A591" s="6">
        <v>42908</v>
      </c>
      <c r="B591" s="3" t="s">
        <v>13</v>
      </c>
      <c r="C591" s="3" t="s">
        <v>21</v>
      </c>
      <c r="D591" s="8" t="str">
        <f>HYPERLINK("http://npthd.inbcu.com/ViewContent.aspx?filename=NPMR_ABC_2017-06-22_E.MP4$6004$6124","COMMERCIAL")</f>
        <v>COMMERCIAL</v>
      </c>
      <c r="E591" s="3" t="s">
        <v>43</v>
      </c>
      <c r="F591" s="3" t="s">
        <v>170</v>
      </c>
      <c r="G591" s="3" t="s">
        <v>738</v>
      </c>
    </row>
    <row r="592" spans="1:7">
      <c r="A592" s="6">
        <v>42908</v>
      </c>
      <c r="B592" s="3" t="s">
        <v>13</v>
      </c>
      <c r="C592" s="3" t="s">
        <v>14</v>
      </c>
      <c r="D592" s="8" t="str">
        <f>HYPERLINK("http://npthd.inbcu.com/ViewContent.aspx?filename=NPMR_ABC_2017-06-22_E.MP4$6124$6139","Gong Show, The")</f>
        <v>Gong Show, The</v>
      </c>
      <c r="E592" s="3" t="s">
        <v>30</v>
      </c>
      <c r="F592" s="3" t="s">
        <v>738</v>
      </c>
      <c r="G592" s="3" t="s">
        <v>739</v>
      </c>
    </row>
    <row r="593" spans="1:7">
      <c r="A593" s="6">
        <v>42908</v>
      </c>
      <c r="B593" s="3" t="s">
        <v>13</v>
      </c>
      <c r="C593" s="3" t="s">
        <v>14</v>
      </c>
      <c r="D593" s="8" t="str">
        <f>HYPERLINK("http://npthd.inbcu.com/ViewContent.aspx?filename=NPMR_ABC_2017-06-22_E.MP4$6139$6154","Bachelorette")</f>
        <v>Bachelorette</v>
      </c>
      <c r="E593" s="3" t="s">
        <v>30</v>
      </c>
      <c r="F593" s="3" t="s">
        <v>739</v>
      </c>
      <c r="G593" s="3" t="s">
        <v>740</v>
      </c>
    </row>
    <row r="594" spans="1:7">
      <c r="A594" s="6">
        <v>42908</v>
      </c>
      <c r="B594" s="3" t="s">
        <v>13</v>
      </c>
      <c r="C594" s="3" t="s">
        <v>32</v>
      </c>
      <c r="D594" s="8" t="str">
        <f>HYPERLINK("http://npthd.inbcu.com/ViewContent.aspx?filename=NPMR_ABC_2017-06-22_E.MP4$6154$6245","LOCAL")</f>
        <v>LOCAL</v>
      </c>
      <c r="E594" s="3" t="s">
        <v>77</v>
      </c>
      <c r="F594" s="3" t="s">
        <v>740</v>
      </c>
      <c r="G594" s="3" t="s">
        <v>741</v>
      </c>
    </row>
    <row r="595" spans="1:7">
      <c r="A595" s="6">
        <v>42908</v>
      </c>
      <c r="B595" s="3" t="s">
        <v>13</v>
      </c>
      <c r="C595" s="3" t="s">
        <v>18</v>
      </c>
      <c r="D595" s="8" t="str">
        <f>HYPERLINK("http://npthd.inbcu.com/ViewContent.aspx?filename=NPMR_ABC_2017-06-22_E.MP4$6245$6785","BOY BAND: meet the boys")</f>
        <v>BOY BAND: meet the boys</v>
      </c>
      <c r="E595" s="3" t="s">
        <v>742</v>
      </c>
      <c r="F595" s="3" t="s">
        <v>741</v>
      </c>
      <c r="G595" s="3" t="s">
        <v>743</v>
      </c>
    </row>
    <row r="596" spans="1:7">
      <c r="A596" s="6">
        <v>42908</v>
      </c>
      <c r="B596" s="3" t="s">
        <v>13</v>
      </c>
      <c r="C596" s="3" t="s">
        <v>14</v>
      </c>
      <c r="D596" s="8" t="str">
        <f>HYPERLINK("http://npthd.inbcu.com/ViewContent.aspx?filename=NPMR_ABC_2017-06-22_E.MP4$6785$6790","American Idol")</f>
        <v>American Idol</v>
      </c>
      <c r="E596" s="3" t="s">
        <v>54</v>
      </c>
      <c r="F596" s="3" t="s">
        <v>743</v>
      </c>
      <c r="G596" s="3" t="s">
        <v>744</v>
      </c>
    </row>
    <row r="597" spans="1:7">
      <c r="A597" s="6">
        <v>42908</v>
      </c>
      <c r="B597" s="3" t="s">
        <v>13</v>
      </c>
      <c r="C597" s="3" t="s">
        <v>21</v>
      </c>
      <c r="D597" s="8" t="str">
        <f>HYPERLINK("http://npthd.inbcu.com/ViewContent.aspx?filename=NPMR_ABC_2017-06-22_E.MP4$6790$6970","COMMERCIAL")</f>
        <v>COMMERCIAL</v>
      </c>
      <c r="E597" s="3" t="s">
        <v>22</v>
      </c>
      <c r="F597" s="3" t="s">
        <v>744</v>
      </c>
      <c r="G597" s="3" t="s">
        <v>745</v>
      </c>
    </row>
    <row r="598" spans="1:7">
      <c r="A598" s="6">
        <v>42908</v>
      </c>
      <c r="B598" s="3" t="s">
        <v>13</v>
      </c>
      <c r="C598" s="3" t="s">
        <v>14</v>
      </c>
      <c r="D598" s="8" t="str">
        <f>HYPERLINK("http://npthd.inbcu.com/ViewContent.aspx?filename=NPMR_ABC_2017-06-22_E.MP4$6970$7000","Gong Show, The")</f>
        <v>Gong Show, The</v>
      </c>
      <c r="E598" s="3" t="s">
        <v>38</v>
      </c>
      <c r="F598" s="3" t="s">
        <v>745</v>
      </c>
      <c r="G598" s="3" t="s">
        <v>746</v>
      </c>
    </row>
    <row r="599" spans="1:7">
      <c r="A599" s="6">
        <v>42908</v>
      </c>
      <c r="B599" s="3" t="s">
        <v>13</v>
      </c>
      <c r="C599" s="3" t="s">
        <v>32</v>
      </c>
      <c r="D599" s="8" t="str">
        <f>HYPERLINK("http://npthd.inbcu.com/ViewContent.aspx?filename=NPMR_ABC_2017-06-22_E.MP4$7000$7006","LOCAL")</f>
        <v>LOCAL</v>
      </c>
      <c r="E599" s="3" t="s">
        <v>15</v>
      </c>
      <c r="F599" s="3" t="s">
        <v>746</v>
      </c>
      <c r="G599" s="3" t="s">
        <v>747</v>
      </c>
    </row>
    <row r="600" spans="1:7">
      <c r="A600" s="6">
        <v>42908</v>
      </c>
      <c r="B600" s="3" t="s">
        <v>13</v>
      </c>
      <c r="C600" s="3" t="s">
        <v>18</v>
      </c>
      <c r="D600" s="8" t="str">
        <f>HYPERLINK("http://npthd.inbcu.com/ViewContent.aspx?filename=NPMR_ABC_2017-06-22_E.MP4$7006$7294","BOY BAND: meet the boys")</f>
        <v>BOY BAND: meet the boys</v>
      </c>
      <c r="E600" s="3" t="s">
        <v>748</v>
      </c>
      <c r="F600" s="3" t="s">
        <v>747</v>
      </c>
      <c r="G600" s="3" t="s">
        <v>749</v>
      </c>
    </row>
    <row r="601" spans="1:7">
      <c r="A601" s="6">
        <v>42908</v>
      </c>
      <c r="B601" s="3" t="s">
        <v>13</v>
      </c>
      <c r="C601" s="3" t="s">
        <v>14</v>
      </c>
      <c r="D601" s="8" t="str">
        <f>HYPERLINK("http://npthd.inbcu.com/ViewContent.aspx?filename=NPMR_ABC_2017-06-22_E.MP4$7294$7324","Boy Band")</f>
        <v>Boy Band</v>
      </c>
      <c r="E601" s="3" t="s">
        <v>38</v>
      </c>
      <c r="F601" s="3" t="s">
        <v>749</v>
      </c>
      <c r="G601" s="3" t="s">
        <v>750</v>
      </c>
    </row>
    <row r="602" spans="1:7">
      <c r="A602" s="6">
        <v>42908</v>
      </c>
      <c r="B602" s="3" t="s">
        <v>13</v>
      </c>
      <c r="C602" s="3" t="s">
        <v>18</v>
      </c>
      <c r="D602" s="8" t="str">
        <f>HYPERLINK("http://npthd.inbcu.com/ViewContent.aspx?filename=NPMR_ABC_2017-06-22_E.MP4$7324$7329","BOY BAND: meet the boys")</f>
        <v>BOY BAND: meet the boys</v>
      </c>
      <c r="E602" s="3" t="s">
        <v>54</v>
      </c>
      <c r="F602" s="3" t="s">
        <v>750</v>
      </c>
      <c r="G602" s="3" t="s">
        <v>394</v>
      </c>
    </row>
    <row r="603" spans="1:7">
      <c r="A603" s="6">
        <v>42908</v>
      </c>
      <c r="B603" s="3" t="s">
        <v>13</v>
      </c>
      <c r="C603" s="3" t="s">
        <v>14</v>
      </c>
      <c r="D603" s="8" t="str">
        <f>HYPERLINK("http://npthd.inbcu.com/ViewContent.aspx?filename=NPMR_ABC_2017-06-22_E.MP4$7329$7334","Gong Show, The")</f>
        <v>Gong Show, The</v>
      </c>
      <c r="E603" s="3" t="s">
        <v>54</v>
      </c>
      <c r="F603" s="3" t="s">
        <v>394</v>
      </c>
      <c r="G603" s="3" t="s">
        <v>395</v>
      </c>
    </row>
    <row r="604" spans="1:7">
      <c r="A604" s="6">
        <v>42908</v>
      </c>
      <c r="B604" s="3" t="s">
        <v>13</v>
      </c>
      <c r="C604" s="3" t="s">
        <v>18</v>
      </c>
      <c r="D604" s="8" t="str">
        <f>HYPERLINK("http://npthd.inbcu.com/ViewContent.aspx?filename=NPMR_ABC_2017-06-22_E.MP4$7334$7988","THE GONG SHOW: will arnett, ken jeong")</f>
        <v>THE GONG SHOW: will arnett, ken jeong</v>
      </c>
      <c r="E604" s="3" t="s">
        <v>751</v>
      </c>
      <c r="F604" s="3" t="s">
        <v>395</v>
      </c>
      <c r="G604" s="3" t="s">
        <v>752</v>
      </c>
    </row>
    <row r="605" spans="1:7">
      <c r="A605" s="6">
        <v>42908</v>
      </c>
      <c r="B605" s="3" t="s">
        <v>13</v>
      </c>
      <c r="C605" s="3" t="s">
        <v>21</v>
      </c>
      <c r="D605" s="8" t="str">
        <f>HYPERLINK("http://npthd.inbcu.com/ViewContent.aspx?filename=NPMR_ABC_2017-06-22_E.MP4$7988$8168","COMMERCIAL")</f>
        <v>COMMERCIAL</v>
      </c>
      <c r="E605" s="3" t="s">
        <v>22</v>
      </c>
      <c r="F605" s="3" t="s">
        <v>752</v>
      </c>
      <c r="G605" s="3" t="s">
        <v>753</v>
      </c>
    </row>
    <row r="606" spans="1:7">
      <c r="A606" s="6">
        <v>42908</v>
      </c>
      <c r="B606" s="3" t="s">
        <v>13</v>
      </c>
      <c r="C606" s="3" t="s">
        <v>14</v>
      </c>
      <c r="D606" s="8" t="str">
        <f>HYPERLINK("http://npthd.inbcu.com/ViewContent.aspx?filename=NPMR_ABC_2017-06-22_E.MP4$8168$8183","Celebrity Family Feud")</f>
        <v>Celebrity Family Feud</v>
      </c>
      <c r="E606" s="3" t="s">
        <v>30</v>
      </c>
      <c r="F606" s="3" t="s">
        <v>753</v>
      </c>
      <c r="G606" s="3" t="s">
        <v>754</v>
      </c>
    </row>
    <row r="607" spans="1:7">
      <c r="A607" s="6">
        <v>42908</v>
      </c>
      <c r="B607" s="3" t="s">
        <v>13</v>
      </c>
      <c r="C607" s="3" t="s">
        <v>14</v>
      </c>
      <c r="D607" s="8" t="str">
        <f>HYPERLINK("http://npthd.inbcu.com/ViewContent.aspx?filename=NPMR_ABC_2017-06-22_E.MP4$8183$8198","Battle of the Network Stars")</f>
        <v>Battle of the Network Stars</v>
      </c>
      <c r="E607" s="3" t="s">
        <v>30</v>
      </c>
      <c r="F607" s="3" t="s">
        <v>754</v>
      </c>
      <c r="G607" s="3" t="s">
        <v>755</v>
      </c>
    </row>
    <row r="608" spans="1:7">
      <c r="A608" s="6">
        <v>42908</v>
      </c>
      <c r="B608" s="3" t="s">
        <v>13</v>
      </c>
      <c r="C608" s="3" t="s">
        <v>18</v>
      </c>
      <c r="D608" s="8" t="str">
        <f>HYPERLINK("http://npthd.inbcu.com/ViewContent.aspx?filename=NPMR_ABC_2017-06-22_E.MP4$8198$8601","THE GONG SHOW: will arnett, ken jeong")</f>
        <v>THE GONG SHOW: will arnett, ken jeong</v>
      </c>
      <c r="E608" s="3" t="s">
        <v>737</v>
      </c>
      <c r="F608" s="3" t="s">
        <v>755</v>
      </c>
      <c r="G608" s="3" t="s">
        <v>756</v>
      </c>
    </row>
    <row r="609" spans="1:7">
      <c r="A609" s="6">
        <v>42908</v>
      </c>
      <c r="B609" s="3" t="s">
        <v>13</v>
      </c>
      <c r="C609" s="3" t="s">
        <v>21</v>
      </c>
      <c r="D609" s="8" t="str">
        <f>HYPERLINK("http://npthd.inbcu.com/ViewContent.aspx?filename=NPMR_ABC_2017-06-22_E.MP4$8601$8781","COMMERCIAL")</f>
        <v>COMMERCIAL</v>
      </c>
      <c r="E609" s="3" t="s">
        <v>22</v>
      </c>
      <c r="F609" s="3" t="s">
        <v>756</v>
      </c>
      <c r="G609" s="3" t="s">
        <v>757</v>
      </c>
    </row>
    <row r="610" spans="1:7">
      <c r="A610" s="6">
        <v>42908</v>
      </c>
      <c r="B610" s="3" t="s">
        <v>13</v>
      </c>
      <c r="C610" s="3" t="s">
        <v>14</v>
      </c>
      <c r="D610" s="8" t="str">
        <f>HYPERLINK("http://npthd.inbcu.com/ViewContent.aspx?filename=NPMR_ABC_2017-06-22_E.MP4$8781$8796","Good Morning America")</f>
        <v>Good Morning America</v>
      </c>
      <c r="E610" s="3" t="s">
        <v>30</v>
      </c>
      <c r="F610" s="3" t="s">
        <v>757</v>
      </c>
      <c r="G610" s="3" t="s">
        <v>758</v>
      </c>
    </row>
    <row r="611" spans="1:7">
      <c r="A611" s="6">
        <v>42908</v>
      </c>
      <c r="B611" s="3" t="s">
        <v>13</v>
      </c>
      <c r="C611" s="3" t="s">
        <v>14</v>
      </c>
      <c r="D611" s="8" t="str">
        <f>HYPERLINK("http://npthd.inbcu.com/ViewContent.aspx?filename=NPMR_ABC_2017-06-22_E.MP4$8796$8811","Bachelorette")</f>
        <v>Bachelorette</v>
      </c>
      <c r="E611" s="3" t="s">
        <v>30</v>
      </c>
      <c r="F611" s="3" t="s">
        <v>758</v>
      </c>
      <c r="G611" s="3" t="s">
        <v>759</v>
      </c>
    </row>
    <row r="612" spans="1:7">
      <c r="A612" s="6">
        <v>42908</v>
      </c>
      <c r="B612" s="3" t="s">
        <v>13</v>
      </c>
      <c r="C612" s="3" t="s">
        <v>18</v>
      </c>
      <c r="D612" s="8" t="str">
        <f>HYPERLINK("http://npthd.inbcu.com/ViewContent.aspx?filename=NPMR_ABC_2017-06-22_E.MP4$8811$9132","THE GONG SHOW: will arnett, ken jeong")</f>
        <v>THE GONG SHOW: will arnett, ken jeong</v>
      </c>
      <c r="E612" s="3" t="s">
        <v>760</v>
      </c>
      <c r="F612" s="3" t="s">
        <v>759</v>
      </c>
      <c r="G612" s="3" t="s">
        <v>761</v>
      </c>
    </row>
    <row r="613" spans="1:7">
      <c r="A613" s="6">
        <v>42908</v>
      </c>
      <c r="B613" s="3" t="s">
        <v>13</v>
      </c>
      <c r="C613" s="3" t="s">
        <v>21</v>
      </c>
      <c r="D613" s="8" t="str">
        <f>HYPERLINK("http://npthd.inbcu.com/ViewContent.aspx?filename=NPMR_ABC_2017-06-22_E.MP4$9132$9222","COMMERCIAL")</f>
        <v>COMMERCIAL</v>
      </c>
      <c r="E613" s="3" t="s">
        <v>46</v>
      </c>
      <c r="F613" s="3" t="s">
        <v>761</v>
      </c>
      <c r="G613" s="3" t="s">
        <v>762</v>
      </c>
    </row>
    <row r="614" spans="1:7">
      <c r="A614" s="6">
        <v>42908</v>
      </c>
      <c r="B614" s="3" t="s">
        <v>13</v>
      </c>
      <c r="C614" s="3" t="s">
        <v>14</v>
      </c>
      <c r="D614" s="8" t="str">
        <f>HYPERLINK("http://npthd.inbcu.com/ViewContent.aspx?filename=NPMR_ABC_2017-06-22_E.MP4$9222$9232","What Would You Do?")</f>
        <v>What Would You Do?</v>
      </c>
      <c r="E614" s="3" t="s">
        <v>197</v>
      </c>
      <c r="F614" s="3" t="s">
        <v>762</v>
      </c>
      <c r="G614" s="3" t="s">
        <v>763</v>
      </c>
    </row>
    <row r="615" spans="1:7">
      <c r="A615" s="6">
        <v>42908</v>
      </c>
      <c r="B615" s="3" t="s">
        <v>13</v>
      </c>
      <c r="C615" s="3" t="s">
        <v>32</v>
      </c>
      <c r="D615" s="8" t="str">
        <f>HYPERLINK("http://npthd.inbcu.com/ViewContent.aspx?filename=NPMR_ABC_2017-06-22_E.MP4$9232$9339","LOCAL")</f>
        <v>LOCAL</v>
      </c>
      <c r="E615" s="3" t="s">
        <v>104</v>
      </c>
      <c r="F615" s="3" t="s">
        <v>763</v>
      </c>
      <c r="G615" s="3" t="s">
        <v>764</v>
      </c>
    </row>
    <row r="616" spans="1:7">
      <c r="A616" s="6">
        <v>42908</v>
      </c>
      <c r="B616" s="3" t="s">
        <v>13</v>
      </c>
      <c r="C616" s="3" t="s">
        <v>18</v>
      </c>
      <c r="D616" s="8" t="str">
        <f>HYPERLINK("http://npthd.inbcu.com/ViewContent.aspx?filename=NPMR_ABC_2017-06-22_E.MP4$9339$9732","THE GONG SHOW: will arnett, ken jeong")</f>
        <v>THE GONG SHOW: will arnett, ken jeong</v>
      </c>
      <c r="E616" s="3" t="s">
        <v>765</v>
      </c>
      <c r="F616" s="3" t="s">
        <v>764</v>
      </c>
      <c r="G616" s="3" t="s">
        <v>766</v>
      </c>
    </row>
    <row r="617" spans="1:7">
      <c r="A617" s="6">
        <v>42908</v>
      </c>
      <c r="B617" s="3" t="s">
        <v>13</v>
      </c>
      <c r="C617" s="3" t="s">
        <v>21</v>
      </c>
      <c r="D617" s="8" t="str">
        <f>HYPERLINK("http://npthd.inbcu.com/ViewContent.aspx?filename=NPMR_ABC_2017-06-22_E.MP4$9732$9837","COMMERCIAL")</f>
        <v>COMMERCIAL</v>
      </c>
      <c r="E617" s="3" t="s">
        <v>199</v>
      </c>
      <c r="F617" s="3" t="s">
        <v>766</v>
      </c>
      <c r="G617" s="3" t="s">
        <v>767</v>
      </c>
    </row>
    <row r="618" spans="1:7">
      <c r="A618" s="6">
        <v>42908</v>
      </c>
      <c r="B618" s="3" t="s">
        <v>13</v>
      </c>
      <c r="C618" s="3" t="s">
        <v>14</v>
      </c>
      <c r="D618" s="8" t="str">
        <f>HYPERLINK("http://npthd.inbcu.com/ViewContent.aspx?filename=NPMR_ABC_2017-06-22_E.MP4$9837$9867","Battle of the Network Stars")</f>
        <v>Battle of the Network Stars</v>
      </c>
      <c r="E618" s="3" t="s">
        <v>38</v>
      </c>
      <c r="F618" s="3" t="s">
        <v>767</v>
      </c>
      <c r="G618" s="3" t="s">
        <v>110</v>
      </c>
    </row>
    <row r="619" spans="1:7">
      <c r="A619" s="6">
        <v>42908</v>
      </c>
      <c r="B619" s="3" t="s">
        <v>13</v>
      </c>
      <c r="C619" s="3" t="s">
        <v>32</v>
      </c>
      <c r="D619" s="8" t="str">
        <f>HYPERLINK("http://npthd.inbcu.com/ViewContent.aspx?filename=NPMR_ABC_2017-06-22_E.MP4$9867$9959","LOCAL")</f>
        <v>LOCAL</v>
      </c>
      <c r="E619" s="3" t="s">
        <v>267</v>
      </c>
      <c r="F619" s="3" t="s">
        <v>110</v>
      </c>
      <c r="G619" s="3" t="s">
        <v>768</v>
      </c>
    </row>
    <row r="620" spans="1:7">
      <c r="A620" s="6">
        <v>42908</v>
      </c>
      <c r="B620" s="3" t="s">
        <v>13</v>
      </c>
      <c r="C620" s="3" t="s">
        <v>18</v>
      </c>
      <c r="D620" s="8" t="str">
        <f>HYPERLINK("http://npthd.inbcu.com/ViewContent.aspx?filename=NPMR_ABC_2017-06-22_E.MP4$9959$10280","THE GONG SHOW: will arnett, ken jeong")</f>
        <v>THE GONG SHOW: will arnett, ken jeong</v>
      </c>
      <c r="E620" s="3" t="s">
        <v>760</v>
      </c>
      <c r="F620" s="3" t="s">
        <v>768</v>
      </c>
      <c r="G620" s="3" t="s">
        <v>769</v>
      </c>
    </row>
    <row r="621" spans="1:7">
      <c r="A621" s="6">
        <v>42908</v>
      </c>
      <c r="B621" s="3" t="s">
        <v>13</v>
      </c>
      <c r="C621" s="3" t="s">
        <v>32</v>
      </c>
      <c r="D621" s="8" t="str">
        <f>HYPERLINK("http://npthd.inbcu.com/ViewContent.aspx?filename=NPMR_ABC_2017-06-22_E.MP4$10280$10296","LOCAL")</f>
        <v>LOCAL</v>
      </c>
      <c r="E621" s="3" t="s">
        <v>64</v>
      </c>
      <c r="F621" s="3" t="s">
        <v>769</v>
      </c>
      <c r="G621" s="3" t="s">
        <v>770</v>
      </c>
    </row>
    <row r="622" spans="1:7">
      <c r="A622" s="6">
        <v>42908</v>
      </c>
      <c r="B622" s="3" t="s">
        <v>13</v>
      </c>
      <c r="C622" s="3" t="s">
        <v>21</v>
      </c>
      <c r="D622" s="8" t="str">
        <f>HYPERLINK("http://npthd.inbcu.com/ViewContent.aspx?filename=NPMR_ABC_2017-06-22_E.MP4$10296$10447","COMMERCIAL")</f>
        <v>COMMERCIAL</v>
      </c>
      <c r="E622" s="3" t="s">
        <v>91</v>
      </c>
      <c r="F622" s="3" t="s">
        <v>770</v>
      </c>
      <c r="G622" s="3" t="s">
        <v>306</v>
      </c>
    </row>
    <row r="623" spans="1:7">
      <c r="A623" s="6">
        <v>42908</v>
      </c>
      <c r="B623" s="3" t="s">
        <v>13</v>
      </c>
      <c r="C623" s="3" t="s">
        <v>14</v>
      </c>
      <c r="D623" s="8" t="str">
        <f>HYPERLINK("http://npthd.inbcu.com/ViewContent.aspx?filename=NPMR_ABC_2017-06-22_E.MP4$10447$10462","Jimmy Kimmel Live!")</f>
        <v>Jimmy Kimmel Live!</v>
      </c>
      <c r="E623" s="3" t="s">
        <v>30</v>
      </c>
      <c r="F623" s="3" t="s">
        <v>306</v>
      </c>
      <c r="G623" s="3" t="s">
        <v>771</v>
      </c>
    </row>
    <row r="624" spans="1:7">
      <c r="A624" s="6">
        <v>42908</v>
      </c>
      <c r="B624" s="3" t="s">
        <v>13</v>
      </c>
      <c r="C624" s="3" t="s">
        <v>18</v>
      </c>
      <c r="D624" s="8" t="str">
        <f>HYPERLINK("http://npthd.inbcu.com/ViewContent.aspx?filename=NPMR_ABC_2017-06-22_E.MP4$10462$10891","THE GONG SHOW: will arnett, ken jeong")</f>
        <v>THE GONG SHOW: will arnett, ken jeong</v>
      </c>
      <c r="E624" s="3" t="s">
        <v>772</v>
      </c>
      <c r="F624" s="3" t="s">
        <v>771</v>
      </c>
      <c r="G624" s="3" t="s">
        <v>773</v>
      </c>
    </row>
    <row r="625" spans="1:7">
      <c r="A625" s="6">
        <v>42908</v>
      </c>
      <c r="B625" s="3" t="s">
        <v>13</v>
      </c>
      <c r="C625" s="3" t="s">
        <v>14</v>
      </c>
      <c r="D625" s="8" t="str">
        <f>HYPERLINK("http://npthd.inbcu.com/ViewContent.aspx?filename=NPMR_ABC_2017-06-22_E.MP4$10891$10915","Gong Show, The")</f>
        <v>Gong Show, The</v>
      </c>
      <c r="E625" s="3" t="s">
        <v>774</v>
      </c>
      <c r="F625" s="3" t="s">
        <v>773</v>
      </c>
      <c r="G625" s="3" t="s">
        <v>698</v>
      </c>
    </row>
    <row r="626" spans="1:7">
      <c r="A626" s="6">
        <v>42908</v>
      </c>
      <c r="B626" s="3" t="s">
        <v>13</v>
      </c>
      <c r="C626" s="3" t="s">
        <v>32</v>
      </c>
      <c r="D626" s="8" t="str">
        <f>HYPERLINK("http://npthd.inbcu.com/ViewContent.aspx?filename=NPMR_ABC_2017-06-22_E.MP4$10915$10929","LOCAL")</f>
        <v>LOCAL</v>
      </c>
      <c r="E626" s="3" t="s">
        <v>342</v>
      </c>
      <c r="F626" s="3" t="s">
        <v>698</v>
      </c>
      <c r="G626" s="3" t="s">
        <v>124</v>
      </c>
    </row>
    <row r="627" spans="1:7">
      <c r="A627" s="6">
        <v>42909</v>
      </c>
      <c r="B627" s="3" t="s">
        <v>13</v>
      </c>
      <c r="C627" s="3" t="s">
        <v>14</v>
      </c>
      <c r="D627" s="8" t="str">
        <f>HYPERLINK("http://npthd.inbcu.com/ViewContent.aspx?filename=NPMR_ABC_2017-06-23_E.MP4$128$134","ABC Open")</f>
        <v>ABC Open</v>
      </c>
      <c r="E627" s="3" t="s">
        <v>15</v>
      </c>
      <c r="F627" s="3" t="s">
        <v>16</v>
      </c>
      <c r="G627" s="3" t="s">
        <v>17</v>
      </c>
    </row>
    <row r="628" spans="1:7">
      <c r="A628" s="6">
        <v>42909</v>
      </c>
      <c r="B628" s="3" t="s">
        <v>13</v>
      </c>
      <c r="C628" s="3" t="s">
        <v>18</v>
      </c>
      <c r="D628" s="8" t="str">
        <f>HYPERLINK("http://npthd.inbcu.com/ViewContent.aspx?filename=NPMR_ABC_2017-06-23_E.MP4$134$660","SHARK TANK: 814")</f>
        <v>SHARK TANK: 814</v>
      </c>
      <c r="E628" s="3" t="s">
        <v>775</v>
      </c>
      <c r="F628" s="3" t="s">
        <v>17</v>
      </c>
      <c r="G628" s="3" t="s">
        <v>776</v>
      </c>
    </row>
    <row r="629" spans="1:7">
      <c r="A629" s="6">
        <v>42909</v>
      </c>
      <c r="B629" s="3" t="s">
        <v>13</v>
      </c>
      <c r="C629" s="3" t="s">
        <v>21</v>
      </c>
      <c r="D629" s="8" t="str">
        <f>HYPERLINK("http://npthd.inbcu.com/ViewContent.aspx?filename=NPMR_ABC_2017-06-23_E.MP4$660$811","COMMERCIAL")</f>
        <v>COMMERCIAL</v>
      </c>
      <c r="E629" s="3" t="s">
        <v>91</v>
      </c>
      <c r="F629" s="3" t="s">
        <v>776</v>
      </c>
      <c r="G629" s="3" t="s">
        <v>340</v>
      </c>
    </row>
    <row r="630" spans="1:7">
      <c r="A630" s="6">
        <v>42909</v>
      </c>
      <c r="B630" s="3" t="s">
        <v>13</v>
      </c>
      <c r="C630" s="3" t="s">
        <v>14</v>
      </c>
      <c r="D630" s="8" t="str">
        <f>HYPERLINK("http://npthd.inbcu.com/ViewContent.aspx?filename=NPMR_ABC_2017-06-23_E.MP4$811$826","What Would You Do?")</f>
        <v>What Would You Do?</v>
      </c>
      <c r="E630" s="3" t="s">
        <v>30</v>
      </c>
      <c r="F630" s="3" t="s">
        <v>340</v>
      </c>
      <c r="G630" s="3" t="s">
        <v>777</v>
      </c>
    </row>
    <row r="631" spans="1:7">
      <c r="A631" s="6">
        <v>42909</v>
      </c>
      <c r="B631" s="3" t="s">
        <v>13</v>
      </c>
      <c r="C631" s="3" t="s">
        <v>14</v>
      </c>
      <c r="D631" s="8" t="str">
        <f>HYPERLINK("http://npthd.inbcu.com/ViewContent.aspx?filename=NPMR_ABC_2017-06-23_E.MP4$826$856","ABC Summer Fun &amp; Games")</f>
        <v>ABC Summer Fun &amp; Games</v>
      </c>
      <c r="E631" s="3" t="s">
        <v>38</v>
      </c>
      <c r="F631" s="3" t="s">
        <v>777</v>
      </c>
      <c r="G631" s="3" t="s">
        <v>778</v>
      </c>
    </row>
    <row r="632" spans="1:7">
      <c r="A632" s="6">
        <v>42909</v>
      </c>
      <c r="B632" s="3" t="s">
        <v>13</v>
      </c>
      <c r="C632" s="3" t="s">
        <v>18</v>
      </c>
      <c r="D632" s="8" t="str">
        <f>HYPERLINK("http://npthd.inbcu.com/ViewContent.aspx?filename=NPMR_ABC_2017-06-23_E.MP4$856$1345","SHARK TANK: 814")</f>
        <v>SHARK TANK: 814</v>
      </c>
      <c r="E632" s="3" t="s">
        <v>779</v>
      </c>
      <c r="F632" s="3" t="s">
        <v>778</v>
      </c>
      <c r="G632" s="3" t="s">
        <v>780</v>
      </c>
    </row>
    <row r="633" spans="1:7">
      <c r="A633" s="6">
        <v>42909</v>
      </c>
      <c r="B633" s="3" t="s">
        <v>13</v>
      </c>
      <c r="C633" s="3" t="s">
        <v>21</v>
      </c>
      <c r="D633" s="8" t="str">
        <f>HYPERLINK("http://npthd.inbcu.com/ViewContent.aspx?filename=NPMR_ABC_2017-06-23_E.MP4$1345$1481","COMMERCIAL")</f>
        <v>COMMERCIAL</v>
      </c>
      <c r="E633" s="3" t="s">
        <v>668</v>
      </c>
      <c r="F633" s="3" t="s">
        <v>780</v>
      </c>
      <c r="G633" s="3" t="s">
        <v>781</v>
      </c>
    </row>
    <row r="634" spans="1:7">
      <c r="A634" s="6">
        <v>42909</v>
      </c>
      <c r="B634" s="3" t="s">
        <v>13</v>
      </c>
      <c r="C634" s="3" t="s">
        <v>14</v>
      </c>
      <c r="D634" s="8" t="str">
        <f>HYPERLINK("http://npthd.inbcu.com/ViewContent.aspx?filename=NPMR_ABC_2017-06-23_E.MP4$1481$1511","Bachelorette")</f>
        <v>Bachelorette</v>
      </c>
      <c r="E634" s="3" t="s">
        <v>38</v>
      </c>
      <c r="F634" s="3" t="s">
        <v>781</v>
      </c>
      <c r="G634" s="3" t="s">
        <v>782</v>
      </c>
    </row>
    <row r="635" spans="1:7">
      <c r="A635" s="6">
        <v>42909</v>
      </c>
      <c r="B635" s="3" t="s">
        <v>13</v>
      </c>
      <c r="C635" s="3" t="s">
        <v>32</v>
      </c>
      <c r="D635" s="8" t="str">
        <f>HYPERLINK("http://npthd.inbcu.com/ViewContent.aspx?filename=NPMR_ABC_2017-06-23_E.MP4$1511$1571","LOCAL")</f>
        <v>LOCAL</v>
      </c>
      <c r="E635" s="3" t="s">
        <v>66</v>
      </c>
      <c r="F635" s="3" t="s">
        <v>782</v>
      </c>
      <c r="G635" s="3" t="s">
        <v>783</v>
      </c>
    </row>
    <row r="636" spans="1:7">
      <c r="A636" s="6">
        <v>42909</v>
      </c>
      <c r="B636" s="3" t="s">
        <v>13</v>
      </c>
      <c r="C636" s="3" t="s">
        <v>18</v>
      </c>
      <c r="D636" s="8" t="str">
        <f>HYPERLINK("http://npthd.inbcu.com/ViewContent.aspx?filename=NPMR_ABC_2017-06-23_E.MP4$1571$2067","SHARK TANK: 814")</f>
        <v>SHARK TANK: 814</v>
      </c>
      <c r="E636" s="3" t="s">
        <v>784</v>
      </c>
      <c r="F636" s="3" t="s">
        <v>783</v>
      </c>
      <c r="G636" s="3" t="s">
        <v>785</v>
      </c>
    </row>
    <row r="637" spans="1:7">
      <c r="A637" s="6">
        <v>42909</v>
      </c>
      <c r="B637" s="3" t="s">
        <v>13</v>
      </c>
      <c r="C637" s="3" t="s">
        <v>21</v>
      </c>
      <c r="D637" s="8" t="str">
        <f>HYPERLINK("http://npthd.inbcu.com/ViewContent.aspx?filename=NPMR_ABC_2017-06-23_E.MP4$2067$2247","COMMERCIAL")</f>
        <v>COMMERCIAL</v>
      </c>
      <c r="E637" s="3" t="s">
        <v>22</v>
      </c>
      <c r="F637" s="3" t="s">
        <v>785</v>
      </c>
      <c r="G637" s="3" t="s">
        <v>786</v>
      </c>
    </row>
    <row r="638" spans="1:7">
      <c r="A638" s="6">
        <v>42909</v>
      </c>
      <c r="B638" s="3" t="s">
        <v>13</v>
      </c>
      <c r="C638" s="3" t="s">
        <v>14</v>
      </c>
      <c r="D638" s="8" t="str">
        <f>HYPERLINK("http://npthd.inbcu.com/ViewContent.aspx?filename=NPMR_ABC_2017-06-23_E.MP4$2247$2262","Boy Band")</f>
        <v>Boy Band</v>
      </c>
      <c r="E638" s="3" t="s">
        <v>30</v>
      </c>
      <c r="F638" s="3" t="s">
        <v>786</v>
      </c>
      <c r="G638" s="3" t="s">
        <v>787</v>
      </c>
    </row>
    <row r="639" spans="1:7">
      <c r="A639" s="6">
        <v>42909</v>
      </c>
      <c r="B639" s="3" t="s">
        <v>13</v>
      </c>
      <c r="C639" s="3" t="s">
        <v>14</v>
      </c>
      <c r="D639" s="8" t="str">
        <f>HYPERLINK("http://npthd.inbcu.com/ViewContent.aspx?filename=NPMR_ABC_2017-06-23_E.MP4$2262$2292","Battle of the Network Stars")</f>
        <v>Battle of the Network Stars</v>
      </c>
      <c r="E639" s="3" t="s">
        <v>38</v>
      </c>
      <c r="F639" s="3" t="s">
        <v>787</v>
      </c>
      <c r="G639" s="3" t="s">
        <v>788</v>
      </c>
    </row>
    <row r="640" spans="1:7">
      <c r="A640" s="6">
        <v>42909</v>
      </c>
      <c r="B640" s="3" t="s">
        <v>13</v>
      </c>
      <c r="C640" s="3" t="s">
        <v>18</v>
      </c>
      <c r="D640" s="8" t="str">
        <f>HYPERLINK("http://npthd.inbcu.com/ViewContent.aspx?filename=NPMR_ABC_2017-06-23_E.MP4$2292$2544","SHARK TANK: 814")</f>
        <v>SHARK TANK: 814</v>
      </c>
      <c r="E640" s="3" t="s">
        <v>789</v>
      </c>
      <c r="F640" s="3" t="s">
        <v>788</v>
      </c>
      <c r="G640" s="3" t="s">
        <v>790</v>
      </c>
    </row>
    <row r="641" spans="1:7">
      <c r="A641" s="6">
        <v>42909</v>
      </c>
      <c r="B641" s="3" t="s">
        <v>13</v>
      </c>
      <c r="C641" s="3" t="s">
        <v>21</v>
      </c>
      <c r="D641" s="8" t="str">
        <f>HYPERLINK("http://npthd.inbcu.com/ViewContent.aspx?filename=NPMR_ABC_2017-06-23_E.MP4$2544$2694","COMMERCIAL")</f>
        <v>COMMERCIAL</v>
      </c>
      <c r="E641" s="3" t="s">
        <v>28</v>
      </c>
      <c r="F641" s="3" t="s">
        <v>790</v>
      </c>
      <c r="G641" s="3" t="s">
        <v>791</v>
      </c>
    </row>
    <row r="642" spans="1:7">
      <c r="A642" s="6">
        <v>42909</v>
      </c>
      <c r="B642" s="3" t="s">
        <v>13</v>
      </c>
      <c r="C642" s="3" t="s">
        <v>14</v>
      </c>
      <c r="D642" s="8" t="str">
        <f>HYPERLINK("http://npthd.inbcu.com/ViewContent.aspx?filename=NPMR_ABC_2017-06-23_E.MP4$2694$2709","Funderdome")</f>
        <v>Funderdome</v>
      </c>
      <c r="E642" s="3" t="s">
        <v>30</v>
      </c>
      <c r="F642" s="3" t="s">
        <v>791</v>
      </c>
      <c r="G642" s="3" t="s">
        <v>792</v>
      </c>
    </row>
    <row r="643" spans="1:7">
      <c r="A643" s="6">
        <v>42909</v>
      </c>
      <c r="B643" s="3" t="s">
        <v>13</v>
      </c>
      <c r="C643" s="3" t="s">
        <v>14</v>
      </c>
      <c r="D643" s="8" t="str">
        <f>HYPERLINK("http://npthd.inbcu.com/ViewContent.aspx?filename=NPMR_ABC_2017-06-23_E.MP4$2709$2724","Bachelorette")</f>
        <v>Bachelorette</v>
      </c>
      <c r="E643" s="3" t="s">
        <v>30</v>
      </c>
      <c r="F643" s="3" t="s">
        <v>792</v>
      </c>
      <c r="G643" s="3" t="s">
        <v>793</v>
      </c>
    </row>
    <row r="644" spans="1:7">
      <c r="A644" s="6">
        <v>42909</v>
      </c>
      <c r="B644" s="3" t="s">
        <v>13</v>
      </c>
      <c r="C644" s="3" t="s">
        <v>32</v>
      </c>
      <c r="D644" s="8" t="str">
        <f>HYPERLINK("http://npthd.inbcu.com/ViewContent.aspx?filename=NPMR_ABC_2017-06-23_E.MP4$2724$2784","LOCAL")</f>
        <v>LOCAL</v>
      </c>
      <c r="E644" s="3" t="s">
        <v>66</v>
      </c>
      <c r="F644" s="3" t="s">
        <v>793</v>
      </c>
      <c r="G644" s="3" t="s">
        <v>794</v>
      </c>
    </row>
    <row r="645" spans="1:7">
      <c r="A645" s="6">
        <v>42909</v>
      </c>
      <c r="B645" s="3" t="s">
        <v>13</v>
      </c>
      <c r="C645" s="3" t="s">
        <v>18</v>
      </c>
      <c r="D645" s="8" t="str">
        <f>HYPERLINK("http://npthd.inbcu.com/ViewContent.aspx?filename=NPMR_ABC_2017-06-23_E.MP4$2784$3255","SHARK TANK: 814")</f>
        <v>SHARK TANK: 814</v>
      </c>
      <c r="E645" s="3" t="s">
        <v>795</v>
      </c>
      <c r="F645" s="3" t="s">
        <v>794</v>
      </c>
      <c r="G645" s="3" t="s">
        <v>796</v>
      </c>
    </row>
    <row r="646" spans="1:7">
      <c r="A646" s="6">
        <v>42909</v>
      </c>
      <c r="B646" s="3" t="s">
        <v>13</v>
      </c>
      <c r="C646" s="3" t="s">
        <v>21</v>
      </c>
      <c r="D646" s="8" t="str">
        <f>HYPERLINK("http://npthd.inbcu.com/ViewContent.aspx?filename=NPMR_ABC_2017-06-23_E.MP4$3255$3435","COMMERCIAL")</f>
        <v>COMMERCIAL</v>
      </c>
      <c r="E646" s="3" t="s">
        <v>22</v>
      </c>
      <c r="F646" s="3" t="s">
        <v>796</v>
      </c>
      <c r="G646" s="3" t="s">
        <v>797</v>
      </c>
    </row>
    <row r="647" spans="1:7">
      <c r="A647" s="6">
        <v>42909</v>
      </c>
      <c r="B647" s="3" t="s">
        <v>13</v>
      </c>
      <c r="C647" s="3" t="s">
        <v>14</v>
      </c>
      <c r="D647" s="8" t="str">
        <f>HYPERLINK("http://npthd.inbcu.com/ViewContent.aspx?filename=NPMR_ABC_2017-06-23_E.MP4$3435$3465","What Would You Do?")</f>
        <v>What Would You Do?</v>
      </c>
      <c r="E647" s="3" t="s">
        <v>38</v>
      </c>
      <c r="F647" s="3" t="s">
        <v>797</v>
      </c>
      <c r="G647" s="3" t="s">
        <v>798</v>
      </c>
    </row>
    <row r="648" spans="1:7">
      <c r="A648" s="6">
        <v>42909</v>
      </c>
      <c r="B648" s="3" t="s">
        <v>13</v>
      </c>
      <c r="C648" s="3" t="s">
        <v>14</v>
      </c>
      <c r="D648" s="8" t="str">
        <f>HYPERLINK("http://npthd.inbcu.com/ViewContent.aspx?filename=NPMR_ABC_2017-06-23_E.MP4$3465$3480","Battle of the Network Stars")</f>
        <v>Battle of the Network Stars</v>
      </c>
      <c r="E648" s="3" t="s">
        <v>30</v>
      </c>
      <c r="F648" s="3" t="s">
        <v>798</v>
      </c>
      <c r="G648" s="3" t="s">
        <v>799</v>
      </c>
    </row>
    <row r="649" spans="1:7">
      <c r="A649" s="6">
        <v>42909</v>
      </c>
      <c r="B649" s="3" t="s">
        <v>13</v>
      </c>
      <c r="C649" s="3" t="s">
        <v>32</v>
      </c>
      <c r="D649" s="8" t="str">
        <f>HYPERLINK("http://npthd.inbcu.com/ViewContent.aspx?filename=NPMR_ABC_2017-06-23_E.MP4$3480$3485","LOCAL")</f>
        <v>LOCAL</v>
      </c>
      <c r="E649" s="3" t="s">
        <v>54</v>
      </c>
      <c r="F649" s="3" t="s">
        <v>799</v>
      </c>
      <c r="G649" s="3" t="s">
        <v>800</v>
      </c>
    </row>
    <row r="650" spans="1:7">
      <c r="A650" s="6">
        <v>42909</v>
      </c>
      <c r="B650" s="3" t="s">
        <v>13</v>
      </c>
      <c r="C650" s="3" t="s">
        <v>18</v>
      </c>
      <c r="D650" s="8" t="str">
        <f>HYPERLINK("http://npthd.inbcu.com/ViewContent.aspx?filename=NPMR_ABC_2017-06-23_E.MP4$3485$3753","SHARK TANK: 814")</f>
        <v>SHARK TANK: 814</v>
      </c>
      <c r="E650" s="3" t="s">
        <v>801</v>
      </c>
      <c r="F650" s="3" t="s">
        <v>800</v>
      </c>
      <c r="G650" s="3" t="s">
        <v>802</v>
      </c>
    </row>
    <row r="651" spans="1:7">
      <c r="A651" s="6">
        <v>42909</v>
      </c>
      <c r="B651" s="3" t="s">
        <v>13</v>
      </c>
      <c r="C651" s="3" t="s">
        <v>14</v>
      </c>
      <c r="D651" s="8" t="str">
        <f>HYPERLINK("http://npthd.inbcu.com/ViewContent.aspx?filename=NPMR_ABC_2017-06-23_E.MP4$3753$3768","Boy Band")</f>
        <v>Boy Band</v>
      </c>
      <c r="E651" s="3" t="s">
        <v>30</v>
      </c>
      <c r="F651" s="3" t="s">
        <v>802</v>
      </c>
      <c r="G651" s="3" t="s">
        <v>803</v>
      </c>
    </row>
    <row r="652" spans="1:7">
      <c r="A652" s="6">
        <v>42909</v>
      </c>
      <c r="B652" s="3" t="s">
        <v>13</v>
      </c>
      <c r="C652" s="3" t="s">
        <v>14</v>
      </c>
      <c r="D652" s="8" t="str">
        <f>HYPERLINK("http://npthd.inbcu.com/ViewContent.aspx?filename=NPMR_ABC_2017-06-23_E.MP4$3768$3783","Celebrity Family Feud")</f>
        <v>Celebrity Family Feud</v>
      </c>
      <c r="E652" s="3" t="s">
        <v>30</v>
      </c>
      <c r="F652" s="3" t="s">
        <v>803</v>
      </c>
      <c r="G652" s="3" t="s">
        <v>804</v>
      </c>
    </row>
    <row r="653" spans="1:7">
      <c r="A653" s="6">
        <v>42909</v>
      </c>
      <c r="B653" s="3" t="s">
        <v>13</v>
      </c>
      <c r="C653" s="3" t="s">
        <v>18</v>
      </c>
      <c r="D653" s="8" t="str">
        <f>HYPERLINK("http://npthd.inbcu.com/ViewContent.aspx?filename=NPMR_ABC_2017-06-23_E.MP4$3783$3789","SHARK TANK: 814")</f>
        <v>SHARK TANK: 814</v>
      </c>
      <c r="E653" s="3" t="s">
        <v>15</v>
      </c>
      <c r="F653" s="3" t="s">
        <v>804</v>
      </c>
      <c r="G653" s="3" t="s">
        <v>805</v>
      </c>
    </row>
    <row r="654" spans="1:7">
      <c r="A654" s="6">
        <v>42909</v>
      </c>
      <c r="B654" s="3" t="s">
        <v>13</v>
      </c>
      <c r="C654" s="3" t="s">
        <v>14</v>
      </c>
      <c r="D654" s="8" t="str">
        <f>HYPERLINK("http://npthd.inbcu.com/ViewContent.aspx?filename=NPMR_ABC_2017-06-23_E.MP4$3789$3794","What Would You Do?")</f>
        <v>What Would You Do?</v>
      </c>
      <c r="E654" s="3" t="s">
        <v>54</v>
      </c>
      <c r="F654" s="3" t="s">
        <v>805</v>
      </c>
      <c r="G654" s="3" t="s">
        <v>806</v>
      </c>
    </row>
    <row r="655" spans="1:7">
      <c r="A655" s="6">
        <v>42909</v>
      </c>
      <c r="B655" s="3" t="s">
        <v>13</v>
      </c>
      <c r="C655" s="3" t="s">
        <v>18</v>
      </c>
      <c r="D655" s="8" t="str">
        <f>HYPERLINK("http://npthd.inbcu.com/ViewContent.aspx?filename=NPMR_ABC_2017-06-23_E.MP4$3794$4338","WHAT WOULD YOU DO?:")</f>
        <v>WHAT WOULD YOU DO?:</v>
      </c>
      <c r="E655" s="3" t="s">
        <v>295</v>
      </c>
      <c r="F655" s="3" t="s">
        <v>806</v>
      </c>
      <c r="G655" s="3" t="s">
        <v>807</v>
      </c>
    </row>
    <row r="656" spans="1:7">
      <c r="A656" s="6">
        <v>42909</v>
      </c>
      <c r="B656" s="3" t="s">
        <v>13</v>
      </c>
      <c r="C656" s="3" t="s">
        <v>21</v>
      </c>
      <c r="D656" s="8" t="str">
        <f>HYPERLINK("http://npthd.inbcu.com/ViewContent.aspx?filename=NPMR_ABC_2017-06-23_E.MP4$4338$4549","COMMERCIAL")</f>
        <v>COMMERCIAL</v>
      </c>
      <c r="E656" s="3" t="s">
        <v>334</v>
      </c>
      <c r="F656" s="3" t="s">
        <v>807</v>
      </c>
      <c r="G656" s="3" t="s">
        <v>808</v>
      </c>
    </row>
    <row r="657" spans="1:7">
      <c r="A657" s="6">
        <v>42909</v>
      </c>
      <c r="B657" s="3" t="s">
        <v>13</v>
      </c>
      <c r="C657" s="3" t="s">
        <v>14</v>
      </c>
      <c r="D657" s="8" t="str">
        <f>HYPERLINK("http://npthd.inbcu.com/ViewContent.aspx?filename=NPMR_ABC_2017-06-23_E.MP4$4549$4579","ABC Summer Fun &amp; Games")</f>
        <v>ABC Summer Fun &amp; Games</v>
      </c>
      <c r="E657" s="3" t="s">
        <v>38</v>
      </c>
      <c r="F657" s="3" t="s">
        <v>808</v>
      </c>
      <c r="G657" s="3" t="s">
        <v>809</v>
      </c>
    </row>
    <row r="658" spans="1:7">
      <c r="A658" s="6">
        <v>42909</v>
      </c>
      <c r="B658" s="3" t="s">
        <v>13</v>
      </c>
      <c r="C658" s="3" t="s">
        <v>14</v>
      </c>
      <c r="D658" s="8" t="str">
        <f>HYPERLINK("http://npthd.inbcu.com/ViewContent.aspx?filename=NPMR_ABC_2017-06-23_E.MP4$4579$4609","Bachelorette")</f>
        <v>Bachelorette</v>
      </c>
      <c r="E658" s="3" t="s">
        <v>38</v>
      </c>
      <c r="F658" s="3" t="s">
        <v>809</v>
      </c>
      <c r="G658" s="3" t="s">
        <v>810</v>
      </c>
    </row>
    <row r="659" spans="1:7">
      <c r="A659" s="6">
        <v>42909</v>
      </c>
      <c r="B659" s="3" t="s">
        <v>13</v>
      </c>
      <c r="C659" s="3" t="s">
        <v>18</v>
      </c>
      <c r="D659" s="8" t="str">
        <f>HYPERLINK("http://npthd.inbcu.com/ViewContent.aspx?filename=NPMR_ABC_2017-06-23_E.MP4$4609$5141","WHAT WOULD YOU DO?:")</f>
        <v>WHAT WOULD YOU DO?:</v>
      </c>
      <c r="E659" s="3" t="s">
        <v>376</v>
      </c>
      <c r="F659" s="3" t="s">
        <v>810</v>
      </c>
      <c r="G659" s="3" t="s">
        <v>811</v>
      </c>
    </row>
    <row r="660" spans="1:7">
      <c r="A660" s="6">
        <v>42909</v>
      </c>
      <c r="B660" s="3" t="s">
        <v>13</v>
      </c>
      <c r="C660" s="3" t="s">
        <v>21</v>
      </c>
      <c r="D660" s="8" t="str">
        <f>HYPERLINK("http://npthd.inbcu.com/ViewContent.aspx?filename=NPMR_ABC_2017-06-23_E.MP4$5141$5337","COMMERCIAL")</f>
        <v>COMMERCIAL</v>
      </c>
      <c r="E660" s="3" t="s">
        <v>812</v>
      </c>
      <c r="F660" s="3" t="s">
        <v>811</v>
      </c>
      <c r="G660" s="3" t="s">
        <v>813</v>
      </c>
    </row>
    <row r="661" spans="1:7">
      <c r="A661" s="6">
        <v>42909</v>
      </c>
      <c r="B661" s="3" t="s">
        <v>13</v>
      </c>
      <c r="C661" s="3" t="s">
        <v>14</v>
      </c>
      <c r="D661" s="8" t="str">
        <f>HYPERLINK("http://npthd.inbcu.com/ViewContent.aspx?filename=NPMR_ABC_2017-06-23_E.MP4$5337$5352","Battle of the Network Stars")</f>
        <v>Battle of the Network Stars</v>
      </c>
      <c r="E661" s="3" t="s">
        <v>30</v>
      </c>
      <c r="F661" s="3" t="s">
        <v>813</v>
      </c>
      <c r="G661" s="3" t="s">
        <v>649</v>
      </c>
    </row>
    <row r="662" spans="1:7">
      <c r="A662" s="6">
        <v>42909</v>
      </c>
      <c r="B662" s="3" t="s">
        <v>13</v>
      </c>
      <c r="C662" s="3" t="s">
        <v>32</v>
      </c>
      <c r="D662" s="8" t="str">
        <f>HYPERLINK("http://npthd.inbcu.com/ViewContent.aspx?filename=NPMR_ABC_2017-06-23_E.MP4$5352$5412","LOCAL")</f>
        <v>LOCAL</v>
      </c>
      <c r="E662" s="3" t="s">
        <v>66</v>
      </c>
      <c r="F662" s="3" t="s">
        <v>649</v>
      </c>
      <c r="G662" s="3" t="s">
        <v>814</v>
      </c>
    </row>
    <row r="663" spans="1:7">
      <c r="A663" s="6">
        <v>42909</v>
      </c>
      <c r="B663" s="3" t="s">
        <v>13</v>
      </c>
      <c r="C663" s="3" t="s">
        <v>18</v>
      </c>
      <c r="D663" s="8" t="str">
        <f>HYPERLINK("http://npthd.inbcu.com/ViewContent.aspx?filename=NPMR_ABC_2017-06-23_E.MP4$5412$5911","WHAT WOULD YOU DO?:")</f>
        <v>WHAT WOULD YOU DO?:</v>
      </c>
      <c r="E663" s="3" t="s">
        <v>723</v>
      </c>
      <c r="F663" s="3" t="s">
        <v>814</v>
      </c>
      <c r="G663" s="3" t="s">
        <v>815</v>
      </c>
    </row>
    <row r="664" spans="1:7">
      <c r="A664" s="6">
        <v>42909</v>
      </c>
      <c r="B664" s="3" t="s">
        <v>13</v>
      </c>
      <c r="C664" s="3" t="s">
        <v>21</v>
      </c>
      <c r="D664" s="8" t="str">
        <f>HYPERLINK("http://npthd.inbcu.com/ViewContent.aspx?filename=NPMR_ABC_2017-06-23_E.MP4$5911$6032","COMMERCIAL")</f>
        <v>COMMERCIAL</v>
      </c>
      <c r="E664" s="3" t="s">
        <v>175</v>
      </c>
      <c r="F664" s="3" t="s">
        <v>815</v>
      </c>
      <c r="G664" s="3" t="s">
        <v>816</v>
      </c>
    </row>
    <row r="665" spans="1:7">
      <c r="A665" s="6">
        <v>42909</v>
      </c>
      <c r="B665" s="3" t="s">
        <v>13</v>
      </c>
      <c r="C665" s="3" t="s">
        <v>14</v>
      </c>
      <c r="D665" s="8" t="str">
        <f>HYPERLINK("http://npthd.inbcu.com/ViewContent.aspx?filename=NPMR_ABC_2017-06-23_E.MP4$6032$6062","20/20")</f>
        <v>20/20</v>
      </c>
      <c r="E665" s="3" t="s">
        <v>38</v>
      </c>
      <c r="F665" s="3" t="s">
        <v>816</v>
      </c>
      <c r="G665" s="3" t="s">
        <v>817</v>
      </c>
    </row>
    <row r="666" spans="1:7">
      <c r="A666" s="6">
        <v>42909</v>
      </c>
      <c r="B666" s="3" t="s">
        <v>13</v>
      </c>
      <c r="C666" s="3" t="s">
        <v>14</v>
      </c>
      <c r="D666" s="8" t="str">
        <f>HYPERLINK("http://npthd.inbcu.com/ViewContent.aspx?filename=NPMR_ABC_2017-06-23_E.MP4$6062$6077","Boy Band")</f>
        <v>Boy Band</v>
      </c>
      <c r="E666" s="3" t="s">
        <v>30</v>
      </c>
      <c r="F666" s="3" t="s">
        <v>817</v>
      </c>
      <c r="G666" s="3" t="s">
        <v>818</v>
      </c>
    </row>
    <row r="667" spans="1:7">
      <c r="A667" s="6">
        <v>42909</v>
      </c>
      <c r="B667" s="3" t="s">
        <v>13</v>
      </c>
      <c r="C667" s="3" t="s">
        <v>32</v>
      </c>
      <c r="D667" s="8" t="str">
        <f>HYPERLINK("http://npthd.inbcu.com/ViewContent.aspx?filename=NPMR_ABC_2017-06-23_E.MP4$6077$6167","LOCAL")</f>
        <v>LOCAL</v>
      </c>
      <c r="E667" s="3" t="s">
        <v>46</v>
      </c>
      <c r="F667" s="3" t="s">
        <v>818</v>
      </c>
      <c r="G667" s="3" t="s">
        <v>819</v>
      </c>
    </row>
    <row r="668" spans="1:7">
      <c r="A668" s="6">
        <v>42909</v>
      </c>
      <c r="B668" s="3" t="s">
        <v>13</v>
      </c>
      <c r="C668" s="3" t="s">
        <v>18</v>
      </c>
      <c r="D668" s="8" t="str">
        <f>HYPERLINK("http://npthd.inbcu.com/ViewContent.aspx?filename=NPMR_ABC_2017-06-23_E.MP4$6167$6616","WHAT WOULD YOU DO?:")</f>
        <v>WHAT WOULD YOU DO?:</v>
      </c>
      <c r="E668" s="3" t="s">
        <v>820</v>
      </c>
      <c r="F668" s="3" t="s">
        <v>819</v>
      </c>
      <c r="G668" s="3" t="s">
        <v>821</v>
      </c>
    </row>
    <row r="669" spans="1:7">
      <c r="A669" s="6">
        <v>42909</v>
      </c>
      <c r="B669" s="3" t="s">
        <v>13</v>
      </c>
      <c r="C669" s="3" t="s">
        <v>21</v>
      </c>
      <c r="D669" s="8" t="str">
        <f>HYPERLINK("http://npthd.inbcu.com/ViewContent.aspx?filename=NPMR_ABC_2017-06-23_E.MP4$6616$6826","COMMERCIAL")</f>
        <v>COMMERCIAL</v>
      </c>
      <c r="E669" s="3" t="s">
        <v>150</v>
      </c>
      <c r="F669" s="3" t="s">
        <v>821</v>
      </c>
      <c r="G669" s="3" t="s">
        <v>822</v>
      </c>
    </row>
    <row r="670" spans="1:7">
      <c r="A670" s="6">
        <v>42909</v>
      </c>
      <c r="B670" s="3" t="s">
        <v>13</v>
      </c>
      <c r="C670" s="3" t="s">
        <v>14</v>
      </c>
      <c r="D670" s="8" t="str">
        <f>HYPERLINK("http://npthd.inbcu.com/ViewContent.aspx?filename=NPMR_ABC_2017-06-23_E.MP4$6826$6857","Funderdome")</f>
        <v>Funderdome</v>
      </c>
      <c r="E670" s="3" t="s">
        <v>98</v>
      </c>
      <c r="F670" s="3" t="s">
        <v>822</v>
      </c>
      <c r="G670" s="3" t="s">
        <v>823</v>
      </c>
    </row>
    <row r="671" spans="1:7">
      <c r="A671" s="6">
        <v>42909</v>
      </c>
      <c r="B671" s="3" t="s">
        <v>13</v>
      </c>
      <c r="C671" s="3" t="s">
        <v>14</v>
      </c>
      <c r="D671" s="8" t="str">
        <f>HYPERLINK("http://npthd.inbcu.com/ViewContent.aspx?filename=NPMR_ABC_2017-06-23_E.MP4$6857$6887","Battle of the Network Stars")</f>
        <v>Battle of the Network Stars</v>
      </c>
      <c r="E671" s="3" t="s">
        <v>38</v>
      </c>
      <c r="F671" s="3" t="s">
        <v>823</v>
      </c>
      <c r="G671" s="3" t="s">
        <v>824</v>
      </c>
    </row>
    <row r="672" spans="1:7">
      <c r="A672" s="6">
        <v>42909</v>
      </c>
      <c r="B672" s="3" t="s">
        <v>13</v>
      </c>
      <c r="C672" s="3" t="s">
        <v>32</v>
      </c>
      <c r="D672" s="8" t="str">
        <f>HYPERLINK("http://npthd.inbcu.com/ViewContent.aspx?filename=NPMR_ABC_2017-06-23_E.MP4$6887$6891","LOCAL")</f>
        <v>LOCAL</v>
      </c>
      <c r="E672" s="3" t="s">
        <v>84</v>
      </c>
      <c r="F672" s="3" t="s">
        <v>824</v>
      </c>
      <c r="G672" s="3" t="s">
        <v>825</v>
      </c>
    </row>
    <row r="673" spans="1:7">
      <c r="A673" s="6">
        <v>42909</v>
      </c>
      <c r="B673" s="3" t="s">
        <v>13</v>
      </c>
      <c r="C673" s="3" t="s">
        <v>18</v>
      </c>
      <c r="D673" s="8" t="str">
        <f>HYPERLINK("http://npthd.inbcu.com/ViewContent.aspx?filename=NPMR_ABC_2017-06-23_E.MP4$6891$7328","WHAT WOULD YOU DO?:")</f>
        <v>WHAT WOULD YOU DO?:</v>
      </c>
      <c r="E673" s="3" t="s">
        <v>116</v>
      </c>
      <c r="F673" s="3" t="s">
        <v>825</v>
      </c>
      <c r="G673" s="3" t="s">
        <v>394</v>
      </c>
    </row>
    <row r="674" spans="1:7">
      <c r="A674" s="6">
        <v>42909</v>
      </c>
      <c r="B674" s="3" t="s">
        <v>13</v>
      </c>
      <c r="C674" s="3" t="s">
        <v>14</v>
      </c>
      <c r="D674" s="8" t="str">
        <f>HYPERLINK("http://npthd.inbcu.com/ViewContent.aspx?filename=NPMR_ABC_2017-06-23_E.MP4$7328$7334","20/20")</f>
        <v>20/20</v>
      </c>
      <c r="E674" s="3" t="s">
        <v>15</v>
      </c>
      <c r="F674" s="3" t="s">
        <v>394</v>
      </c>
      <c r="G674" s="3" t="s">
        <v>88</v>
      </c>
    </row>
    <row r="675" spans="1:7">
      <c r="A675" s="6">
        <v>42909</v>
      </c>
      <c r="B675" s="3" t="s">
        <v>13</v>
      </c>
      <c r="C675" s="3" t="s">
        <v>18</v>
      </c>
      <c r="D675" s="8" t="str">
        <f>HYPERLINK("http://npthd.inbcu.com/ViewContent.aspx?filename=NPMR_ABC_2017-06-23_E.MP4$7334$7952","20/20:")</f>
        <v>20/20:</v>
      </c>
      <c r="E675" s="3" t="s">
        <v>826</v>
      </c>
      <c r="F675" s="3" t="s">
        <v>88</v>
      </c>
      <c r="G675" s="3" t="s">
        <v>827</v>
      </c>
    </row>
    <row r="676" spans="1:7">
      <c r="A676" s="6">
        <v>42909</v>
      </c>
      <c r="B676" s="3" t="s">
        <v>13</v>
      </c>
      <c r="C676" s="3" t="s">
        <v>21</v>
      </c>
      <c r="D676" s="8" t="str">
        <f>HYPERLINK("http://npthd.inbcu.com/ViewContent.aspx?filename=NPMR_ABC_2017-06-23_E.MP4$7952$8134","COMMERCIAL")</f>
        <v>COMMERCIAL</v>
      </c>
      <c r="E676" s="3" t="s">
        <v>275</v>
      </c>
      <c r="F676" s="3" t="s">
        <v>827</v>
      </c>
      <c r="G676" s="3" t="s">
        <v>828</v>
      </c>
    </row>
    <row r="677" spans="1:7">
      <c r="A677" s="6">
        <v>42909</v>
      </c>
      <c r="B677" s="3" t="s">
        <v>13</v>
      </c>
      <c r="C677" s="3" t="s">
        <v>14</v>
      </c>
      <c r="D677" s="8" t="str">
        <f>HYPERLINK("http://npthd.inbcu.com/ViewContent.aspx?filename=NPMR_ABC_2017-06-23_E.MP4$8134$8164","ABC Summer Fun &amp; Games")</f>
        <v>ABC Summer Fun &amp; Games</v>
      </c>
      <c r="E677" s="3" t="s">
        <v>38</v>
      </c>
      <c r="F677" s="3" t="s">
        <v>828</v>
      </c>
      <c r="G677" s="3" t="s">
        <v>829</v>
      </c>
    </row>
    <row r="678" spans="1:7">
      <c r="A678" s="6">
        <v>42909</v>
      </c>
      <c r="B678" s="3" t="s">
        <v>13</v>
      </c>
      <c r="C678" s="3" t="s">
        <v>18</v>
      </c>
      <c r="D678" s="8" t="str">
        <f>HYPERLINK("http://npthd.inbcu.com/ViewContent.aspx?filename=NPMR_ABC_2017-06-23_E.MP4$8164$8646","20/20:")</f>
        <v>20/20:</v>
      </c>
      <c r="E678" s="3" t="s">
        <v>830</v>
      </c>
      <c r="F678" s="3" t="s">
        <v>829</v>
      </c>
      <c r="G678" s="3" t="s">
        <v>831</v>
      </c>
    </row>
    <row r="679" spans="1:7">
      <c r="A679" s="6">
        <v>42909</v>
      </c>
      <c r="B679" s="3" t="s">
        <v>13</v>
      </c>
      <c r="C679" s="3" t="s">
        <v>21</v>
      </c>
      <c r="D679" s="8" t="str">
        <f>HYPERLINK("http://npthd.inbcu.com/ViewContent.aspx?filename=NPMR_ABC_2017-06-23_E.MP4$8646$8827","COMMERCIAL")</f>
        <v>COMMERCIAL</v>
      </c>
      <c r="E679" s="3" t="s">
        <v>108</v>
      </c>
      <c r="F679" s="3" t="s">
        <v>831</v>
      </c>
      <c r="G679" s="3" t="s">
        <v>832</v>
      </c>
    </row>
    <row r="680" spans="1:7">
      <c r="A680" s="6">
        <v>42909</v>
      </c>
      <c r="B680" s="3" t="s">
        <v>13</v>
      </c>
      <c r="C680" s="3" t="s">
        <v>14</v>
      </c>
      <c r="D680" s="8" t="str">
        <f>HYPERLINK("http://npthd.inbcu.com/ViewContent.aspx?filename=NPMR_ABC_2017-06-23_E.MP4$8827$8857","Bachelorette")</f>
        <v>Bachelorette</v>
      </c>
      <c r="E680" s="3" t="s">
        <v>38</v>
      </c>
      <c r="F680" s="3" t="s">
        <v>832</v>
      </c>
      <c r="G680" s="3" t="s">
        <v>294</v>
      </c>
    </row>
    <row r="681" spans="1:7">
      <c r="A681" s="6">
        <v>42909</v>
      </c>
      <c r="B681" s="3" t="s">
        <v>13</v>
      </c>
      <c r="C681" s="3" t="s">
        <v>14</v>
      </c>
      <c r="D681" s="8" t="str">
        <f>HYPERLINK("http://npthd.inbcu.com/ViewContent.aspx?filename=NPMR_ABC_2017-06-23_E.MP4$8857$8872","Battle of the Network Stars")</f>
        <v>Battle of the Network Stars</v>
      </c>
      <c r="E681" s="3" t="s">
        <v>30</v>
      </c>
      <c r="F681" s="3" t="s">
        <v>294</v>
      </c>
      <c r="G681" s="3" t="s">
        <v>833</v>
      </c>
    </row>
    <row r="682" spans="1:7">
      <c r="A682" s="6">
        <v>42909</v>
      </c>
      <c r="B682" s="3" t="s">
        <v>13</v>
      </c>
      <c r="C682" s="3" t="s">
        <v>18</v>
      </c>
      <c r="D682" s="8" t="str">
        <f>HYPERLINK("http://npthd.inbcu.com/ViewContent.aspx?filename=NPMR_ABC_2017-06-23_E.MP4$8872$9234","20/20:")</f>
        <v>20/20:</v>
      </c>
      <c r="E682" s="3" t="s">
        <v>48</v>
      </c>
      <c r="F682" s="3" t="s">
        <v>833</v>
      </c>
      <c r="G682" s="3" t="s">
        <v>834</v>
      </c>
    </row>
    <row r="683" spans="1:7">
      <c r="A683" s="6">
        <v>42909</v>
      </c>
      <c r="B683" s="3" t="s">
        <v>13</v>
      </c>
      <c r="C683" s="3" t="s">
        <v>21</v>
      </c>
      <c r="D683" s="8" t="str">
        <f>HYPERLINK("http://npthd.inbcu.com/ViewContent.aspx?filename=NPMR_ABC_2017-06-23_E.MP4$9234$9356","COMMERCIAL")</f>
        <v>COMMERCIAL</v>
      </c>
      <c r="E683" s="3" t="s">
        <v>252</v>
      </c>
      <c r="F683" s="3" t="s">
        <v>834</v>
      </c>
      <c r="G683" s="3" t="s">
        <v>835</v>
      </c>
    </row>
    <row r="684" spans="1:7">
      <c r="A684" s="6">
        <v>42909</v>
      </c>
      <c r="B684" s="3" t="s">
        <v>13</v>
      </c>
      <c r="C684" s="3" t="s">
        <v>14</v>
      </c>
      <c r="D684" s="8" t="str">
        <f>HYPERLINK("http://npthd.inbcu.com/ViewContent.aspx?filename=NPMR_ABC_2017-06-23_E.MP4$9356$9371","Funderdome")</f>
        <v>Funderdome</v>
      </c>
      <c r="E684" s="3" t="s">
        <v>30</v>
      </c>
      <c r="F684" s="3" t="s">
        <v>835</v>
      </c>
      <c r="G684" s="3" t="s">
        <v>836</v>
      </c>
    </row>
    <row r="685" spans="1:7">
      <c r="A685" s="6">
        <v>42909</v>
      </c>
      <c r="B685" s="3" t="s">
        <v>13</v>
      </c>
      <c r="C685" s="3" t="s">
        <v>14</v>
      </c>
      <c r="D685" s="8" t="str">
        <f>HYPERLINK("http://npthd.inbcu.com/ViewContent.aspx?filename=NPMR_ABC_2017-06-23_E.MP4$9371$9386","Good Morning America")</f>
        <v>Good Morning America</v>
      </c>
      <c r="E685" s="3" t="s">
        <v>30</v>
      </c>
      <c r="F685" s="3" t="s">
        <v>836</v>
      </c>
      <c r="G685" s="3" t="s">
        <v>837</v>
      </c>
    </row>
    <row r="686" spans="1:7">
      <c r="A686" s="6">
        <v>42909</v>
      </c>
      <c r="B686" s="3" t="s">
        <v>13</v>
      </c>
      <c r="C686" s="3" t="s">
        <v>32</v>
      </c>
      <c r="D686" s="8" t="str">
        <f>HYPERLINK("http://npthd.inbcu.com/ViewContent.aspx?filename=NPMR_ABC_2017-06-23_E.MP4$9386$9491","LOCAL")</f>
        <v>LOCAL</v>
      </c>
      <c r="E686" s="3" t="s">
        <v>199</v>
      </c>
      <c r="F686" s="3" t="s">
        <v>837</v>
      </c>
      <c r="G686" s="3" t="s">
        <v>838</v>
      </c>
    </row>
    <row r="687" spans="1:7">
      <c r="A687" s="6">
        <v>42909</v>
      </c>
      <c r="B687" s="3" t="s">
        <v>13</v>
      </c>
      <c r="C687" s="3" t="s">
        <v>18</v>
      </c>
      <c r="D687" s="8" t="str">
        <f>HYPERLINK("http://npthd.inbcu.com/ViewContent.aspx?filename=NPMR_ABC_2017-06-23_E.MP4$9491$9939","20/20:")</f>
        <v>20/20:</v>
      </c>
      <c r="E687" s="3" t="s">
        <v>163</v>
      </c>
      <c r="F687" s="3" t="s">
        <v>838</v>
      </c>
      <c r="G687" s="3" t="s">
        <v>839</v>
      </c>
    </row>
    <row r="688" spans="1:7">
      <c r="A688" s="6">
        <v>42909</v>
      </c>
      <c r="B688" s="3" t="s">
        <v>13</v>
      </c>
      <c r="C688" s="3" t="s">
        <v>21</v>
      </c>
      <c r="D688" s="8" t="str">
        <f>HYPERLINK("http://npthd.inbcu.com/ViewContent.aspx?filename=NPMR_ABC_2017-06-23_E.MP4$9939$10030","COMMERCIAL")</f>
        <v>COMMERCIAL</v>
      </c>
      <c r="E688" s="3" t="s">
        <v>77</v>
      </c>
      <c r="F688" s="3" t="s">
        <v>839</v>
      </c>
      <c r="G688" s="3" t="s">
        <v>840</v>
      </c>
    </row>
    <row r="689" spans="1:7">
      <c r="A689" s="6">
        <v>42909</v>
      </c>
      <c r="B689" s="3" t="s">
        <v>13</v>
      </c>
      <c r="C689" s="3" t="s">
        <v>14</v>
      </c>
      <c r="D689" s="8" t="str">
        <f>HYPERLINK("http://npthd.inbcu.com/ViewContent.aspx?filename=NPMR_ABC_2017-06-23_E.MP4$10030$10046","This Week")</f>
        <v>This Week</v>
      </c>
      <c r="E689" s="3" t="s">
        <v>64</v>
      </c>
      <c r="F689" s="3" t="s">
        <v>840</v>
      </c>
      <c r="G689" s="3" t="s">
        <v>841</v>
      </c>
    </row>
    <row r="690" spans="1:7">
      <c r="A690" s="6">
        <v>42909</v>
      </c>
      <c r="B690" s="3" t="s">
        <v>13</v>
      </c>
      <c r="C690" s="3" t="s">
        <v>14</v>
      </c>
      <c r="D690" s="8" t="str">
        <f>HYPERLINK("http://npthd.inbcu.com/ViewContent.aspx?filename=NPMR_ABC_2017-06-23_E.MP4$10046$10060","World News Tonight")</f>
        <v>World News Tonight</v>
      </c>
      <c r="E690" s="3" t="s">
        <v>342</v>
      </c>
      <c r="F690" s="3" t="s">
        <v>841</v>
      </c>
      <c r="G690" s="3" t="s">
        <v>842</v>
      </c>
    </row>
    <row r="691" spans="1:7">
      <c r="A691" s="6">
        <v>42909</v>
      </c>
      <c r="B691" s="3" t="s">
        <v>13</v>
      </c>
      <c r="C691" s="3" t="s">
        <v>14</v>
      </c>
      <c r="D691" s="8" t="str">
        <f>HYPERLINK("http://npthd.inbcu.com/ViewContent.aspx?filename=NPMR_ABC_2017-06-23_E.MP4$10060$10091","Battle of the Network Stars")</f>
        <v>Battle of the Network Stars</v>
      </c>
      <c r="E691" s="3" t="s">
        <v>98</v>
      </c>
      <c r="F691" s="3" t="s">
        <v>842</v>
      </c>
      <c r="G691" s="3" t="s">
        <v>843</v>
      </c>
    </row>
    <row r="692" spans="1:7">
      <c r="A692" s="6">
        <v>42909</v>
      </c>
      <c r="B692" s="3" t="s">
        <v>13</v>
      </c>
      <c r="C692" s="3" t="s">
        <v>32</v>
      </c>
      <c r="D692" s="8" t="str">
        <f>HYPERLINK("http://npthd.inbcu.com/ViewContent.aspx?filename=NPMR_ABC_2017-06-23_E.MP4$10091$10181","LOCAL")</f>
        <v>LOCAL</v>
      </c>
      <c r="E692" s="3" t="s">
        <v>46</v>
      </c>
      <c r="F692" s="3" t="s">
        <v>843</v>
      </c>
      <c r="G692" s="3" t="s">
        <v>844</v>
      </c>
    </row>
    <row r="693" spans="1:7">
      <c r="A693" s="6">
        <v>42909</v>
      </c>
      <c r="B693" s="3" t="s">
        <v>13</v>
      </c>
      <c r="C693" s="3" t="s">
        <v>18</v>
      </c>
      <c r="D693" s="8" t="str">
        <f>HYPERLINK("http://npthd.inbcu.com/ViewContent.aspx?filename=NPMR_ABC_2017-06-23_E.MP4$10181$10457","20/20:")</f>
        <v>20/20:</v>
      </c>
      <c r="E693" s="3" t="s">
        <v>845</v>
      </c>
      <c r="F693" s="3" t="s">
        <v>844</v>
      </c>
      <c r="G693" s="3" t="s">
        <v>846</v>
      </c>
    </row>
    <row r="694" spans="1:7">
      <c r="A694" s="6">
        <v>42909</v>
      </c>
      <c r="B694" s="3" t="s">
        <v>13</v>
      </c>
      <c r="C694" s="3" t="s">
        <v>32</v>
      </c>
      <c r="D694" s="8" t="str">
        <f>HYPERLINK("http://npthd.inbcu.com/ViewContent.aspx?filename=NPMR_ABC_2017-06-23_E.MP4$10457$10472","LOCAL")</f>
        <v>LOCAL</v>
      </c>
      <c r="E694" s="3" t="s">
        <v>30</v>
      </c>
      <c r="F694" s="3" t="s">
        <v>846</v>
      </c>
      <c r="G694" s="3" t="s">
        <v>847</v>
      </c>
    </row>
    <row r="695" spans="1:7">
      <c r="A695" s="6">
        <v>42909</v>
      </c>
      <c r="B695" s="3" t="s">
        <v>13</v>
      </c>
      <c r="C695" s="3" t="s">
        <v>21</v>
      </c>
      <c r="D695" s="8" t="str">
        <f>HYPERLINK("http://npthd.inbcu.com/ViewContent.aspx?filename=NPMR_ABC_2017-06-23_E.MP4$10472$10685","COMMERCIAL")</f>
        <v>COMMERCIAL</v>
      </c>
      <c r="E695" s="3" t="s">
        <v>261</v>
      </c>
      <c r="F695" s="3" t="s">
        <v>847</v>
      </c>
      <c r="G695" s="3" t="s">
        <v>848</v>
      </c>
    </row>
    <row r="696" spans="1:7">
      <c r="A696" s="6">
        <v>42909</v>
      </c>
      <c r="B696" s="3" t="s">
        <v>13</v>
      </c>
      <c r="C696" s="3" t="s">
        <v>18</v>
      </c>
      <c r="D696" s="8" t="str">
        <f>HYPERLINK("http://npthd.inbcu.com/ViewContent.aspx?filename=NPMR_ABC_2017-06-23_E.MP4$10685$10908","20/20:")</f>
        <v>20/20:</v>
      </c>
      <c r="E696" s="3" t="s">
        <v>849</v>
      </c>
      <c r="F696" s="3" t="s">
        <v>848</v>
      </c>
      <c r="G696" s="3" t="s">
        <v>216</v>
      </c>
    </row>
    <row r="697" spans="1:7">
      <c r="A697" s="6">
        <v>42909</v>
      </c>
      <c r="B697" s="3" t="s">
        <v>13</v>
      </c>
      <c r="C697" s="3" t="s">
        <v>14</v>
      </c>
      <c r="D697" s="8" t="str">
        <f>HYPERLINK("http://npthd.inbcu.com/ViewContent.aspx?filename=NPMR_ABC_2017-06-23_E.MP4$10908$10915","Funderdome")</f>
        <v>Funderdome</v>
      </c>
      <c r="E697" s="3" t="s">
        <v>567</v>
      </c>
      <c r="F697" s="3" t="s">
        <v>216</v>
      </c>
      <c r="G697" s="3" t="s">
        <v>850</v>
      </c>
    </row>
    <row r="698" spans="1:7">
      <c r="A698" s="6">
        <v>42909</v>
      </c>
      <c r="B698" s="3" t="s">
        <v>13</v>
      </c>
      <c r="C698" s="3" t="s">
        <v>32</v>
      </c>
      <c r="D698" s="8" t="str">
        <f>HYPERLINK("http://npthd.inbcu.com/ViewContent.aspx?filename=NPMR_ABC_2017-06-23_E.MP4$10915$10928","LOCAL")</f>
        <v>LOCAL</v>
      </c>
      <c r="E698" s="3" t="s">
        <v>851</v>
      </c>
      <c r="F698" s="3" t="s">
        <v>850</v>
      </c>
      <c r="G698" s="3" t="s">
        <v>124</v>
      </c>
    </row>
    <row r="699" spans="1:7">
      <c r="A699" s="6">
        <v>42910</v>
      </c>
      <c r="B699" s="3" t="s">
        <v>13</v>
      </c>
      <c r="C699" s="3" t="s">
        <v>14</v>
      </c>
      <c r="D699" s="8" t="str">
        <f>HYPERLINK("http://npthd.inbcu.com/ViewContent.aspx?filename=NPMR_ABC_2017-06-24_E.MP4$111$116","ABC Open")</f>
        <v>ABC Open</v>
      </c>
      <c r="E699" s="3" t="s">
        <v>54</v>
      </c>
      <c r="F699" s="3" t="s">
        <v>16</v>
      </c>
      <c r="G699" s="3" t="s">
        <v>125</v>
      </c>
    </row>
    <row r="700" spans="1:7">
      <c r="A700" s="6">
        <v>42910</v>
      </c>
      <c r="B700" s="3" t="s">
        <v>13</v>
      </c>
      <c r="C700" s="3" t="s">
        <v>18</v>
      </c>
      <c r="D700" s="8" t="str">
        <f>HYPERLINK("http://npthd.inbcu.com/ViewContent.aspx?filename=NPMR_ABC_2017-06-24_E.MP4$116$763","THE GONG SHOW: will arnett, ken jeong")</f>
        <v>THE GONG SHOW: will arnett, ken jeong</v>
      </c>
      <c r="E700" s="3" t="s">
        <v>852</v>
      </c>
      <c r="F700" s="3" t="s">
        <v>125</v>
      </c>
      <c r="G700" s="3" t="s">
        <v>853</v>
      </c>
    </row>
    <row r="701" spans="1:7">
      <c r="A701" s="6">
        <v>42910</v>
      </c>
      <c r="B701" s="3" t="s">
        <v>13</v>
      </c>
      <c r="C701" s="3" t="s">
        <v>21</v>
      </c>
      <c r="D701" s="8" t="str">
        <f>HYPERLINK("http://npthd.inbcu.com/ViewContent.aspx?filename=NPMR_ABC_2017-06-24_E.MP4$763$913","COMMERCIAL")</f>
        <v>COMMERCIAL</v>
      </c>
      <c r="E701" s="3" t="s">
        <v>28</v>
      </c>
      <c r="F701" s="3" t="s">
        <v>853</v>
      </c>
      <c r="G701" s="3" t="s">
        <v>854</v>
      </c>
    </row>
    <row r="702" spans="1:7">
      <c r="A702" s="6">
        <v>42910</v>
      </c>
      <c r="B702" s="3" t="s">
        <v>13</v>
      </c>
      <c r="C702" s="3" t="s">
        <v>14</v>
      </c>
      <c r="D702" s="8" t="str">
        <f>HYPERLINK("http://npthd.inbcu.com/ViewContent.aspx?filename=NPMR_ABC_2017-06-24_E.MP4$913$943","ABC Sunday")</f>
        <v>ABC Sunday</v>
      </c>
      <c r="E702" s="3" t="s">
        <v>38</v>
      </c>
      <c r="F702" s="3" t="s">
        <v>854</v>
      </c>
      <c r="G702" s="3" t="s">
        <v>855</v>
      </c>
    </row>
    <row r="703" spans="1:7">
      <c r="A703" s="6">
        <v>42910</v>
      </c>
      <c r="B703" s="3" t="s">
        <v>13</v>
      </c>
      <c r="C703" s="3" t="s">
        <v>14</v>
      </c>
      <c r="D703" s="8" t="str">
        <f>HYPERLINK("http://npthd.inbcu.com/ViewContent.aspx?filename=NPMR_ABC_2017-06-24_E.MP4$943$958","Gong Show, The")</f>
        <v>Gong Show, The</v>
      </c>
      <c r="E703" s="3" t="s">
        <v>30</v>
      </c>
      <c r="F703" s="3" t="s">
        <v>855</v>
      </c>
      <c r="G703" s="3" t="s">
        <v>856</v>
      </c>
    </row>
    <row r="704" spans="1:7">
      <c r="A704" s="6">
        <v>42910</v>
      </c>
      <c r="B704" s="3" t="s">
        <v>13</v>
      </c>
      <c r="C704" s="3" t="s">
        <v>18</v>
      </c>
      <c r="D704" s="8" t="str">
        <f>HYPERLINK("http://npthd.inbcu.com/ViewContent.aspx?filename=NPMR_ABC_2017-06-24_E.MP4$958$1358","THE GONG SHOW: will arnett, ken jeong")</f>
        <v>THE GONG SHOW: will arnett, ken jeong</v>
      </c>
      <c r="E704" s="3" t="s">
        <v>857</v>
      </c>
      <c r="F704" s="3" t="s">
        <v>856</v>
      </c>
      <c r="G704" s="3" t="s">
        <v>858</v>
      </c>
    </row>
    <row r="705" spans="1:7">
      <c r="A705" s="6">
        <v>42910</v>
      </c>
      <c r="B705" s="3" t="s">
        <v>13</v>
      </c>
      <c r="C705" s="3" t="s">
        <v>21</v>
      </c>
      <c r="D705" s="8" t="str">
        <f>HYPERLINK("http://npthd.inbcu.com/ViewContent.aspx?filename=NPMR_ABC_2017-06-24_E.MP4$1358$1478","COMMERCIAL")</f>
        <v>COMMERCIAL</v>
      </c>
      <c r="E705" s="3" t="s">
        <v>43</v>
      </c>
      <c r="F705" s="3" t="s">
        <v>858</v>
      </c>
      <c r="G705" s="3" t="s">
        <v>859</v>
      </c>
    </row>
    <row r="706" spans="1:7">
      <c r="A706" s="6">
        <v>42910</v>
      </c>
      <c r="B706" s="3" t="s">
        <v>13</v>
      </c>
      <c r="C706" s="3" t="s">
        <v>14</v>
      </c>
      <c r="D706" s="8" t="str">
        <f>HYPERLINK("http://npthd.inbcu.com/ViewContent.aspx?filename=NPMR_ABC_2017-06-24_E.MP4$1478$1493","To Tell the Truth")</f>
        <v>To Tell the Truth</v>
      </c>
      <c r="E706" s="3" t="s">
        <v>30</v>
      </c>
      <c r="F706" s="3" t="s">
        <v>859</v>
      </c>
      <c r="G706" s="3" t="s">
        <v>860</v>
      </c>
    </row>
    <row r="707" spans="1:7">
      <c r="A707" s="6">
        <v>42910</v>
      </c>
      <c r="B707" s="3" t="s">
        <v>13</v>
      </c>
      <c r="C707" s="3" t="s">
        <v>14</v>
      </c>
      <c r="D707" s="8" t="str">
        <f>HYPERLINK("http://npthd.inbcu.com/ViewContent.aspx?filename=NPMR_ABC_2017-06-24_E.MP4$1493$1523","Boy Band")</f>
        <v>Boy Band</v>
      </c>
      <c r="E707" s="3" t="s">
        <v>38</v>
      </c>
      <c r="F707" s="3" t="s">
        <v>860</v>
      </c>
      <c r="G707" s="3" t="s">
        <v>861</v>
      </c>
    </row>
    <row r="708" spans="1:7">
      <c r="A708" s="6">
        <v>42910</v>
      </c>
      <c r="B708" s="3" t="s">
        <v>13</v>
      </c>
      <c r="C708" s="3" t="s">
        <v>32</v>
      </c>
      <c r="D708" s="8" t="str">
        <f>HYPERLINK("http://npthd.inbcu.com/ViewContent.aspx?filename=NPMR_ABC_2017-06-24_E.MP4$1523$1583","LOCAL")</f>
        <v>LOCAL</v>
      </c>
      <c r="E708" s="3" t="s">
        <v>66</v>
      </c>
      <c r="F708" s="3" t="s">
        <v>861</v>
      </c>
      <c r="G708" s="3" t="s">
        <v>862</v>
      </c>
    </row>
    <row r="709" spans="1:7">
      <c r="A709" s="6">
        <v>42910</v>
      </c>
      <c r="B709" s="3" t="s">
        <v>13</v>
      </c>
      <c r="C709" s="3" t="s">
        <v>18</v>
      </c>
      <c r="D709" s="8" t="str">
        <f>HYPERLINK("http://npthd.inbcu.com/ViewContent.aspx?filename=NPMR_ABC_2017-06-24_E.MP4$1583$1904","THE GONG SHOW: will arnett, ken jeong")</f>
        <v>THE GONG SHOW: will arnett, ken jeong</v>
      </c>
      <c r="E709" s="3" t="s">
        <v>760</v>
      </c>
      <c r="F709" s="3" t="s">
        <v>862</v>
      </c>
      <c r="G709" s="3" t="s">
        <v>863</v>
      </c>
    </row>
    <row r="710" spans="1:7">
      <c r="A710" s="6">
        <v>42910</v>
      </c>
      <c r="B710" s="3" t="s">
        <v>13</v>
      </c>
      <c r="C710" s="3" t="s">
        <v>21</v>
      </c>
      <c r="D710" s="8" t="str">
        <f>HYPERLINK("http://npthd.inbcu.com/ViewContent.aspx?filename=NPMR_ABC_2017-06-24_E.MP4$1904$2054","COMMERCIAL")</f>
        <v>COMMERCIAL</v>
      </c>
      <c r="E710" s="3" t="s">
        <v>28</v>
      </c>
      <c r="F710" s="3" t="s">
        <v>863</v>
      </c>
      <c r="G710" s="3" t="s">
        <v>864</v>
      </c>
    </row>
    <row r="711" spans="1:7">
      <c r="A711" s="6">
        <v>42910</v>
      </c>
      <c r="B711" s="3" t="s">
        <v>13</v>
      </c>
      <c r="C711" s="3" t="s">
        <v>14</v>
      </c>
      <c r="D711" s="8" t="str">
        <f>HYPERLINK("http://npthd.inbcu.com/ViewContent.aspx?filename=NPMR_ABC_2017-06-24_E.MP4$2054$2084","Bachelorette")</f>
        <v>Bachelorette</v>
      </c>
      <c r="E711" s="3" t="s">
        <v>38</v>
      </c>
      <c r="F711" s="3" t="s">
        <v>864</v>
      </c>
      <c r="G711" s="3" t="s">
        <v>865</v>
      </c>
    </row>
    <row r="712" spans="1:7">
      <c r="A712" s="6">
        <v>42910</v>
      </c>
      <c r="B712" s="3" t="s">
        <v>13</v>
      </c>
      <c r="C712" s="3" t="s">
        <v>14</v>
      </c>
      <c r="D712" s="8" t="str">
        <f>HYPERLINK("http://npthd.inbcu.com/ViewContent.aspx?filename=NPMR_ABC_2017-06-24_E.MP4$2084$2114","Battle of the Network Stars")</f>
        <v>Battle of the Network Stars</v>
      </c>
      <c r="E712" s="3" t="s">
        <v>38</v>
      </c>
      <c r="F712" s="3" t="s">
        <v>865</v>
      </c>
      <c r="G712" s="3" t="s">
        <v>866</v>
      </c>
    </row>
    <row r="713" spans="1:7">
      <c r="A713" s="6">
        <v>42910</v>
      </c>
      <c r="B713" s="3" t="s">
        <v>13</v>
      </c>
      <c r="C713" s="3" t="s">
        <v>18</v>
      </c>
      <c r="D713" s="8" t="str">
        <f>HYPERLINK("http://npthd.inbcu.com/ViewContent.aspx?filename=NPMR_ABC_2017-06-24_E.MP4$2114$2503","THE GONG SHOW: will arnett, ken jeong")</f>
        <v>THE GONG SHOW: will arnett, ken jeong</v>
      </c>
      <c r="E713" s="3" t="s">
        <v>867</v>
      </c>
      <c r="F713" s="3" t="s">
        <v>866</v>
      </c>
      <c r="G713" s="3" t="s">
        <v>868</v>
      </c>
    </row>
    <row r="714" spans="1:7">
      <c r="A714" s="6">
        <v>42910</v>
      </c>
      <c r="B714" s="3" t="s">
        <v>13</v>
      </c>
      <c r="C714" s="3" t="s">
        <v>21</v>
      </c>
      <c r="D714" s="8" t="str">
        <f>HYPERLINK("http://npthd.inbcu.com/ViewContent.aspx?filename=NPMR_ABC_2017-06-24_E.MP4$2503$2623","COMMERCIAL")</f>
        <v>COMMERCIAL</v>
      </c>
      <c r="E714" s="3" t="s">
        <v>43</v>
      </c>
      <c r="F714" s="3" t="s">
        <v>868</v>
      </c>
      <c r="G714" s="3" t="s">
        <v>869</v>
      </c>
    </row>
    <row r="715" spans="1:7">
      <c r="A715" s="6">
        <v>42910</v>
      </c>
      <c r="B715" s="3" t="s">
        <v>13</v>
      </c>
      <c r="C715" s="3" t="s">
        <v>14</v>
      </c>
      <c r="D715" s="8" t="str">
        <f>HYPERLINK("http://npthd.inbcu.com/ViewContent.aspx?filename=NPMR_ABC_2017-06-24_E.MP4$2623$2638","Chew, The")</f>
        <v>Chew, The</v>
      </c>
      <c r="E715" s="3" t="s">
        <v>30</v>
      </c>
      <c r="F715" s="3" t="s">
        <v>869</v>
      </c>
      <c r="G715" s="3" t="s">
        <v>870</v>
      </c>
    </row>
    <row r="716" spans="1:7">
      <c r="A716" s="6">
        <v>42910</v>
      </c>
      <c r="B716" s="3" t="s">
        <v>13</v>
      </c>
      <c r="C716" s="3" t="s">
        <v>32</v>
      </c>
      <c r="D716" s="8" t="str">
        <f>HYPERLINK("http://npthd.inbcu.com/ViewContent.aspx?filename=NPMR_ABC_2017-06-24_E.MP4$2638$2729","LOCAL")</f>
        <v>LOCAL</v>
      </c>
      <c r="E716" s="3" t="s">
        <v>77</v>
      </c>
      <c r="F716" s="3" t="s">
        <v>870</v>
      </c>
      <c r="G716" s="3" t="s">
        <v>871</v>
      </c>
    </row>
    <row r="717" spans="1:7">
      <c r="A717" s="6">
        <v>42910</v>
      </c>
      <c r="B717" s="3" t="s">
        <v>13</v>
      </c>
      <c r="C717" s="3" t="s">
        <v>18</v>
      </c>
      <c r="D717" s="8" t="str">
        <f>HYPERLINK("http://npthd.inbcu.com/ViewContent.aspx?filename=NPMR_ABC_2017-06-24_E.MP4$2729$3048","THE GONG SHOW: will arnett, ken jeong")</f>
        <v>THE GONG SHOW: will arnett, ken jeong</v>
      </c>
      <c r="E717" s="3" t="s">
        <v>592</v>
      </c>
      <c r="F717" s="3" t="s">
        <v>871</v>
      </c>
      <c r="G717" s="3" t="s">
        <v>872</v>
      </c>
    </row>
    <row r="718" spans="1:7">
      <c r="A718" s="6">
        <v>42910</v>
      </c>
      <c r="B718" s="3" t="s">
        <v>13</v>
      </c>
      <c r="C718" s="3" t="s">
        <v>21</v>
      </c>
      <c r="D718" s="8" t="str">
        <f>HYPERLINK("http://npthd.inbcu.com/ViewContent.aspx?filename=NPMR_ABC_2017-06-24_E.MP4$3048$3228","COMMERCIAL")</f>
        <v>COMMERCIAL</v>
      </c>
      <c r="E718" s="3" t="s">
        <v>22</v>
      </c>
      <c r="F718" s="3" t="s">
        <v>872</v>
      </c>
      <c r="G718" s="3" t="s">
        <v>873</v>
      </c>
    </row>
    <row r="719" spans="1:7">
      <c r="A719" s="6">
        <v>42910</v>
      </c>
      <c r="B719" s="3" t="s">
        <v>13</v>
      </c>
      <c r="C719" s="3" t="s">
        <v>14</v>
      </c>
      <c r="D719" s="8" t="str">
        <f>HYPERLINK("http://npthd.inbcu.com/ViewContent.aspx?filename=NPMR_ABC_2017-06-24_E.MP4$3228$3243","Battle of the Network Stars")</f>
        <v>Battle of the Network Stars</v>
      </c>
      <c r="E719" s="3" t="s">
        <v>30</v>
      </c>
      <c r="F719" s="3" t="s">
        <v>873</v>
      </c>
      <c r="G719" s="3" t="s">
        <v>874</v>
      </c>
    </row>
    <row r="720" spans="1:7">
      <c r="A720" s="6">
        <v>42910</v>
      </c>
      <c r="B720" s="3" t="s">
        <v>13</v>
      </c>
      <c r="C720" s="3" t="s">
        <v>14</v>
      </c>
      <c r="D720" s="8" t="str">
        <f>HYPERLINK("http://npthd.inbcu.com/ViewContent.aspx?filename=NPMR_ABC_2017-06-24_E.MP4$3243$3258","Gong Show, The")</f>
        <v>Gong Show, The</v>
      </c>
      <c r="E720" s="3" t="s">
        <v>30</v>
      </c>
      <c r="F720" s="3" t="s">
        <v>874</v>
      </c>
      <c r="G720" s="3" t="s">
        <v>875</v>
      </c>
    </row>
    <row r="721" spans="1:7">
      <c r="A721" s="6">
        <v>42910</v>
      </c>
      <c r="B721" s="3" t="s">
        <v>13</v>
      </c>
      <c r="C721" s="3" t="s">
        <v>32</v>
      </c>
      <c r="D721" s="8" t="str">
        <f>HYPERLINK("http://npthd.inbcu.com/ViewContent.aspx?filename=NPMR_ABC_2017-06-24_E.MP4$3258$3263","LOCAL")</f>
        <v>LOCAL</v>
      </c>
      <c r="E721" s="3" t="s">
        <v>54</v>
      </c>
      <c r="F721" s="3" t="s">
        <v>875</v>
      </c>
      <c r="G721" s="3" t="s">
        <v>876</v>
      </c>
    </row>
    <row r="722" spans="1:7">
      <c r="A722" s="6">
        <v>42910</v>
      </c>
      <c r="B722" s="3" t="s">
        <v>13</v>
      </c>
      <c r="C722" s="3" t="s">
        <v>18</v>
      </c>
      <c r="D722" s="8" t="str">
        <f>HYPERLINK("http://npthd.inbcu.com/ViewContent.aspx?filename=NPMR_ABC_2017-06-24_E.MP4$3263$3682","THE GONG SHOW: will arnett, ken jeong")</f>
        <v>THE GONG SHOW: will arnett, ken jeong</v>
      </c>
      <c r="E722" s="3" t="s">
        <v>361</v>
      </c>
      <c r="F722" s="3" t="s">
        <v>876</v>
      </c>
      <c r="G722" s="3" t="s">
        <v>877</v>
      </c>
    </row>
    <row r="723" spans="1:7">
      <c r="A723" s="6">
        <v>42910</v>
      </c>
      <c r="B723" s="3" t="s">
        <v>13</v>
      </c>
      <c r="C723" s="3" t="s">
        <v>14</v>
      </c>
      <c r="D723" s="8" t="str">
        <f>HYPERLINK("http://npthd.inbcu.com/ViewContent.aspx?filename=NPMR_ABC_2017-06-24_E.MP4$3682$3711","Gong Show, The")</f>
        <v>Gong Show, The</v>
      </c>
      <c r="E723" s="3" t="s">
        <v>24</v>
      </c>
      <c r="F723" s="3" t="s">
        <v>877</v>
      </c>
      <c r="G723" s="3" t="s">
        <v>242</v>
      </c>
    </row>
    <row r="724" spans="1:7">
      <c r="A724" s="6">
        <v>42910</v>
      </c>
      <c r="B724" s="3" t="s">
        <v>13</v>
      </c>
      <c r="C724" s="3" t="s">
        <v>14</v>
      </c>
      <c r="D724" s="8" t="str">
        <f>HYPERLINK("http://npthd.inbcu.com/ViewContent.aspx?filename=NPMR_ABC_2017-06-24_E.MP4$3711$3717","In An Instant")</f>
        <v>In An Instant</v>
      </c>
      <c r="E724" s="3" t="s">
        <v>15</v>
      </c>
      <c r="F724" s="3" t="s">
        <v>242</v>
      </c>
      <c r="G724" s="3" t="s">
        <v>55</v>
      </c>
    </row>
    <row r="725" spans="1:7">
      <c r="A725" s="6">
        <v>42910</v>
      </c>
      <c r="B725" s="3" t="s">
        <v>13</v>
      </c>
      <c r="C725" s="3" t="s">
        <v>18</v>
      </c>
      <c r="D725" s="8" t="str">
        <f>HYPERLINK("http://npthd.inbcu.com/ViewContent.aspx?filename=NPMR_ABC_2017-06-24_E.MP4$3717$4290","20/20: IN AN INSTANT: terror in the library")</f>
        <v>20/20: IN AN INSTANT: terror in the library</v>
      </c>
      <c r="E725" s="3" t="s">
        <v>878</v>
      </c>
      <c r="F725" s="3" t="s">
        <v>55</v>
      </c>
      <c r="G725" s="3" t="s">
        <v>879</v>
      </c>
    </row>
    <row r="726" spans="1:7">
      <c r="A726" s="6">
        <v>42910</v>
      </c>
      <c r="B726" s="3" t="s">
        <v>13</v>
      </c>
      <c r="C726" s="3" t="s">
        <v>21</v>
      </c>
      <c r="D726" s="8" t="str">
        <f>HYPERLINK("http://npthd.inbcu.com/ViewContent.aspx?filename=NPMR_ABC_2017-06-24_E.MP4$4290$4442","COMMERCIAL")</f>
        <v>COMMERCIAL</v>
      </c>
      <c r="E726" s="3" t="s">
        <v>128</v>
      </c>
      <c r="F726" s="3" t="s">
        <v>879</v>
      </c>
      <c r="G726" s="3" t="s">
        <v>880</v>
      </c>
    </row>
    <row r="727" spans="1:7">
      <c r="A727" s="6">
        <v>42910</v>
      </c>
      <c r="B727" s="3" t="s">
        <v>13</v>
      </c>
      <c r="C727" s="3" t="s">
        <v>14</v>
      </c>
      <c r="D727" s="8" t="str">
        <f>HYPERLINK("http://npthd.inbcu.com/ViewContent.aspx?filename=NPMR_ABC_2017-06-24_E.MP4$4442$4457","Funderdome")</f>
        <v>Funderdome</v>
      </c>
      <c r="E727" s="3" t="s">
        <v>30</v>
      </c>
      <c r="F727" s="3" t="s">
        <v>880</v>
      </c>
      <c r="G727" s="3" t="s">
        <v>881</v>
      </c>
    </row>
    <row r="728" spans="1:7">
      <c r="A728" s="6">
        <v>42910</v>
      </c>
      <c r="B728" s="3" t="s">
        <v>13</v>
      </c>
      <c r="C728" s="3" t="s">
        <v>14</v>
      </c>
      <c r="D728" s="8" t="str">
        <f>HYPERLINK("http://npthd.inbcu.com/ViewContent.aspx?filename=NPMR_ABC_2017-06-24_E.MP4$4457$4487","Boy Band")</f>
        <v>Boy Band</v>
      </c>
      <c r="E728" s="3" t="s">
        <v>38</v>
      </c>
      <c r="F728" s="3" t="s">
        <v>881</v>
      </c>
      <c r="G728" s="3" t="s">
        <v>882</v>
      </c>
    </row>
    <row r="729" spans="1:7">
      <c r="A729" s="6">
        <v>42910</v>
      </c>
      <c r="B729" s="3" t="s">
        <v>13</v>
      </c>
      <c r="C729" s="3" t="s">
        <v>14</v>
      </c>
      <c r="D729" s="8" t="str">
        <f>HYPERLINK("http://npthd.inbcu.com/ViewContent.aspx?filename=NPMR_ABC_2017-06-24_E.MP4$4487$4517","Gong Show, The")</f>
        <v>Gong Show, The</v>
      </c>
      <c r="E729" s="3" t="s">
        <v>38</v>
      </c>
      <c r="F729" s="3" t="s">
        <v>882</v>
      </c>
      <c r="G729" s="3" t="s">
        <v>883</v>
      </c>
    </row>
    <row r="730" spans="1:7">
      <c r="A730" s="6">
        <v>42910</v>
      </c>
      <c r="B730" s="3" t="s">
        <v>13</v>
      </c>
      <c r="C730" s="3" t="s">
        <v>18</v>
      </c>
      <c r="D730" s="8" t="str">
        <f>HYPERLINK("http://npthd.inbcu.com/ViewContent.aspx?filename=NPMR_ABC_2017-06-24_E.MP4$4517$4969","20/20: IN AN INSTANT: terror in the library")</f>
        <v>20/20: IN AN INSTANT: terror in the library</v>
      </c>
      <c r="E730" s="3" t="s">
        <v>194</v>
      </c>
      <c r="F730" s="3" t="s">
        <v>883</v>
      </c>
      <c r="G730" s="3" t="s">
        <v>884</v>
      </c>
    </row>
    <row r="731" spans="1:7">
      <c r="A731" s="6">
        <v>42910</v>
      </c>
      <c r="B731" s="3" t="s">
        <v>13</v>
      </c>
      <c r="C731" s="3" t="s">
        <v>21</v>
      </c>
      <c r="D731" s="8" t="str">
        <f>HYPERLINK("http://npthd.inbcu.com/ViewContent.aspx?filename=NPMR_ABC_2017-06-24_E.MP4$4969$5091","COMMERCIAL")</f>
        <v>COMMERCIAL</v>
      </c>
      <c r="E731" s="3" t="s">
        <v>252</v>
      </c>
      <c r="F731" s="3" t="s">
        <v>884</v>
      </c>
      <c r="G731" s="3" t="s">
        <v>885</v>
      </c>
    </row>
    <row r="732" spans="1:7">
      <c r="A732" s="6">
        <v>42910</v>
      </c>
      <c r="B732" s="3" t="s">
        <v>13</v>
      </c>
      <c r="C732" s="3" t="s">
        <v>14</v>
      </c>
      <c r="D732" s="8" t="str">
        <f>HYPERLINK("http://npthd.inbcu.com/ViewContent.aspx?filename=NPMR_ABC_2017-06-24_E.MP4$5091$5121","Bachelorette")</f>
        <v>Bachelorette</v>
      </c>
      <c r="E732" s="3" t="s">
        <v>38</v>
      </c>
      <c r="F732" s="3" t="s">
        <v>885</v>
      </c>
      <c r="G732" s="3" t="s">
        <v>886</v>
      </c>
    </row>
    <row r="733" spans="1:7">
      <c r="A733" s="6">
        <v>42910</v>
      </c>
      <c r="B733" s="3" t="s">
        <v>13</v>
      </c>
      <c r="C733" s="3" t="s">
        <v>14</v>
      </c>
      <c r="D733" s="8" t="str">
        <f>HYPERLINK("http://npthd.inbcu.com/ViewContent.aspx?filename=NPMR_ABC_2017-06-24_E.MP4$5121$5151","Battle of the Network Stars")</f>
        <v>Battle of the Network Stars</v>
      </c>
      <c r="E733" s="3" t="s">
        <v>38</v>
      </c>
      <c r="F733" s="3" t="s">
        <v>886</v>
      </c>
      <c r="G733" s="3" t="s">
        <v>887</v>
      </c>
    </row>
    <row r="734" spans="1:7">
      <c r="A734" s="6">
        <v>42910</v>
      </c>
      <c r="B734" s="3" t="s">
        <v>13</v>
      </c>
      <c r="C734" s="3" t="s">
        <v>32</v>
      </c>
      <c r="D734" s="8" t="str">
        <f>HYPERLINK("http://npthd.inbcu.com/ViewContent.aspx?filename=NPMR_ABC_2017-06-24_E.MP4$5151$5212","LOCAL")</f>
        <v>LOCAL</v>
      </c>
      <c r="E734" s="3" t="s">
        <v>33</v>
      </c>
      <c r="F734" s="3" t="s">
        <v>887</v>
      </c>
      <c r="G734" s="3" t="s">
        <v>888</v>
      </c>
    </row>
    <row r="735" spans="1:7">
      <c r="A735" s="6">
        <v>42910</v>
      </c>
      <c r="B735" s="3" t="s">
        <v>13</v>
      </c>
      <c r="C735" s="3" t="s">
        <v>18</v>
      </c>
      <c r="D735" s="8" t="str">
        <f>HYPERLINK("http://npthd.inbcu.com/ViewContent.aspx?filename=NPMR_ABC_2017-06-24_E.MP4$5212$5712","20/20: IN AN INSTANT: terror in the library")</f>
        <v>20/20: IN AN INSTANT: terror in the library</v>
      </c>
      <c r="E735" s="3" t="s">
        <v>889</v>
      </c>
      <c r="F735" s="3" t="s">
        <v>888</v>
      </c>
      <c r="G735" s="3" t="s">
        <v>890</v>
      </c>
    </row>
    <row r="736" spans="1:7">
      <c r="A736" s="6">
        <v>42910</v>
      </c>
      <c r="B736" s="3" t="s">
        <v>13</v>
      </c>
      <c r="C736" s="3" t="s">
        <v>21</v>
      </c>
      <c r="D736" s="8" t="str">
        <f>HYPERLINK("http://npthd.inbcu.com/ViewContent.aspx?filename=NPMR_ABC_2017-06-24_E.MP4$5712$5924","COMMERCIAL")</f>
        <v>COMMERCIAL</v>
      </c>
      <c r="E736" s="3" t="s">
        <v>891</v>
      </c>
      <c r="F736" s="3" t="s">
        <v>890</v>
      </c>
      <c r="G736" s="3" t="s">
        <v>892</v>
      </c>
    </row>
    <row r="737" spans="1:7">
      <c r="A737" s="6">
        <v>42910</v>
      </c>
      <c r="B737" s="3" t="s">
        <v>13</v>
      </c>
      <c r="C737" s="3" t="s">
        <v>14</v>
      </c>
      <c r="D737" s="8" t="str">
        <f>HYPERLINK("http://npthd.inbcu.com/ViewContent.aspx?filename=NPMR_ABC_2017-06-24_E.MP4$5924$5954","ABC Sunday")</f>
        <v>ABC Sunday</v>
      </c>
      <c r="E737" s="3" t="s">
        <v>38</v>
      </c>
      <c r="F737" s="3" t="s">
        <v>892</v>
      </c>
      <c r="G737" s="3" t="s">
        <v>893</v>
      </c>
    </row>
    <row r="738" spans="1:7">
      <c r="A738" s="6">
        <v>42910</v>
      </c>
      <c r="B738" s="3" t="s">
        <v>13</v>
      </c>
      <c r="C738" s="3" t="s">
        <v>14</v>
      </c>
      <c r="D738" s="8" t="str">
        <f>HYPERLINK("http://npthd.inbcu.com/ViewContent.aspx?filename=NPMR_ABC_2017-06-24_E.MP4$5954$5984","Gong Show, The")</f>
        <v>Gong Show, The</v>
      </c>
      <c r="E738" s="3" t="s">
        <v>38</v>
      </c>
      <c r="F738" s="3" t="s">
        <v>893</v>
      </c>
      <c r="G738" s="3" t="s">
        <v>894</v>
      </c>
    </row>
    <row r="739" spans="1:7">
      <c r="A739" s="6">
        <v>42910</v>
      </c>
      <c r="B739" s="3" t="s">
        <v>13</v>
      </c>
      <c r="C739" s="3" t="s">
        <v>18</v>
      </c>
      <c r="D739" s="8" t="str">
        <f>HYPERLINK("http://npthd.inbcu.com/ViewContent.aspx?filename=NPMR_ABC_2017-06-24_E.MP4$5984$6443","20/20: IN AN INSTANT: terror in the library")</f>
        <v>20/20: IN AN INSTANT: terror in the library</v>
      </c>
      <c r="E739" s="3" t="s">
        <v>895</v>
      </c>
      <c r="F739" s="3" t="s">
        <v>894</v>
      </c>
      <c r="G739" s="3" t="s">
        <v>896</v>
      </c>
    </row>
    <row r="740" spans="1:7">
      <c r="A740" s="6">
        <v>42910</v>
      </c>
      <c r="B740" s="3" t="s">
        <v>13</v>
      </c>
      <c r="C740" s="3" t="s">
        <v>21</v>
      </c>
      <c r="D740" s="8" t="str">
        <f>HYPERLINK("http://npthd.inbcu.com/ViewContent.aspx?filename=NPMR_ABC_2017-06-24_E.MP4$6443$6535","COMMERCIAL")</f>
        <v>COMMERCIAL</v>
      </c>
      <c r="E740" s="3" t="s">
        <v>267</v>
      </c>
      <c r="F740" s="3" t="s">
        <v>896</v>
      </c>
      <c r="G740" s="3" t="s">
        <v>897</v>
      </c>
    </row>
    <row r="741" spans="1:7">
      <c r="A741" s="6">
        <v>42910</v>
      </c>
      <c r="B741" s="3" t="s">
        <v>13</v>
      </c>
      <c r="C741" s="3" t="s">
        <v>14</v>
      </c>
      <c r="D741" s="8" t="str">
        <f>HYPERLINK("http://npthd.inbcu.com/ViewContent.aspx?filename=NPMR_ABC_2017-06-24_E.MP4$6535$6565","World News Tonight")</f>
        <v>World News Tonight</v>
      </c>
      <c r="E741" s="3" t="s">
        <v>38</v>
      </c>
      <c r="F741" s="3" t="s">
        <v>897</v>
      </c>
      <c r="G741" s="3" t="s">
        <v>898</v>
      </c>
    </row>
    <row r="742" spans="1:7">
      <c r="A742" s="6">
        <v>42910</v>
      </c>
      <c r="B742" s="3" t="s">
        <v>13</v>
      </c>
      <c r="C742" s="3" t="s">
        <v>14</v>
      </c>
      <c r="D742" s="8" t="str">
        <f>HYPERLINK("http://npthd.inbcu.com/ViewContent.aspx?filename=NPMR_ABC_2017-06-24_E.MP4$6565$6580","This Week")</f>
        <v>This Week</v>
      </c>
      <c r="E742" s="3" t="s">
        <v>30</v>
      </c>
      <c r="F742" s="3" t="s">
        <v>898</v>
      </c>
      <c r="G742" s="3" t="s">
        <v>899</v>
      </c>
    </row>
    <row r="743" spans="1:7">
      <c r="A743" s="6">
        <v>42910</v>
      </c>
      <c r="B743" s="3" t="s">
        <v>13</v>
      </c>
      <c r="C743" s="3" t="s">
        <v>14</v>
      </c>
      <c r="D743" s="8" t="str">
        <f>HYPERLINK("http://npthd.inbcu.com/ViewContent.aspx?filename=NPMR_ABC_2017-06-24_E.MP4$6580$6610","Battle of the Network Stars")</f>
        <v>Battle of the Network Stars</v>
      </c>
      <c r="E743" s="3" t="s">
        <v>38</v>
      </c>
      <c r="F743" s="3" t="s">
        <v>899</v>
      </c>
      <c r="G743" s="3" t="s">
        <v>900</v>
      </c>
    </row>
    <row r="744" spans="1:7">
      <c r="A744" s="6">
        <v>42910</v>
      </c>
      <c r="B744" s="3" t="s">
        <v>13</v>
      </c>
      <c r="C744" s="3" t="s">
        <v>32</v>
      </c>
      <c r="D744" s="8" t="str">
        <f>HYPERLINK("http://npthd.inbcu.com/ViewContent.aspx?filename=NPMR_ABC_2017-06-24_E.MP4$6610$6701","LOCAL")</f>
        <v>LOCAL</v>
      </c>
      <c r="E744" s="3" t="s">
        <v>77</v>
      </c>
      <c r="F744" s="3" t="s">
        <v>900</v>
      </c>
      <c r="G744" s="3" t="s">
        <v>901</v>
      </c>
    </row>
    <row r="745" spans="1:7">
      <c r="A745" s="6">
        <v>42910</v>
      </c>
      <c r="B745" s="3" t="s">
        <v>13</v>
      </c>
      <c r="C745" s="3" t="s">
        <v>18</v>
      </c>
      <c r="D745" s="8" t="str">
        <f>HYPERLINK("http://npthd.inbcu.com/ViewContent.aspx?filename=NPMR_ABC_2017-06-24_E.MP4$6701$7278","20/20: IN AN INSTANT: terror in the library")</f>
        <v>20/20: IN AN INSTANT: terror in the library</v>
      </c>
      <c r="E745" s="3" t="s">
        <v>902</v>
      </c>
      <c r="F745" s="3" t="s">
        <v>901</v>
      </c>
      <c r="G745" s="3" t="s">
        <v>277</v>
      </c>
    </row>
    <row r="746" spans="1:7">
      <c r="A746" s="6">
        <v>42910</v>
      </c>
      <c r="B746" s="3" t="s">
        <v>13</v>
      </c>
      <c r="C746" s="3" t="s">
        <v>21</v>
      </c>
      <c r="D746" s="8" t="str">
        <f>HYPERLINK("http://npthd.inbcu.com/ViewContent.aspx?filename=NPMR_ABC_2017-06-24_E.MP4$7278$7460","COMMERCIAL")</f>
        <v>COMMERCIAL</v>
      </c>
      <c r="E746" s="3" t="s">
        <v>275</v>
      </c>
      <c r="F746" s="3" t="s">
        <v>277</v>
      </c>
      <c r="G746" s="3" t="s">
        <v>903</v>
      </c>
    </row>
    <row r="747" spans="1:7">
      <c r="A747" s="6">
        <v>42910</v>
      </c>
      <c r="B747" s="3" t="s">
        <v>13</v>
      </c>
      <c r="C747" s="3" t="s">
        <v>14</v>
      </c>
      <c r="D747" s="8" t="str">
        <f>HYPERLINK("http://npthd.inbcu.com/ViewContent.aspx?filename=NPMR_ABC_2017-06-24_E.MP4$7460$7475","Chew, The")</f>
        <v>Chew, The</v>
      </c>
      <c r="E747" s="3" t="s">
        <v>30</v>
      </c>
      <c r="F747" s="3" t="s">
        <v>903</v>
      </c>
      <c r="G747" s="3" t="s">
        <v>904</v>
      </c>
    </row>
    <row r="748" spans="1:7">
      <c r="A748" s="6">
        <v>42910</v>
      </c>
      <c r="B748" s="3" t="s">
        <v>13</v>
      </c>
      <c r="C748" s="3" t="s">
        <v>14</v>
      </c>
      <c r="D748" s="8" t="str">
        <f>HYPERLINK("http://npthd.inbcu.com/ViewContent.aspx?filename=NPMR_ABC_2017-06-24_E.MP4$7475$7505","Boy Band")</f>
        <v>Boy Band</v>
      </c>
      <c r="E748" s="3" t="s">
        <v>38</v>
      </c>
      <c r="F748" s="3" t="s">
        <v>904</v>
      </c>
      <c r="G748" s="3" t="s">
        <v>905</v>
      </c>
    </row>
    <row r="749" spans="1:7">
      <c r="A749" s="6">
        <v>42910</v>
      </c>
      <c r="B749" s="3" t="s">
        <v>13</v>
      </c>
      <c r="C749" s="3" t="s">
        <v>14</v>
      </c>
      <c r="D749" s="8" t="str">
        <f>HYPERLINK("http://npthd.inbcu.com/ViewContent.aspx?filename=NPMR_ABC_2017-06-24_E.MP4$7505$7515","What Would You Do?")</f>
        <v>What Would You Do?</v>
      </c>
      <c r="E749" s="3" t="s">
        <v>197</v>
      </c>
      <c r="F749" s="3" t="s">
        <v>905</v>
      </c>
      <c r="G749" s="3" t="s">
        <v>906</v>
      </c>
    </row>
    <row r="750" spans="1:7">
      <c r="A750" s="6">
        <v>42910</v>
      </c>
      <c r="B750" s="3" t="s">
        <v>13</v>
      </c>
      <c r="C750" s="3" t="s">
        <v>32</v>
      </c>
      <c r="D750" s="8" t="str">
        <f>HYPERLINK("http://npthd.inbcu.com/ViewContent.aspx?filename=NPMR_ABC_2017-06-24_E.MP4$7515$7520","LOCAL")</f>
        <v>LOCAL</v>
      </c>
      <c r="E750" s="3" t="s">
        <v>54</v>
      </c>
      <c r="F750" s="3" t="s">
        <v>906</v>
      </c>
      <c r="G750" s="3" t="s">
        <v>907</v>
      </c>
    </row>
    <row r="751" spans="1:7">
      <c r="A751" s="6">
        <v>42910</v>
      </c>
      <c r="B751" s="3" t="s">
        <v>13</v>
      </c>
      <c r="C751" s="3" t="s">
        <v>18</v>
      </c>
      <c r="D751" s="8" t="str">
        <f>HYPERLINK("http://npthd.inbcu.com/ViewContent.aspx?filename=NPMR_ABC_2017-06-24_E.MP4$7521$7999","20/20: IN AN INSTANT: terror in the library")</f>
        <v>20/20: IN AN INSTANT: terror in the library</v>
      </c>
      <c r="E751" s="3" t="s">
        <v>908</v>
      </c>
      <c r="F751" s="3" t="s">
        <v>909</v>
      </c>
      <c r="G751" s="3" t="s">
        <v>910</v>
      </c>
    </row>
    <row r="752" spans="1:7">
      <c r="A752" s="6">
        <v>42910</v>
      </c>
      <c r="B752" s="3" t="s">
        <v>13</v>
      </c>
      <c r="C752" s="3" t="s">
        <v>21</v>
      </c>
      <c r="D752" s="8" t="str">
        <f>HYPERLINK("http://npthd.inbcu.com/ViewContent.aspx?filename=NPMR_ABC_2017-06-24_E.MP4$7999$8151","COMMERCIAL")</f>
        <v>COMMERCIAL</v>
      </c>
      <c r="E752" s="3" t="s">
        <v>128</v>
      </c>
      <c r="F752" s="3" t="s">
        <v>910</v>
      </c>
      <c r="G752" s="3" t="s">
        <v>911</v>
      </c>
    </row>
    <row r="753" spans="1:7">
      <c r="A753" s="6">
        <v>42910</v>
      </c>
      <c r="B753" s="3" t="s">
        <v>13</v>
      </c>
      <c r="C753" s="3" t="s">
        <v>14</v>
      </c>
      <c r="D753" s="8" t="str">
        <f>HYPERLINK("http://npthd.inbcu.com/ViewContent.aspx?filename=NPMR_ABC_2017-06-24_E.MP4$8151$8181","ABC Sunday")</f>
        <v>ABC Sunday</v>
      </c>
      <c r="E753" s="3" t="s">
        <v>38</v>
      </c>
      <c r="F753" s="3" t="s">
        <v>911</v>
      </c>
      <c r="G753" s="3" t="s">
        <v>912</v>
      </c>
    </row>
    <row r="754" spans="1:7">
      <c r="A754" s="6">
        <v>42910</v>
      </c>
      <c r="B754" s="3" t="s">
        <v>13</v>
      </c>
      <c r="C754" s="3" t="s">
        <v>14</v>
      </c>
      <c r="D754" s="8" t="str">
        <f>HYPERLINK("http://npthd.inbcu.com/ViewContent.aspx?filename=NPMR_ABC_2017-06-24_E.MP4$8181$8211","Gong Show, The")</f>
        <v>Gong Show, The</v>
      </c>
      <c r="E754" s="3" t="s">
        <v>38</v>
      </c>
      <c r="F754" s="3" t="s">
        <v>912</v>
      </c>
      <c r="G754" s="3" t="s">
        <v>913</v>
      </c>
    </row>
    <row r="755" spans="1:7">
      <c r="A755" s="6">
        <v>42910</v>
      </c>
      <c r="B755" s="3" t="s">
        <v>13</v>
      </c>
      <c r="C755" s="3" t="s">
        <v>14</v>
      </c>
      <c r="D755" s="8" t="str">
        <f>HYPERLINK("http://npthd.inbcu.com/ViewContent.aspx?filename=NPMR_ABC_2017-06-24_E.MP4$8211$8241","Battle of the Network Stars")</f>
        <v>Battle of the Network Stars</v>
      </c>
      <c r="E755" s="3" t="s">
        <v>38</v>
      </c>
      <c r="F755" s="3" t="s">
        <v>913</v>
      </c>
      <c r="G755" s="3" t="s">
        <v>914</v>
      </c>
    </row>
    <row r="756" spans="1:7">
      <c r="A756" s="6">
        <v>42910</v>
      </c>
      <c r="B756" s="3" t="s">
        <v>13</v>
      </c>
      <c r="C756" s="3" t="s">
        <v>18</v>
      </c>
      <c r="D756" s="8" t="str">
        <f>HYPERLINK("http://npthd.inbcu.com/ViewContent.aspx?filename=NPMR_ABC_2017-06-24_E.MP4$8241$8760","20/20: IN AN INSTANT: terror in the library")</f>
        <v>20/20: IN AN INSTANT: terror in the library</v>
      </c>
      <c r="E756" s="3" t="s">
        <v>915</v>
      </c>
      <c r="F756" s="3" t="s">
        <v>914</v>
      </c>
      <c r="G756" s="3" t="s">
        <v>916</v>
      </c>
    </row>
    <row r="757" spans="1:7">
      <c r="A757" s="6">
        <v>42910</v>
      </c>
      <c r="B757" s="3" t="s">
        <v>13</v>
      </c>
      <c r="C757" s="3" t="s">
        <v>21</v>
      </c>
      <c r="D757" s="8" t="str">
        <f>HYPERLINK("http://npthd.inbcu.com/ViewContent.aspx?filename=NPMR_ABC_2017-06-24_E.MP4$8760$8852","COMMERCIAL")</f>
        <v>COMMERCIAL</v>
      </c>
      <c r="E757" s="3" t="s">
        <v>267</v>
      </c>
      <c r="F757" s="3" t="s">
        <v>916</v>
      </c>
      <c r="G757" s="3" t="s">
        <v>917</v>
      </c>
    </row>
    <row r="758" spans="1:7">
      <c r="A758" s="6">
        <v>42910</v>
      </c>
      <c r="B758" s="3" t="s">
        <v>13</v>
      </c>
      <c r="C758" s="3" t="s">
        <v>14</v>
      </c>
      <c r="D758" s="8" t="str">
        <f>HYPERLINK("http://npthd.inbcu.com/ViewContent.aspx?filename=NPMR_ABC_2017-06-24_E.MP4$8852$8882","Bachelorette")</f>
        <v>Bachelorette</v>
      </c>
      <c r="E758" s="3" t="s">
        <v>38</v>
      </c>
      <c r="F758" s="3" t="s">
        <v>917</v>
      </c>
      <c r="G758" s="3" t="s">
        <v>918</v>
      </c>
    </row>
    <row r="759" spans="1:7">
      <c r="A759" s="6">
        <v>42910</v>
      </c>
      <c r="B759" s="3" t="s">
        <v>13</v>
      </c>
      <c r="C759" s="3" t="s">
        <v>14</v>
      </c>
      <c r="D759" s="8" t="str">
        <f>HYPERLINK("http://npthd.inbcu.com/ViewContent.aspx?filename=NPMR_ABC_2017-06-24_E.MP4$8882$8912","Boy Band")</f>
        <v>Boy Band</v>
      </c>
      <c r="E759" s="3" t="s">
        <v>38</v>
      </c>
      <c r="F759" s="3" t="s">
        <v>918</v>
      </c>
      <c r="G759" s="3" t="s">
        <v>919</v>
      </c>
    </row>
    <row r="760" spans="1:7">
      <c r="A760" s="6">
        <v>42910</v>
      </c>
      <c r="B760" s="3" t="s">
        <v>13</v>
      </c>
      <c r="C760" s="3" t="s">
        <v>32</v>
      </c>
      <c r="D760" s="8" t="str">
        <f>HYPERLINK("http://npthd.inbcu.com/ViewContent.aspx?filename=NPMR_ABC_2017-06-24_E.MP4$8912$9019","LOCAL")</f>
        <v>LOCAL</v>
      </c>
      <c r="E760" s="3" t="s">
        <v>104</v>
      </c>
      <c r="F760" s="3" t="s">
        <v>919</v>
      </c>
      <c r="G760" s="3" t="s">
        <v>920</v>
      </c>
    </row>
    <row r="761" spans="1:7">
      <c r="A761" s="6">
        <v>42910</v>
      </c>
      <c r="B761" s="3" t="s">
        <v>13</v>
      </c>
      <c r="C761" s="3" t="s">
        <v>18</v>
      </c>
      <c r="D761" s="8" t="str">
        <f>HYPERLINK("http://npthd.inbcu.com/ViewContent.aspx?filename=NPMR_ABC_2017-06-24_E.MP4$9019$9477","20/20: IN AN INSTANT: terror in the library")</f>
        <v>20/20: IN AN INSTANT: terror in the library</v>
      </c>
      <c r="E761" s="3" t="s">
        <v>921</v>
      </c>
      <c r="F761" s="3" t="s">
        <v>920</v>
      </c>
      <c r="G761" s="3" t="s">
        <v>922</v>
      </c>
    </row>
    <row r="762" spans="1:7">
      <c r="A762" s="6">
        <v>42910</v>
      </c>
      <c r="B762" s="3" t="s">
        <v>13</v>
      </c>
      <c r="C762" s="3" t="s">
        <v>21</v>
      </c>
      <c r="D762" s="8" t="str">
        <f>HYPERLINK("http://npthd.inbcu.com/ViewContent.aspx?filename=NPMR_ABC_2017-06-24_E.MP4$9477$9568","COMMERCIAL")</f>
        <v>COMMERCIAL</v>
      </c>
      <c r="E762" s="3" t="s">
        <v>77</v>
      </c>
      <c r="F762" s="3" t="s">
        <v>922</v>
      </c>
      <c r="G762" s="3" t="s">
        <v>923</v>
      </c>
    </row>
    <row r="763" spans="1:7">
      <c r="A763" s="6">
        <v>42910</v>
      </c>
      <c r="B763" s="3" t="s">
        <v>13</v>
      </c>
      <c r="C763" s="3" t="s">
        <v>14</v>
      </c>
      <c r="D763" s="8" t="str">
        <f>HYPERLINK("http://npthd.inbcu.com/ViewContent.aspx?filename=NPMR_ABC_2017-06-24_E.MP4$9568$9583","Good Morning America")</f>
        <v>Good Morning America</v>
      </c>
      <c r="E763" s="3" t="s">
        <v>30</v>
      </c>
      <c r="F763" s="3" t="s">
        <v>923</v>
      </c>
      <c r="G763" s="3" t="s">
        <v>924</v>
      </c>
    </row>
    <row r="764" spans="1:7">
      <c r="A764" s="6">
        <v>42910</v>
      </c>
      <c r="B764" s="3" t="s">
        <v>13</v>
      </c>
      <c r="C764" s="3" t="s">
        <v>14</v>
      </c>
      <c r="D764" s="8" t="str">
        <f>HYPERLINK("http://npthd.inbcu.com/ViewContent.aspx?filename=NPMR_ABC_2017-06-24_E.MP4$9583$9598","World News Tonight")</f>
        <v>World News Tonight</v>
      </c>
      <c r="E764" s="3" t="s">
        <v>30</v>
      </c>
      <c r="F764" s="3" t="s">
        <v>924</v>
      </c>
      <c r="G764" s="3" t="s">
        <v>925</v>
      </c>
    </row>
    <row r="765" spans="1:7">
      <c r="A765" s="6">
        <v>42910</v>
      </c>
      <c r="B765" s="3" t="s">
        <v>13</v>
      </c>
      <c r="C765" s="3" t="s">
        <v>14</v>
      </c>
      <c r="D765" s="8" t="str">
        <f>HYPERLINK("http://npthd.inbcu.com/ViewContent.aspx?filename=NPMR_ABC_2017-06-24_E.MP4$9598$9613","Chew, The")</f>
        <v>Chew, The</v>
      </c>
      <c r="E765" s="3" t="s">
        <v>30</v>
      </c>
      <c r="F765" s="3" t="s">
        <v>925</v>
      </c>
      <c r="G765" s="3" t="s">
        <v>926</v>
      </c>
    </row>
    <row r="766" spans="1:7">
      <c r="A766" s="6">
        <v>42910</v>
      </c>
      <c r="B766" s="3" t="s">
        <v>13</v>
      </c>
      <c r="C766" s="3" t="s">
        <v>14</v>
      </c>
      <c r="D766" s="8" t="str">
        <f>HYPERLINK("http://npthd.inbcu.com/ViewContent.aspx?filename=NPMR_ABC_2017-06-24_E.MP4$9613$9628","Espys")</f>
        <v>Espys</v>
      </c>
      <c r="E766" s="3" t="s">
        <v>30</v>
      </c>
      <c r="F766" s="3" t="s">
        <v>926</v>
      </c>
      <c r="G766" s="3" t="s">
        <v>927</v>
      </c>
    </row>
    <row r="767" spans="1:7">
      <c r="A767" s="6">
        <v>42910</v>
      </c>
      <c r="B767" s="3" t="s">
        <v>13</v>
      </c>
      <c r="C767" s="3" t="s">
        <v>32</v>
      </c>
      <c r="D767" s="8" t="str">
        <f>HYPERLINK("http://npthd.inbcu.com/ViewContent.aspx?filename=NPMR_ABC_2017-06-24_E.MP4$9627$9719","LOCAL")</f>
        <v>LOCAL</v>
      </c>
      <c r="E767" s="3" t="s">
        <v>267</v>
      </c>
      <c r="F767" s="3" t="s">
        <v>928</v>
      </c>
      <c r="G767" s="3" t="s">
        <v>929</v>
      </c>
    </row>
    <row r="768" spans="1:7">
      <c r="A768" s="6">
        <v>42910</v>
      </c>
      <c r="B768" s="3" t="s">
        <v>13</v>
      </c>
      <c r="C768" s="3" t="s">
        <v>18</v>
      </c>
      <c r="D768" s="8" t="str">
        <f>HYPERLINK("http://npthd.inbcu.com/ViewContent.aspx?filename=NPMR_ABC_2017-06-24_E.MP4$9719$10153","20/20: IN AN INSTANT: terror in the library")</f>
        <v>20/20: IN AN INSTANT: terror in the library</v>
      </c>
      <c r="E768" s="3" t="s">
        <v>930</v>
      </c>
      <c r="F768" s="3" t="s">
        <v>929</v>
      </c>
      <c r="G768" s="3" t="s">
        <v>931</v>
      </c>
    </row>
    <row r="769" spans="1:7">
      <c r="A769" s="6">
        <v>42910</v>
      </c>
      <c r="B769" s="3" t="s">
        <v>13</v>
      </c>
      <c r="C769" s="3" t="s">
        <v>32</v>
      </c>
      <c r="D769" s="8" t="str">
        <f>HYPERLINK("http://npthd.inbcu.com/ViewContent.aspx?filename=NPMR_ABC_2017-06-24_E.MP4$10153$10171","LOCAL")</f>
        <v>LOCAL</v>
      </c>
      <c r="E769" s="3" t="s">
        <v>932</v>
      </c>
      <c r="F769" s="3" t="s">
        <v>931</v>
      </c>
      <c r="G769" s="3" t="s">
        <v>933</v>
      </c>
    </row>
    <row r="770" spans="1:7">
      <c r="A770" s="6">
        <v>42910</v>
      </c>
      <c r="B770" s="3" t="s">
        <v>13</v>
      </c>
      <c r="C770" s="3" t="s">
        <v>21</v>
      </c>
      <c r="D770" s="8" t="str">
        <f>HYPERLINK("http://npthd.inbcu.com/ViewContent.aspx?filename=NPMR_ABC_2017-06-24_E.MP4$10171$10352","COMMERCIAL")</f>
        <v>COMMERCIAL</v>
      </c>
      <c r="E770" s="3" t="s">
        <v>108</v>
      </c>
      <c r="F770" s="3" t="s">
        <v>933</v>
      </c>
      <c r="G770" s="3" t="s">
        <v>934</v>
      </c>
    </row>
    <row r="771" spans="1:7">
      <c r="A771" s="6">
        <v>42910</v>
      </c>
      <c r="B771" s="3" t="s">
        <v>13</v>
      </c>
      <c r="C771" s="3" t="s">
        <v>14</v>
      </c>
      <c r="D771" s="8" t="str">
        <f>HYPERLINK("http://npthd.inbcu.com/ViewContent.aspx?filename=NPMR_ABC_2017-06-24_E.MP4$10352$10382","Boy Band")</f>
        <v>Boy Band</v>
      </c>
      <c r="E771" s="3" t="s">
        <v>38</v>
      </c>
      <c r="F771" s="3" t="s">
        <v>934</v>
      </c>
      <c r="G771" s="3" t="s">
        <v>935</v>
      </c>
    </row>
    <row r="772" spans="1:7">
      <c r="A772" s="6">
        <v>42910</v>
      </c>
      <c r="B772" s="3" t="s">
        <v>13</v>
      </c>
      <c r="C772" s="3" t="s">
        <v>14</v>
      </c>
      <c r="D772" s="8" t="str">
        <f>HYPERLINK("http://npthd.inbcu.com/ViewContent.aspx?filename=NPMR_ABC_2017-06-24_E.MP4$10382$10412","Gong Show, The")</f>
        <v>Gong Show, The</v>
      </c>
      <c r="E772" s="3" t="s">
        <v>38</v>
      </c>
      <c r="F772" s="3" t="s">
        <v>935</v>
      </c>
      <c r="G772" s="3" t="s">
        <v>936</v>
      </c>
    </row>
    <row r="773" spans="1:7">
      <c r="A773" s="6">
        <v>42910</v>
      </c>
      <c r="B773" s="3" t="s">
        <v>13</v>
      </c>
      <c r="C773" s="3" t="s">
        <v>14</v>
      </c>
      <c r="D773" s="8" t="str">
        <f>HYPERLINK("http://npthd.inbcu.com/ViewContent.aspx?filename=NPMR_ABC_2017-06-24_E.MP4$10412$10442","Battle of the Network Stars")</f>
        <v>Battle of the Network Stars</v>
      </c>
      <c r="E773" s="3" t="s">
        <v>38</v>
      </c>
      <c r="F773" s="3" t="s">
        <v>936</v>
      </c>
      <c r="G773" s="3" t="s">
        <v>937</v>
      </c>
    </row>
    <row r="774" spans="1:7">
      <c r="A774" s="6">
        <v>42910</v>
      </c>
      <c r="B774" s="3" t="s">
        <v>13</v>
      </c>
      <c r="C774" s="3" t="s">
        <v>18</v>
      </c>
      <c r="D774" s="8" t="str">
        <f>HYPERLINK("http://npthd.inbcu.com/ViewContent.aspx?filename=NPMR_ABC_2017-06-24_E.MP4$10442$10867","20/20: IN AN INSTANT: terror in the library")</f>
        <v>20/20: IN AN INSTANT: terror in the library</v>
      </c>
      <c r="E774" s="3" t="s">
        <v>621</v>
      </c>
      <c r="F774" s="3" t="s">
        <v>937</v>
      </c>
      <c r="G774" s="3" t="s">
        <v>938</v>
      </c>
    </row>
    <row r="775" spans="1:7">
      <c r="A775" s="6">
        <v>42910</v>
      </c>
      <c r="B775" s="3" t="s">
        <v>13</v>
      </c>
      <c r="C775" s="3" t="s">
        <v>14</v>
      </c>
      <c r="D775" s="8" t="str">
        <f>HYPERLINK("http://npthd.inbcu.com/ViewContent.aspx?filename=NPMR_ABC_2017-06-24_E.MP4$10867$10897","In An Instant")</f>
        <v>In An Instant</v>
      </c>
      <c r="E775" s="3" t="s">
        <v>38</v>
      </c>
      <c r="F775" s="3" t="s">
        <v>938</v>
      </c>
      <c r="G775" s="3" t="s">
        <v>698</v>
      </c>
    </row>
    <row r="776" spans="1:7">
      <c r="A776" s="6">
        <v>42910</v>
      </c>
      <c r="B776" s="3" t="s">
        <v>13</v>
      </c>
      <c r="C776" s="3" t="s">
        <v>32</v>
      </c>
      <c r="D776" s="8" t="str">
        <f>HYPERLINK("http://npthd.inbcu.com/ViewContent.aspx?filename=NPMR_ABC_2017-06-24_E.MP4$10897$10911","LOCAL")</f>
        <v>LOCAL</v>
      </c>
      <c r="E776" s="3" t="s">
        <v>342</v>
      </c>
      <c r="F776" s="3" t="s">
        <v>698</v>
      </c>
      <c r="G776" s="3" t="s">
        <v>124</v>
      </c>
    </row>
    <row r="777" spans="1:7">
      <c r="A777" s="6">
        <v>42911</v>
      </c>
      <c r="B777" s="3" t="s">
        <v>13</v>
      </c>
      <c r="C777" s="3" t="s">
        <v>14</v>
      </c>
      <c r="D777" s="8" t="str">
        <f>HYPERLINK("http://npthd.inbcu.com/ViewContent.aspx?filename=NPMR_ABC_2017-06-25_E.MP4$123$127","ABC Open")</f>
        <v>ABC Open</v>
      </c>
      <c r="E777" s="3" t="s">
        <v>84</v>
      </c>
      <c r="F777" s="3" t="s">
        <v>311</v>
      </c>
      <c r="G777" s="3" t="s">
        <v>939</v>
      </c>
    </row>
    <row r="778" spans="1:7">
      <c r="A778" s="6">
        <v>42911</v>
      </c>
      <c r="B778" s="3" t="s">
        <v>13</v>
      </c>
      <c r="C778" s="3" t="s">
        <v>18</v>
      </c>
      <c r="D778" s="8" t="str">
        <f>HYPERLINK("http://npthd.inbcu.com/ViewContent.aspx?filename=NPMR_ABC_2017-06-25_E.MP4$127$730","AMERICAS FUNNIEST HOME VIDEOS: 2713")</f>
        <v>AMERICAS FUNNIEST HOME VIDEOS: 2713</v>
      </c>
      <c r="E778" s="3" t="s">
        <v>940</v>
      </c>
      <c r="F778" s="3" t="s">
        <v>939</v>
      </c>
      <c r="G778" s="3" t="s">
        <v>314</v>
      </c>
    </row>
    <row r="779" spans="1:7">
      <c r="A779" s="6">
        <v>42911</v>
      </c>
      <c r="B779" s="3" t="s">
        <v>13</v>
      </c>
      <c r="C779" s="3" t="s">
        <v>21</v>
      </c>
      <c r="D779" s="8" t="str">
        <f>HYPERLINK("http://npthd.inbcu.com/ViewContent.aspx?filename=NPMR_ABC_2017-06-25_E.MP4$730$820","COMMERCIAL")</f>
        <v>COMMERCIAL</v>
      </c>
      <c r="E779" s="3" t="s">
        <v>46</v>
      </c>
      <c r="F779" s="3" t="s">
        <v>314</v>
      </c>
      <c r="G779" s="3" t="s">
        <v>941</v>
      </c>
    </row>
    <row r="780" spans="1:7">
      <c r="A780" s="6">
        <v>42911</v>
      </c>
      <c r="B780" s="3" t="s">
        <v>13</v>
      </c>
      <c r="C780" s="3" t="s">
        <v>14</v>
      </c>
      <c r="D780" s="8" t="str">
        <f>HYPERLINK("http://npthd.inbcu.com/ViewContent.aspx?filename=NPMR_ABC_2017-06-25_E.MP4$820$850","Celebrity Family Feud / Funderdome")</f>
        <v>Celebrity Family Feud / Funderdome</v>
      </c>
      <c r="E780" s="3" t="s">
        <v>38</v>
      </c>
      <c r="F780" s="3" t="s">
        <v>941</v>
      </c>
      <c r="G780" s="3" t="s">
        <v>315</v>
      </c>
    </row>
    <row r="781" spans="1:7">
      <c r="A781" s="6">
        <v>42911</v>
      </c>
      <c r="B781" s="3" t="s">
        <v>13</v>
      </c>
      <c r="C781" s="3" t="s">
        <v>14</v>
      </c>
      <c r="D781" s="8" t="str">
        <f>HYPERLINK("http://npthd.inbcu.com/ViewContent.aspx?filename=NPMR_ABC_2017-06-25_E.MP4$850$865","Battle of the Network Stars")</f>
        <v>Battle of the Network Stars</v>
      </c>
      <c r="E781" s="3" t="s">
        <v>30</v>
      </c>
      <c r="F781" s="3" t="s">
        <v>315</v>
      </c>
      <c r="G781" s="3" t="s">
        <v>316</v>
      </c>
    </row>
    <row r="782" spans="1:7">
      <c r="A782" s="6">
        <v>42911</v>
      </c>
      <c r="B782" s="3" t="s">
        <v>13</v>
      </c>
      <c r="C782" s="3" t="s">
        <v>18</v>
      </c>
      <c r="D782" s="8" t="str">
        <f>HYPERLINK("http://npthd.inbcu.com/ViewContent.aspx?filename=NPMR_ABC_2017-06-25_E.MP4$865$1235","AMERICAS FUNNIEST HOME VIDEOS: 2713")</f>
        <v>AMERICAS FUNNIEST HOME VIDEOS: 2713</v>
      </c>
      <c r="E782" s="3" t="s">
        <v>538</v>
      </c>
      <c r="F782" s="3" t="s">
        <v>316</v>
      </c>
      <c r="G782" s="3" t="s">
        <v>942</v>
      </c>
    </row>
    <row r="783" spans="1:7">
      <c r="A783" s="6">
        <v>42911</v>
      </c>
      <c r="B783" s="3" t="s">
        <v>13</v>
      </c>
      <c r="C783" s="3" t="s">
        <v>21</v>
      </c>
      <c r="D783" s="8" t="str">
        <f>HYPERLINK("http://npthd.inbcu.com/ViewContent.aspx?filename=NPMR_ABC_2017-06-25_E.MP4$1235$1325","COMMERCIAL")</f>
        <v>COMMERCIAL</v>
      </c>
      <c r="E783" s="3" t="s">
        <v>46</v>
      </c>
      <c r="F783" s="3" t="s">
        <v>942</v>
      </c>
      <c r="G783" s="3" t="s">
        <v>943</v>
      </c>
    </row>
    <row r="784" spans="1:7">
      <c r="A784" s="6">
        <v>42911</v>
      </c>
      <c r="B784" s="3" t="s">
        <v>13</v>
      </c>
      <c r="C784" s="3" t="s">
        <v>14</v>
      </c>
      <c r="D784" s="8" t="str">
        <f>HYPERLINK("http://npthd.inbcu.com/ViewContent.aspx?filename=NPMR_ABC_2017-06-25_E.MP4$1325$1340","Boy Band")</f>
        <v>Boy Band</v>
      </c>
      <c r="E784" s="3" t="s">
        <v>30</v>
      </c>
      <c r="F784" s="3" t="s">
        <v>943</v>
      </c>
      <c r="G784" s="3" t="s">
        <v>944</v>
      </c>
    </row>
    <row r="785" spans="1:7">
      <c r="A785" s="6">
        <v>42911</v>
      </c>
      <c r="B785" s="3" t="s">
        <v>13</v>
      </c>
      <c r="C785" s="3" t="s">
        <v>32</v>
      </c>
      <c r="D785" s="8" t="str">
        <f>HYPERLINK("http://npthd.inbcu.com/ViewContent.aspx?filename=NPMR_ABC_2017-06-25_E.MP4$1340$1430","LOCAL")</f>
        <v>LOCAL</v>
      </c>
      <c r="E785" s="3" t="s">
        <v>46</v>
      </c>
      <c r="F785" s="3" t="s">
        <v>944</v>
      </c>
      <c r="G785" s="3" t="s">
        <v>945</v>
      </c>
    </row>
    <row r="786" spans="1:7">
      <c r="A786" s="6">
        <v>42911</v>
      </c>
      <c r="B786" s="3" t="s">
        <v>13</v>
      </c>
      <c r="C786" s="3" t="s">
        <v>18</v>
      </c>
      <c r="D786" s="8" t="str">
        <f>HYPERLINK("http://npthd.inbcu.com/ViewContent.aspx?filename=NPMR_ABC_2017-06-25_E.MP4$1430$1898","AMERICAS FUNNIEST HOME VIDEOS: 2713")</f>
        <v>AMERICAS FUNNIEST HOME VIDEOS: 2713</v>
      </c>
      <c r="E786" s="3" t="s">
        <v>678</v>
      </c>
      <c r="F786" s="3" t="s">
        <v>945</v>
      </c>
      <c r="G786" s="3" t="s">
        <v>946</v>
      </c>
    </row>
    <row r="787" spans="1:7">
      <c r="A787" s="6">
        <v>42911</v>
      </c>
      <c r="B787" s="3" t="s">
        <v>13</v>
      </c>
      <c r="C787" s="3" t="s">
        <v>21</v>
      </c>
      <c r="D787" s="8" t="str">
        <f>HYPERLINK("http://npthd.inbcu.com/ViewContent.aspx?filename=NPMR_ABC_2017-06-25_E.MP4$1898$2078","COMMERCIAL")</f>
        <v>COMMERCIAL</v>
      </c>
      <c r="E787" s="3" t="s">
        <v>22</v>
      </c>
      <c r="F787" s="3" t="s">
        <v>946</v>
      </c>
      <c r="G787" s="3" t="s">
        <v>947</v>
      </c>
    </row>
    <row r="788" spans="1:7">
      <c r="A788" s="6">
        <v>42911</v>
      </c>
      <c r="B788" s="3" t="s">
        <v>13</v>
      </c>
      <c r="C788" s="3" t="s">
        <v>14</v>
      </c>
      <c r="D788" s="8" t="str">
        <f>HYPERLINK("http://npthd.inbcu.com/ViewContent.aspx?filename=NPMR_ABC_2017-06-25_E.MP4$2078$2093","Good Morning America")</f>
        <v>Good Morning America</v>
      </c>
      <c r="E788" s="3" t="s">
        <v>30</v>
      </c>
      <c r="F788" s="3" t="s">
        <v>947</v>
      </c>
      <c r="G788" s="3" t="s">
        <v>948</v>
      </c>
    </row>
    <row r="789" spans="1:7">
      <c r="A789" s="6">
        <v>42911</v>
      </c>
      <c r="B789" s="3" t="s">
        <v>13</v>
      </c>
      <c r="C789" s="3" t="s">
        <v>14</v>
      </c>
      <c r="D789" s="8" t="str">
        <f>HYPERLINK("http://npthd.inbcu.com/ViewContent.aspx?filename=NPMR_ABC_2017-06-25_E.MP4$2093$2108","To Tell the Truth")</f>
        <v>To Tell the Truth</v>
      </c>
      <c r="E789" s="3" t="s">
        <v>30</v>
      </c>
      <c r="F789" s="3" t="s">
        <v>948</v>
      </c>
      <c r="G789" s="3" t="s">
        <v>949</v>
      </c>
    </row>
    <row r="790" spans="1:7">
      <c r="A790" s="6">
        <v>42911</v>
      </c>
      <c r="B790" s="3" t="s">
        <v>13</v>
      </c>
      <c r="C790" s="3" t="s">
        <v>18</v>
      </c>
      <c r="D790" s="8" t="str">
        <f>HYPERLINK("http://npthd.inbcu.com/ViewContent.aspx?filename=NPMR_ABC_2017-06-25_E.MP4$2108$2550","AMERICAS FUNNIEST HOME VIDEOS: 2713")</f>
        <v>AMERICAS FUNNIEST HOME VIDEOS: 2713</v>
      </c>
      <c r="E790" s="3" t="s">
        <v>950</v>
      </c>
      <c r="F790" s="3" t="s">
        <v>949</v>
      </c>
      <c r="G790" s="3" t="s">
        <v>951</v>
      </c>
    </row>
    <row r="791" spans="1:7">
      <c r="A791" s="6">
        <v>42911</v>
      </c>
      <c r="B791" s="3" t="s">
        <v>13</v>
      </c>
      <c r="C791" s="3" t="s">
        <v>21</v>
      </c>
      <c r="D791" s="8" t="str">
        <f>HYPERLINK("http://npthd.inbcu.com/ViewContent.aspx?filename=NPMR_ABC_2017-06-25_E.MP4$2550$2699","COMMERCIAL")</f>
        <v>COMMERCIAL</v>
      </c>
      <c r="E791" s="3" t="s">
        <v>952</v>
      </c>
      <c r="F791" s="3" t="s">
        <v>951</v>
      </c>
      <c r="G791" s="3" t="s">
        <v>953</v>
      </c>
    </row>
    <row r="792" spans="1:7">
      <c r="A792" s="6">
        <v>42911</v>
      </c>
      <c r="B792" s="3" t="s">
        <v>13</v>
      </c>
      <c r="C792" s="3" t="s">
        <v>14</v>
      </c>
      <c r="D792" s="8" t="str">
        <f>HYPERLINK("http://npthd.inbcu.com/ViewContent.aspx?filename=NPMR_ABC_2017-06-25_E.MP4$2699$2729","Battle of the Network Stars")</f>
        <v>Battle of the Network Stars</v>
      </c>
      <c r="E792" s="3" t="s">
        <v>38</v>
      </c>
      <c r="F792" s="3" t="s">
        <v>953</v>
      </c>
      <c r="G792" s="3" t="s">
        <v>954</v>
      </c>
    </row>
    <row r="793" spans="1:7">
      <c r="A793" s="6">
        <v>42911</v>
      </c>
      <c r="B793" s="3" t="s">
        <v>13</v>
      </c>
      <c r="C793" s="3" t="s">
        <v>32</v>
      </c>
      <c r="D793" s="8" t="str">
        <f>HYPERLINK("http://npthd.inbcu.com/ViewContent.aspx?filename=NPMR_ABC_2017-06-25_E.MP4$2729$2822","LOCAL")</f>
        <v>LOCAL</v>
      </c>
      <c r="E793" s="3" t="s">
        <v>955</v>
      </c>
      <c r="F793" s="3" t="s">
        <v>954</v>
      </c>
      <c r="G793" s="3" t="s">
        <v>956</v>
      </c>
    </row>
    <row r="794" spans="1:7">
      <c r="A794" s="6">
        <v>42911</v>
      </c>
      <c r="B794" s="3" t="s">
        <v>13</v>
      </c>
      <c r="C794" s="3" t="s">
        <v>18</v>
      </c>
      <c r="D794" s="8" t="str">
        <f>HYPERLINK("http://npthd.inbcu.com/ViewContent.aspx?filename=NPMR_ABC_2017-06-25_E.MP4$2822$3188","AMERICAS FUNNIEST HOME VIDEOS: 2713")</f>
        <v>AMERICAS FUNNIEST HOME VIDEOS: 2713</v>
      </c>
      <c r="E794" s="3" t="s">
        <v>957</v>
      </c>
      <c r="F794" s="3" t="s">
        <v>956</v>
      </c>
      <c r="G794" s="3" t="s">
        <v>958</v>
      </c>
    </row>
    <row r="795" spans="1:7">
      <c r="A795" s="6">
        <v>42911</v>
      </c>
      <c r="B795" s="3" t="s">
        <v>13</v>
      </c>
      <c r="C795" s="3" t="s">
        <v>21</v>
      </c>
      <c r="D795" s="8" t="str">
        <f>HYPERLINK("http://npthd.inbcu.com/ViewContent.aspx?filename=NPMR_ABC_2017-06-25_E.MP4$3188$3369","COMMERCIAL")</f>
        <v>COMMERCIAL</v>
      </c>
      <c r="E795" s="3" t="s">
        <v>108</v>
      </c>
      <c r="F795" s="3" t="s">
        <v>958</v>
      </c>
      <c r="G795" s="3" t="s">
        <v>959</v>
      </c>
    </row>
    <row r="796" spans="1:7">
      <c r="A796" s="6">
        <v>42911</v>
      </c>
      <c r="B796" s="3" t="s">
        <v>13</v>
      </c>
      <c r="C796" s="3" t="s">
        <v>21</v>
      </c>
      <c r="D796" s="8" t="str">
        <f>HYPERLINK("http://npthd.inbcu.com/ViewContent.aspx?filename=NPMR_ABC_2017-06-25_E.MP4$3369$3399","COMMERCIAL")</f>
        <v>COMMERCIAL</v>
      </c>
      <c r="E796" s="3" t="s">
        <v>38</v>
      </c>
      <c r="F796" s="3" t="s">
        <v>959</v>
      </c>
      <c r="G796" s="3" t="s">
        <v>960</v>
      </c>
    </row>
    <row r="797" spans="1:7">
      <c r="A797" s="6">
        <v>42911</v>
      </c>
      <c r="B797" s="3" t="s">
        <v>13</v>
      </c>
      <c r="C797" s="3" t="s">
        <v>14</v>
      </c>
      <c r="D797" s="8" t="str">
        <f>HYPERLINK("http://npthd.inbcu.com/ViewContent.aspx?filename=NPMR_ABC_2017-06-25_E.MP4$3399$3429","Celebrity Family Feud / Funderdome")</f>
        <v>Celebrity Family Feud / Funderdome</v>
      </c>
      <c r="E797" s="3" t="s">
        <v>38</v>
      </c>
      <c r="F797" s="3" t="s">
        <v>960</v>
      </c>
      <c r="G797" s="3" t="s">
        <v>961</v>
      </c>
    </row>
    <row r="798" spans="1:7">
      <c r="A798" s="6">
        <v>42911</v>
      </c>
      <c r="B798" s="3" t="s">
        <v>13</v>
      </c>
      <c r="C798" s="3" t="s">
        <v>32</v>
      </c>
      <c r="D798" s="8" t="str">
        <f>HYPERLINK("http://npthd.inbcu.com/ViewContent.aspx?filename=NPMR_ABC_2017-06-25_E.MP4$3429$3433","LOCAL")</f>
        <v>LOCAL</v>
      </c>
      <c r="E798" s="3" t="s">
        <v>84</v>
      </c>
      <c r="F798" s="3" t="s">
        <v>961</v>
      </c>
      <c r="G798" s="3" t="s">
        <v>962</v>
      </c>
    </row>
    <row r="799" spans="1:7">
      <c r="A799" s="6">
        <v>42911</v>
      </c>
      <c r="B799" s="3" t="s">
        <v>13</v>
      </c>
      <c r="C799" s="3" t="s">
        <v>18</v>
      </c>
      <c r="D799" s="8" t="str">
        <f>HYPERLINK("http://npthd.inbcu.com/ViewContent.aspx?filename=NPMR_ABC_2017-06-25_E.MP4$3433$3723","AMERICAS FUNNIEST HOME VIDEOS: 2713")</f>
        <v>AMERICAS FUNNIEST HOME VIDEOS: 2713</v>
      </c>
      <c r="E799" s="3" t="s">
        <v>963</v>
      </c>
      <c r="F799" s="3" t="s">
        <v>962</v>
      </c>
      <c r="G799" s="3" t="s">
        <v>16</v>
      </c>
    </row>
    <row r="800" spans="1:7">
      <c r="A800" s="6">
        <v>42911</v>
      </c>
      <c r="B800" s="3" t="s">
        <v>13</v>
      </c>
      <c r="C800" s="3" t="s">
        <v>14</v>
      </c>
      <c r="D800" s="8" t="str">
        <f>HYPERLINK("http://npthd.inbcu.com/ViewContent.aspx?filename=NPMR_ABC_2017-06-25_E.MP4$3723$3727","Celebrity Family Feud")</f>
        <v>Celebrity Family Feud</v>
      </c>
      <c r="E800" s="3" t="s">
        <v>84</v>
      </c>
      <c r="F800" s="3" t="s">
        <v>16</v>
      </c>
      <c r="G800" s="3" t="s">
        <v>964</v>
      </c>
    </row>
    <row r="801" spans="1:7">
      <c r="A801" s="6">
        <v>42911</v>
      </c>
      <c r="B801" s="3" t="s">
        <v>13</v>
      </c>
      <c r="C801" s="3" t="s">
        <v>18</v>
      </c>
      <c r="D801" s="8" t="str">
        <f>HYPERLINK("http://npthd.inbcu.com/ViewContent.aspx?filename=NPMR_ABC_2017-06-25_E.MP4$3727$4300","CELEBRITY FAMILY FEUD: harvey men vs women &amp; abdul-jabbar vs sampson")</f>
        <v>CELEBRITY FAMILY FEUD: harvey men vs women &amp; abdul-jabbar vs sampson</v>
      </c>
      <c r="E801" s="3" t="s">
        <v>878</v>
      </c>
      <c r="F801" s="3" t="s">
        <v>964</v>
      </c>
      <c r="G801" s="3" t="s">
        <v>965</v>
      </c>
    </row>
    <row r="802" spans="1:7">
      <c r="A802" s="6">
        <v>42911</v>
      </c>
      <c r="B802" s="3" t="s">
        <v>13</v>
      </c>
      <c r="C802" s="3" t="s">
        <v>21</v>
      </c>
      <c r="D802" s="8" t="str">
        <f>HYPERLINK("http://npthd.inbcu.com/ViewContent.aspx?filename=NPMR_ABC_2017-06-25_E.MP4$4300$4480","COMMERCIAL")</f>
        <v>COMMERCIAL</v>
      </c>
      <c r="E802" s="3" t="s">
        <v>22</v>
      </c>
      <c r="F802" s="3" t="s">
        <v>965</v>
      </c>
      <c r="G802" s="3" t="s">
        <v>966</v>
      </c>
    </row>
    <row r="803" spans="1:7">
      <c r="A803" s="6">
        <v>42911</v>
      </c>
      <c r="B803" s="3" t="s">
        <v>13</v>
      </c>
      <c r="C803" s="3" t="s">
        <v>14</v>
      </c>
      <c r="D803" s="8" t="str">
        <f>HYPERLINK("http://npthd.inbcu.com/ViewContent.aspx?filename=NPMR_ABC_2017-06-25_E.MP4$4480$4495","Boy Band")</f>
        <v>Boy Band</v>
      </c>
      <c r="E803" s="3" t="s">
        <v>30</v>
      </c>
      <c r="F803" s="3" t="s">
        <v>966</v>
      </c>
      <c r="G803" s="3" t="s">
        <v>967</v>
      </c>
    </row>
    <row r="804" spans="1:7">
      <c r="A804" s="6">
        <v>42911</v>
      </c>
      <c r="B804" s="3" t="s">
        <v>13</v>
      </c>
      <c r="C804" s="3" t="s">
        <v>14</v>
      </c>
      <c r="D804" s="8" t="str">
        <f>HYPERLINK("http://npthd.inbcu.com/ViewContent.aspx?filename=NPMR_ABC_2017-06-25_E.MP4$4495$4510","Battle of the Network Stars")</f>
        <v>Battle of the Network Stars</v>
      </c>
      <c r="E804" s="3" t="s">
        <v>30</v>
      </c>
      <c r="F804" s="3" t="s">
        <v>967</v>
      </c>
      <c r="G804" s="3" t="s">
        <v>968</v>
      </c>
    </row>
    <row r="805" spans="1:7">
      <c r="A805" s="6">
        <v>42911</v>
      </c>
      <c r="B805" s="3" t="s">
        <v>13</v>
      </c>
      <c r="C805" s="3" t="s">
        <v>18</v>
      </c>
      <c r="D805" s="8" t="str">
        <f>HYPERLINK("http://npthd.inbcu.com/ViewContent.aspx?filename=NPMR_ABC_2017-06-25_E.MP4$4510$5117","CELEBRITY FAMILY FEUD: harvey men vs women &amp; abdul-jabbar vs sampson")</f>
        <v>CELEBRITY FAMILY FEUD: harvey men vs women &amp; abdul-jabbar vs sampson</v>
      </c>
      <c r="E805" s="3" t="s">
        <v>969</v>
      </c>
      <c r="F805" s="3" t="s">
        <v>968</v>
      </c>
      <c r="G805" s="3" t="s">
        <v>970</v>
      </c>
    </row>
    <row r="806" spans="1:7">
      <c r="A806" s="6">
        <v>42911</v>
      </c>
      <c r="B806" s="3" t="s">
        <v>13</v>
      </c>
      <c r="C806" s="3" t="s">
        <v>21</v>
      </c>
      <c r="D806" s="8" t="str">
        <f>HYPERLINK("http://npthd.inbcu.com/ViewContent.aspx?filename=NPMR_ABC_2017-06-25_E.MP4$5117$5267","COMMERCIAL")</f>
        <v>COMMERCIAL</v>
      </c>
      <c r="E806" s="3" t="s">
        <v>28</v>
      </c>
      <c r="F806" s="3" t="s">
        <v>970</v>
      </c>
      <c r="G806" s="3" t="s">
        <v>971</v>
      </c>
    </row>
    <row r="807" spans="1:7">
      <c r="A807" s="6">
        <v>42911</v>
      </c>
      <c r="B807" s="3" t="s">
        <v>13</v>
      </c>
      <c r="C807" s="3" t="s">
        <v>14</v>
      </c>
      <c r="D807" s="8" t="str">
        <f>HYPERLINK("http://npthd.inbcu.com/ViewContent.aspx?filename=NPMR_ABC_2017-06-25_E.MP4$5267$5282","100,000 Pyramid")</f>
        <v>100,000 Pyramid</v>
      </c>
      <c r="E807" s="3" t="s">
        <v>30</v>
      </c>
      <c r="F807" s="3" t="s">
        <v>971</v>
      </c>
      <c r="G807" s="3" t="s">
        <v>972</v>
      </c>
    </row>
    <row r="808" spans="1:7">
      <c r="A808" s="6">
        <v>42911</v>
      </c>
      <c r="B808" s="3" t="s">
        <v>13</v>
      </c>
      <c r="C808" s="3" t="s">
        <v>32</v>
      </c>
      <c r="D808" s="8" t="str">
        <f>HYPERLINK("http://npthd.inbcu.com/ViewContent.aspx?filename=NPMR_ABC_2017-06-25_E.MP4$5282$5343","LOCAL")</f>
        <v>LOCAL</v>
      </c>
      <c r="E808" s="3" t="s">
        <v>33</v>
      </c>
      <c r="F808" s="3" t="s">
        <v>972</v>
      </c>
      <c r="G808" s="3" t="s">
        <v>973</v>
      </c>
    </row>
    <row r="809" spans="1:7">
      <c r="A809" s="6">
        <v>42911</v>
      </c>
      <c r="B809" s="3" t="s">
        <v>13</v>
      </c>
      <c r="C809" s="3" t="s">
        <v>18</v>
      </c>
      <c r="D809" s="8" t="str">
        <f>HYPERLINK("http://npthd.inbcu.com/ViewContent.aspx?filename=NPMR_ABC_2017-06-25_E.MP4$5343$5640","CELEBRITY FAMILY FEUD: harvey men vs women &amp; abdul-jabbar vs sampson")</f>
        <v>CELEBRITY FAMILY FEUD: harvey men vs women &amp; abdul-jabbar vs sampson</v>
      </c>
      <c r="E809" s="3" t="s">
        <v>974</v>
      </c>
      <c r="F809" s="3" t="s">
        <v>973</v>
      </c>
      <c r="G809" s="3" t="s">
        <v>975</v>
      </c>
    </row>
    <row r="810" spans="1:7">
      <c r="A810" s="6">
        <v>42911</v>
      </c>
      <c r="B810" s="3" t="s">
        <v>13</v>
      </c>
      <c r="C810" s="3" t="s">
        <v>21</v>
      </c>
      <c r="D810" s="8" t="str">
        <f>HYPERLINK("http://npthd.inbcu.com/ViewContent.aspx?filename=NPMR_ABC_2017-06-25_E.MP4$5640$5791","COMMERCIAL")</f>
        <v>COMMERCIAL</v>
      </c>
      <c r="E810" s="3" t="s">
        <v>91</v>
      </c>
      <c r="F810" s="3" t="s">
        <v>975</v>
      </c>
      <c r="G810" s="3" t="s">
        <v>976</v>
      </c>
    </row>
    <row r="811" spans="1:7">
      <c r="A811" s="6">
        <v>42911</v>
      </c>
      <c r="B811" s="3" t="s">
        <v>13</v>
      </c>
      <c r="C811" s="3" t="s">
        <v>14</v>
      </c>
      <c r="D811" s="8" t="str">
        <f>HYPERLINK("http://npthd.inbcu.com/ViewContent.aspx?filename=NPMR_ABC_2017-06-25_E.MP4$5791$5805","Bachelorette")</f>
        <v>Bachelorette</v>
      </c>
      <c r="E811" s="3" t="s">
        <v>342</v>
      </c>
      <c r="F811" s="3" t="s">
        <v>976</v>
      </c>
      <c r="G811" s="3" t="s">
        <v>977</v>
      </c>
    </row>
    <row r="812" spans="1:7">
      <c r="A812" s="6">
        <v>42911</v>
      </c>
      <c r="B812" s="3" t="s">
        <v>13</v>
      </c>
      <c r="C812" s="3" t="s">
        <v>14</v>
      </c>
      <c r="D812" s="8" t="str">
        <f>HYPERLINK("http://npthd.inbcu.com/ViewContent.aspx?filename=NPMR_ABC_2017-06-25_E.MP4$5805$5821","Gong Show, The")</f>
        <v>Gong Show, The</v>
      </c>
      <c r="E812" s="3" t="s">
        <v>64</v>
      </c>
      <c r="F812" s="3" t="s">
        <v>977</v>
      </c>
      <c r="G812" s="3" t="s">
        <v>978</v>
      </c>
    </row>
    <row r="813" spans="1:7">
      <c r="A813" s="6">
        <v>42911</v>
      </c>
      <c r="B813" s="3" t="s">
        <v>13</v>
      </c>
      <c r="C813" s="3" t="s">
        <v>18</v>
      </c>
      <c r="D813" s="8" t="str">
        <f>HYPERLINK("http://npthd.inbcu.com/ViewContent.aspx?filename=NPMR_ABC_2017-06-25_E.MP4$5821$6198","CELEBRITY FAMILY FEUD: harvey men vs women &amp; abdul-jabbar vs sampson")</f>
        <v>CELEBRITY FAMILY FEUD: harvey men vs women &amp; abdul-jabbar vs sampson</v>
      </c>
      <c r="E813" s="3" t="s">
        <v>309</v>
      </c>
      <c r="F813" s="3" t="s">
        <v>978</v>
      </c>
      <c r="G813" s="3" t="s">
        <v>979</v>
      </c>
    </row>
    <row r="814" spans="1:7">
      <c r="A814" s="6">
        <v>42911</v>
      </c>
      <c r="B814" s="3" t="s">
        <v>13</v>
      </c>
      <c r="C814" s="3" t="s">
        <v>21</v>
      </c>
      <c r="D814" s="8" t="str">
        <f>HYPERLINK("http://npthd.inbcu.com/ViewContent.aspx?filename=NPMR_ABC_2017-06-25_E.MP4$6198$6303","COMMERCIAL")</f>
        <v>COMMERCIAL</v>
      </c>
      <c r="E814" s="3" t="s">
        <v>199</v>
      </c>
      <c r="F814" s="3" t="s">
        <v>979</v>
      </c>
      <c r="G814" s="3" t="s">
        <v>980</v>
      </c>
    </row>
    <row r="815" spans="1:7">
      <c r="A815" s="6">
        <v>42911</v>
      </c>
      <c r="B815" s="3" t="s">
        <v>13</v>
      </c>
      <c r="C815" s="3" t="s">
        <v>14</v>
      </c>
      <c r="D815" s="8" t="str">
        <f>HYPERLINK("http://npthd.inbcu.com/ViewContent.aspx?filename=NPMR_ABC_2017-06-25_E.MP4$6303$6333","Battle of the Network Stars")</f>
        <v>Battle of the Network Stars</v>
      </c>
      <c r="E815" s="3" t="s">
        <v>38</v>
      </c>
      <c r="F815" s="3" t="s">
        <v>980</v>
      </c>
      <c r="G815" s="3" t="s">
        <v>981</v>
      </c>
    </row>
    <row r="816" spans="1:7">
      <c r="A816" s="6">
        <v>42911</v>
      </c>
      <c r="B816" s="3" t="s">
        <v>13</v>
      </c>
      <c r="C816" s="3" t="s">
        <v>32</v>
      </c>
      <c r="D816" s="8" t="str">
        <f>HYPERLINK("http://npthd.inbcu.com/ViewContent.aspx?filename=NPMR_ABC_2017-06-25_E.MP4$6333$6424","LOCAL")</f>
        <v>LOCAL</v>
      </c>
      <c r="E816" s="3" t="s">
        <v>77</v>
      </c>
      <c r="F816" s="3" t="s">
        <v>981</v>
      </c>
      <c r="G816" s="3" t="s">
        <v>982</v>
      </c>
    </row>
    <row r="817" spans="1:7">
      <c r="A817" s="6">
        <v>42911</v>
      </c>
      <c r="B817" s="3" t="s">
        <v>13</v>
      </c>
      <c r="C817" s="3" t="s">
        <v>18</v>
      </c>
      <c r="D817" s="8" t="str">
        <f>HYPERLINK("http://npthd.inbcu.com/ViewContent.aspx?filename=NPMR_ABC_2017-06-25_E.MP4$6424$6847","CELEBRITY FAMILY FEUD: harvey men vs women &amp; abdul-jabbar vs sampson")</f>
        <v>CELEBRITY FAMILY FEUD: harvey men vs women &amp; abdul-jabbar vs sampson</v>
      </c>
      <c r="E817" s="3" t="s">
        <v>598</v>
      </c>
      <c r="F817" s="3" t="s">
        <v>982</v>
      </c>
      <c r="G817" s="3" t="s">
        <v>983</v>
      </c>
    </row>
    <row r="818" spans="1:7">
      <c r="A818" s="6">
        <v>42911</v>
      </c>
      <c r="B818" s="3" t="s">
        <v>13</v>
      </c>
      <c r="C818" s="3" t="s">
        <v>21</v>
      </c>
      <c r="D818" s="8" t="str">
        <f>HYPERLINK("http://npthd.inbcu.com/ViewContent.aspx?filename=NPMR_ABC_2017-06-25_E.MP4$6847$7057","COMMERCIAL")</f>
        <v>COMMERCIAL</v>
      </c>
      <c r="E818" s="3" t="s">
        <v>150</v>
      </c>
      <c r="F818" s="3" t="s">
        <v>983</v>
      </c>
      <c r="G818" s="3" t="s">
        <v>984</v>
      </c>
    </row>
    <row r="819" spans="1:7">
      <c r="A819" s="6">
        <v>42911</v>
      </c>
      <c r="B819" s="3" t="s">
        <v>13</v>
      </c>
      <c r="C819" s="3" t="s">
        <v>14</v>
      </c>
      <c r="D819" s="8" t="str">
        <f>HYPERLINK("http://npthd.inbcu.com/ViewContent.aspx?filename=NPMR_ABC_2017-06-25_E.MP4$7057$7072","Funderdome")</f>
        <v>Funderdome</v>
      </c>
      <c r="E819" s="3" t="s">
        <v>30</v>
      </c>
      <c r="F819" s="3" t="s">
        <v>984</v>
      </c>
      <c r="G819" s="3" t="s">
        <v>985</v>
      </c>
    </row>
    <row r="820" spans="1:7">
      <c r="A820" s="6">
        <v>42911</v>
      </c>
      <c r="B820" s="3" t="s">
        <v>13</v>
      </c>
      <c r="C820" s="3" t="s">
        <v>14</v>
      </c>
      <c r="D820" s="8" t="str">
        <f>HYPERLINK("http://npthd.inbcu.com/ViewContent.aspx?filename=NPMR_ABC_2017-06-25_E.MP4$7072$7087","Boy Band")</f>
        <v>Boy Band</v>
      </c>
      <c r="E820" s="3" t="s">
        <v>30</v>
      </c>
      <c r="F820" s="3" t="s">
        <v>985</v>
      </c>
      <c r="G820" s="3" t="s">
        <v>986</v>
      </c>
    </row>
    <row r="821" spans="1:7">
      <c r="A821" s="6">
        <v>42911</v>
      </c>
      <c r="B821" s="3" t="s">
        <v>13</v>
      </c>
      <c r="C821" s="3" t="s">
        <v>32</v>
      </c>
      <c r="D821" s="8" t="str">
        <f>HYPERLINK("http://npthd.inbcu.com/ViewContent.aspx?filename=NPMR_ABC_2017-06-25_E.MP4$7087$7092","LOCAL")</f>
        <v>LOCAL</v>
      </c>
      <c r="E821" s="3" t="s">
        <v>54</v>
      </c>
      <c r="F821" s="3" t="s">
        <v>986</v>
      </c>
      <c r="G821" s="3" t="s">
        <v>987</v>
      </c>
    </row>
    <row r="822" spans="1:7">
      <c r="A822" s="6">
        <v>42911</v>
      </c>
      <c r="B822" s="3" t="s">
        <v>13</v>
      </c>
      <c r="C822" s="3" t="s">
        <v>18</v>
      </c>
      <c r="D822" s="8" t="str">
        <f>HYPERLINK("http://npthd.inbcu.com/ViewContent.aspx?filename=NPMR_ABC_2017-06-25_E.MP4$7092$7323","CELEBRITY FAMILY FEUD: harvey men vs women &amp; abdul-jabbar vs sampson")</f>
        <v>CELEBRITY FAMILY FEUD: harvey men vs women &amp; abdul-jabbar vs sampson</v>
      </c>
      <c r="E822" s="3" t="s">
        <v>215</v>
      </c>
      <c r="F822" s="3" t="s">
        <v>987</v>
      </c>
      <c r="G822" s="3" t="s">
        <v>242</v>
      </c>
    </row>
    <row r="823" spans="1:7">
      <c r="A823" s="6">
        <v>42911</v>
      </c>
      <c r="B823" s="3" t="s">
        <v>13</v>
      </c>
      <c r="C823" s="3" t="s">
        <v>14</v>
      </c>
      <c r="D823" s="8" t="str">
        <f>HYPERLINK("http://npthd.inbcu.com/ViewContent.aspx?filename=NPMR_ABC_2017-06-25_E.MP4$7323$7327","Funderdome")</f>
        <v>Funderdome</v>
      </c>
      <c r="E823" s="3" t="s">
        <v>84</v>
      </c>
      <c r="F823" s="3" t="s">
        <v>242</v>
      </c>
      <c r="G823" s="3" t="s">
        <v>988</v>
      </c>
    </row>
    <row r="824" spans="1:7">
      <c r="A824" s="6">
        <v>42911</v>
      </c>
      <c r="B824" s="3" t="s">
        <v>13</v>
      </c>
      <c r="C824" s="3" t="s">
        <v>18</v>
      </c>
      <c r="D824" s="8" t="str">
        <f>HYPERLINK("http://npthd.inbcu.com/ViewContent.aspx?filename=NPMR_ABC_2017-06-25_E.MP4$7327$8053","STEVE HARVEYS FUNDERDOME: 101")</f>
        <v>STEVE HARVEYS FUNDERDOME: 101</v>
      </c>
      <c r="E824" s="3" t="s">
        <v>989</v>
      </c>
      <c r="F824" s="3" t="s">
        <v>988</v>
      </c>
      <c r="G824" s="3" t="s">
        <v>990</v>
      </c>
    </row>
    <row r="825" spans="1:7">
      <c r="A825" s="6">
        <v>42911</v>
      </c>
      <c r="B825" s="3" t="s">
        <v>13</v>
      </c>
      <c r="C825" s="3" t="s">
        <v>21</v>
      </c>
      <c r="D825" s="8" t="str">
        <f>HYPERLINK("http://npthd.inbcu.com/ViewContent.aspx?filename=NPMR_ABC_2017-06-25_E.MP4$8053$8218","COMMERCIAL")</f>
        <v>COMMERCIAL</v>
      </c>
      <c r="E825" s="3" t="s">
        <v>428</v>
      </c>
      <c r="F825" s="3" t="s">
        <v>990</v>
      </c>
      <c r="G825" s="3" t="s">
        <v>991</v>
      </c>
    </row>
    <row r="826" spans="1:7">
      <c r="A826" s="6">
        <v>42911</v>
      </c>
      <c r="B826" s="3" t="s">
        <v>13</v>
      </c>
      <c r="C826" s="3" t="s">
        <v>14</v>
      </c>
      <c r="D826" s="8" t="str">
        <f>HYPERLINK("http://npthd.inbcu.com/ViewContent.aspx?filename=NPMR_ABC_2017-06-25_E.MP4$8218$8233","Boy Band")</f>
        <v>Boy Band</v>
      </c>
      <c r="E826" s="3" t="s">
        <v>30</v>
      </c>
      <c r="F826" s="3" t="s">
        <v>991</v>
      </c>
      <c r="G826" s="3" t="s">
        <v>992</v>
      </c>
    </row>
    <row r="827" spans="1:7">
      <c r="A827" s="6">
        <v>42911</v>
      </c>
      <c r="B827" s="3" t="s">
        <v>13</v>
      </c>
      <c r="C827" s="3" t="s">
        <v>14</v>
      </c>
      <c r="D827" s="8" t="str">
        <f>HYPERLINK("http://npthd.inbcu.com/ViewContent.aspx?filename=NPMR_ABC_2017-06-25_E.MP4$8233$8248","Battle of the Network Stars")</f>
        <v>Battle of the Network Stars</v>
      </c>
      <c r="E827" s="3" t="s">
        <v>30</v>
      </c>
      <c r="F827" s="3" t="s">
        <v>992</v>
      </c>
      <c r="G827" s="3" t="s">
        <v>993</v>
      </c>
    </row>
    <row r="828" spans="1:7">
      <c r="A828" s="6">
        <v>42911</v>
      </c>
      <c r="B828" s="3" t="s">
        <v>13</v>
      </c>
      <c r="C828" s="3" t="s">
        <v>18</v>
      </c>
      <c r="D828" s="8" t="str">
        <f>HYPERLINK("http://npthd.inbcu.com/ViewContent.aspx?filename=NPMR_ABC_2017-06-25_E.MP4$8248$8519","STEVE HARVEYS FUNDERDOME: 101")</f>
        <v>STEVE HARVEYS FUNDERDOME: 101</v>
      </c>
      <c r="E828" s="3" t="s">
        <v>994</v>
      </c>
      <c r="F828" s="3" t="s">
        <v>993</v>
      </c>
      <c r="G828" s="3" t="s">
        <v>374</v>
      </c>
    </row>
    <row r="829" spans="1:7">
      <c r="A829" s="6">
        <v>42911</v>
      </c>
      <c r="B829" s="3" t="s">
        <v>13</v>
      </c>
      <c r="C829" s="3" t="s">
        <v>21</v>
      </c>
      <c r="D829" s="8" t="str">
        <f>HYPERLINK("http://npthd.inbcu.com/ViewContent.aspx?filename=NPMR_ABC_2017-06-25_E.MP4$8519$8639","COMMERCIAL")</f>
        <v>COMMERCIAL</v>
      </c>
      <c r="E829" s="3" t="s">
        <v>43</v>
      </c>
      <c r="F829" s="3" t="s">
        <v>374</v>
      </c>
      <c r="G829" s="3" t="s">
        <v>995</v>
      </c>
    </row>
    <row r="830" spans="1:7">
      <c r="A830" s="6">
        <v>42911</v>
      </c>
      <c r="B830" s="3" t="s">
        <v>13</v>
      </c>
      <c r="C830" s="3" t="s">
        <v>14</v>
      </c>
      <c r="D830" s="8" t="str">
        <f>HYPERLINK("http://npthd.inbcu.com/ViewContent.aspx?filename=NPMR_ABC_2017-06-25_E.MP4$8639$8654","Bachelorette")</f>
        <v>Bachelorette</v>
      </c>
      <c r="E830" s="3" t="s">
        <v>30</v>
      </c>
      <c r="F830" s="3" t="s">
        <v>995</v>
      </c>
      <c r="G830" s="3" t="s">
        <v>255</v>
      </c>
    </row>
    <row r="831" spans="1:7">
      <c r="A831" s="6">
        <v>42911</v>
      </c>
      <c r="B831" s="3" t="s">
        <v>13</v>
      </c>
      <c r="C831" s="3" t="s">
        <v>32</v>
      </c>
      <c r="D831" s="8" t="str">
        <f>HYPERLINK("http://npthd.inbcu.com/ViewContent.aspx?filename=NPMR_ABC_2017-06-25_E.MP4$8654$8744","LOCAL")</f>
        <v>LOCAL</v>
      </c>
      <c r="E831" s="3" t="s">
        <v>46</v>
      </c>
      <c r="F831" s="3" t="s">
        <v>255</v>
      </c>
      <c r="G831" s="3" t="s">
        <v>996</v>
      </c>
    </row>
    <row r="832" spans="1:7">
      <c r="A832" s="6">
        <v>42911</v>
      </c>
      <c r="B832" s="3" t="s">
        <v>13</v>
      </c>
      <c r="C832" s="3" t="s">
        <v>18</v>
      </c>
      <c r="D832" s="8" t="str">
        <f>HYPERLINK("http://npthd.inbcu.com/ViewContent.aspx?filename=NPMR_ABC_2017-06-25_E.MP4$8744$9219","STEVE HARVEYS FUNDERDOME: 101")</f>
        <v>STEVE HARVEYS FUNDERDOME: 101</v>
      </c>
      <c r="E832" s="3" t="s">
        <v>250</v>
      </c>
      <c r="F832" s="3" t="s">
        <v>996</v>
      </c>
      <c r="G832" s="3" t="s">
        <v>997</v>
      </c>
    </row>
    <row r="833" spans="1:7">
      <c r="A833" s="6">
        <v>42911</v>
      </c>
      <c r="B833" s="3" t="s">
        <v>13</v>
      </c>
      <c r="C833" s="3" t="s">
        <v>21</v>
      </c>
      <c r="D833" s="8" t="str">
        <f>HYPERLINK("http://npthd.inbcu.com/ViewContent.aspx?filename=NPMR_ABC_2017-06-25_E.MP4$9219$9399","COMMERCIAL")</f>
        <v>COMMERCIAL</v>
      </c>
      <c r="E833" s="3" t="s">
        <v>22</v>
      </c>
      <c r="F833" s="3" t="s">
        <v>997</v>
      </c>
      <c r="G833" s="3" t="s">
        <v>998</v>
      </c>
    </row>
    <row r="834" spans="1:7">
      <c r="A834" s="6">
        <v>42911</v>
      </c>
      <c r="B834" s="3" t="s">
        <v>13</v>
      </c>
      <c r="C834" s="3" t="s">
        <v>14</v>
      </c>
      <c r="D834" s="8" t="str">
        <f>HYPERLINK("http://npthd.inbcu.com/ViewContent.aspx?filename=NPMR_ABC_2017-06-25_E.MP4$9399$9429","Boy Band")</f>
        <v>Boy Band</v>
      </c>
      <c r="E834" s="3" t="s">
        <v>38</v>
      </c>
      <c r="F834" s="3" t="s">
        <v>998</v>
      </c>
      <c r="G834" s="3" t="s">
        <v>999</v>
      </c>
    </row>
    <row r="835" spans="1:7">
      <c r="A835" s="6">
        <v>42911</v>
      </c>
      <c r="B835" s="3" t="s">
        <v>13</v>
      </c>
      <c r="C835" s="3" t="s">
        <v>18</v>
      </c>
      <c r="D835" s="8" t="str">
        <f>HYPERLINK("http://npthd.inbcu.com/ViewContent.aspx?filename=NPMR_ABC_2017-06-25_E.MP4$9429$9700","STEVE HARVEYS FUNDERDOME: 101")</f>
        <v>STEVE HARVEYS FUNDERDOME: 101</v>
      </c>
      <c r="E835" s="3" t="s">
        <v>994</v>
      </c>
      <c r="F835" s="3" t="s">
        <v>999</v>
      </c>
      <c r="G835" s="3" t="s">
        <v>553</v>
      </c>
    </row>
    <row r="836" spans="1:7">
      <c r="A836" s="6">
        <v>42911</v>
      </c>
      <c r="B836" s="3" t="s">
        <v>13</v>
      </c>
      <c r="C836" s="3" t="s">
        <v>21</v>
      </c>
      <c r="D836" s="8" t="str">
        <f>HYPERLINK("http://npthd.inbcu.com/ViewContent.aspx?filename=NPMR_ABC_2017-06-25_E.MP4$9700$9850","COMMERCIAL")</f>
        <v>COMMERCIAL</v>
      </c>
      <c r="E836" s="3" t="s">
        <v>28</v>
      </c>
      <c r="F836" s="3" t="s">
        <v>553</v>
      </c>
      <c r="G836" s="3" t="s">
        <v>1000</v>
      </c>
    </row>
    <row r="837" spans="1:7">
      <c r="A837" s="6">
        <v>42911</v>
      </c>
      <c r="B837" s="3" t="s">
        <v>13</v>
      </c>
      <c r="C837" s="3" t="s">
        <v>14</v>
      </c>
      <c r="D837" s="8" t="str">
        <f>HYPERLINK("http://npthd.inbcu.com/ViewContent.aspx?filename=NPMR_ABC_2017-06-25_E.MP4$9850$9865","Gong Show, The")</f>
        <v>Gong Show, The</v>
      </c>
      <c r="E837" s="3" t="s">
        <v>30</v>
      </c>
      <c r="F837" s="3" t="s">
        <v>1000</v>
      </c>
      <c r="G837" s="3" t="s">
        <v>1001</v>
      </c>
    </row>
    <row r="838" spans="1:7">
      <c r="A838" s="6">
        <v>42911</v>
      </c>
      <c r="B838" s="3" t="s">
        <v>13</v>
      </c>
      <c r="C838" s="3" t="s">
        <v>32</v>
      </c>
      <c r="D838" s="8" t="str">
        <f>HYPERLINK("http://npthd.inbcu.com/ViewContent.aspx?filename=NPMR_ABC_2017-06-25_E.MP4$9865$9926","LOCAL")</f>
        <v>LOCAL</v>
      </c>
      <c r="E838" s="3" t="s">
        <v>33</v>
      </c>
      <c r="F838" s="3" t="s">
        <v>1001</v>
      </c>
      <c r="G838" s="3" t="s">
        <v>1002</v>
      </c>
    </row>
    <row r="839" spans="1:7">
      <c r="A839" s="6">
        <v>42911</v>
      </c>
      <c r="B839" s="3" t="s">
        <v>13</v>
      </c>
      <c r="C839" s="3" t="s">
        <v>18</v>
      </c>
      <c r="D839" s="8" t="str">
        <f>HYPERLINK("http://npthd.inbcu.com/ViewContent.aspx?filename=NPMR_ABC_2017-06-25_E.MP4$9926$10378","STEVE HARVEYS FUNDERDOME: 101")</f>
        <v>STEVE HARVEYS FUNDERDOME: 101</v>
      </c>
      <c r="E839" s="3" t="s">
        <v>194</v>
      </c>
      <c r="F839" s="3" t="s">
        <v>1002</v>
      </c>
      <c r="G839" s="3" t="s">
        <v>1003</v>
      </c>
    </row>
    <row r="840" spans="1:7">
      <c r="A840" s="6">
        <v>42911</v>
      </c>
      <c r="B840" s="3" t="s">
        <v>13</v>
      </c>
      <c r="C840" s="3" t="s">
        <v>21</v>
      </c>
      <c r="D840" s="8" t="str">
        <f>HYPERLINK("http://npthd.inbcu.com/ViewContent.aspx?filename=NPMR_ABC_2017-06-25_E.MP4$10378$10558","COMMERCIAL")</f>
        <v>COMMERCIAL</v>
      </c>
      <c r="E840" s="3" t="s">
        <v>22</v>
      </c>
      <c r="F840" s="3" t="s">
        <v>1003</v>
      </c>
      <c r="G840" s="3" t="s">
        <v>1004</v>
      </c>
    </row>
    <row r="841" spans="1:7">
      <c r="A841" s="6">
        <v>42911</v>
      </c>
      <c r="B841" s="3" t="s">
        <v>13</v>
      </c>
      <c r="C841" s="3" t="s">
        <v>14</v>
      </c>
      <c r="D841" s="8" t="str">
        <f>HYPERLINK("http://npthd.inbcu.com/ViewContent.aspx?filename=NPMR_ABC_2017-06-25_E.MP4$10558$10573","100,000 Pyramid")</f>
        <v>100,000 Pyramid</v>
      </c>
      <c r="E841" s="3" t="s">
        <v>30</v>
      </c>
      <c r="F841" s="3" t="s">
        <v>1004</v>
      </c>
      <c r="G841" s="3" t="s">
        <v>1005</v>
      </c>
    </row>
    <row r="842" spans="1:7">
      <c r="A842" s="6">
        <v>42911</v>
      </c>
      <c r="B842" s="3" t="s">
        <v>13</v>
      </c>
      <c r="C842" s="3" t="s">
        <v>14</v>
      </c>
      <c r="D842" s="8" t="str">
        <f>HYPERLINK("http://npthd.inbcu.com/ViewContent.aspx?filename=NPMR_ABC_2017-06-25_E.MP4$10573$10603","Battle of the Network Stars")</f>
        <v>Battle of the Network Stars</v>
      </c>
      <c r="E842" s="3" t="s">
        <v>38</v>
      </c>
      <c r="F842" s="3" t="s">
        <v>1005</v>
      </c>
      <c r="G842" s="3" t="s">
        <v>391</v>
      </c>
    </row>
    <row r="843" spans="1:7">
      <c r="A843" s="6">
        <v>42911</v>
      </c>
      <c r="B843" s="3" t="s">
        <v>13</v>
      </c>
      <c r="C843" s="3" t="s">
        <v>32</v>
      </c>
      <c r="D843" s="8" t="str">
        <f>HYPERLINK("http://npthd.inbcu.com/ViewContent.aspx?filename=NPMR_ABC_2017-06-25_E.MP4$10603$10607","LOCAL")</f>
        <v>LOCAL</v>
      </c>
      <c r="E843" s="3" t="s">
        <v>84</v>
      </c>
      <c r="F843" s="3" t="s">
        <v>391</v>
      </c>
      <c r="G843" s="3" t="s">
        <v>1006</v>
      </c>
    </row>
    <row r="844" spans="1:7">
      <c r="A844" s="6">
        <v>42911</v>
      </c>
      <c r="B844" s="3" t="s">
        <v>13</v>
      </c>
      <c r="C844" s="3" t="s">
        <v>18</v>
      </c>
      <c r="D844" s="8" t="str">
        <f>HYPERLINK("http://npthd.inbcu.com/ViewContent.aspx?filename=NPMR_ABC_2017-06-25_E.MP4$10607$10890","STEVE HARVEYS FUNDERDOME: 101")</f>
        <v>STEVE HARVEYS FUNDERDOME: 101</v>
      </c>
      <c r="E844" s="3" t="s">
        <v>1007</v>
      </c>
      <c r="F844" s="3" t="s">
        <v>1006</v>
      </c>
      <c r="G844" s="3" t="s">
        <v>277</v>
      </c>
    </row>
    <row r="845" spans="1:7">
      <c r="A845" s="6">
        <v>42911</v>
      </c>
      <c r="B845" s="3" t="s">
        <v>13</v>
      </c>
      <c r="C845" s="3" t="s">
        <v>14</v>
      </c>
      <c r="D845" s="8" t="str">
        <f>HYPERLINK("http://npthd.inbcu.com/ViewContent.aspx?filename=NPMR_ABC_2017-06-25_E.MP4$10890$10920","Funderdome")</f>
        <v>Funderdome</v>
      </c>
      <c r="E845" s="3" t="s">
        <v>38</v>
      </c>
      <c r="F845" s="3" t="s">
        <v>277</v>
      </c>
      <c r="G845" s="3" t="s">
        <v>278</v>
      </c>
    </row>
    <row r="846" spans="1:7">
      <c r="A846" s="6">
        <v>42911</v>
      </c>
      <c r="B846" s="3" t="s">
        <v>13</v>
      </c>
      <c r="C846" s="3" t="s">
        <v>18</v>
      </c>
      <c r="D846" s="8" t="str">
        <f>HYPERLINK("http://npthd.inbcu.com/ViewContent.aspx?filename=NPMR_ABC_2017-06-25_E.MP4$10920$10922","STEVE HARVEYS FUNDERDOME: 101")</f>
        <v>STEVE HARVEYS FUNDERDOME: 101</v>
      </c>
      <c r="E846" s="3" t="s">
        <v>210</v>
      </c>
      <c r="F846" s="3" t="s">
        <v>278</v>
      </c>
      <c r="G846" s="3" t="s">
        <v>1008</v>
      </c>
    </row>
    <row r="847" spans="1:7">
      <c r="A847" s="6">
        <v>42911</v>
      </c>
      <c r="B847" s="3" t="s">
        <v>13</v>
      </c>
      <c r="C847" s="3" t="s">
        <v>14</v>
      </c>
      <c r="D847" s="8" t="str">
        <f>HYPERLINK("http://npthd.inbcu.com/ViewContent.aspx?filename=NPMR_ABC_2017-06-25_E.MP4$10922$10927","100,000 Pyramid")</f>
        <v>100,000 Pyramid</v>
      </c>
      <c r="E847" s="3" t="s">
        <v>54</v>
      </c>
      <c r="F847" s="3" t="s">
        <v>1008</v>
      </c>
      <c r="G847" s="3" t="s">
        <v>1009</v>
      </c>
    </row>
    <row r="848" spans="1:7">
      <c r="A848" s="6">
        <v>42911</v>
      </c>
      <c r="B848" s="3" t="s">
        <v>13</v>
      </c>
      <c r="C848" s="3" t="s">
        <v>18</v>
      </c>
      <c r="D848" s="8" t="str">
        <f>HYPERLINK("http://npthd.inbcu.com/ViewContent.aspx?filename=NPMR_ABC_2017-06-25_E.MP4$10927$11454","THE $100,000 PYRAMID: rodgers vs andrews &amp; ricci vs amell")</f>
        <v>THE $100,000 PYRAMID: rodgers vs andrews &amp; ricci vs amell</v>
      </c>
      <c r="E848" s="3" t="s">
        <v>1010</v>
      </c>
      <c r="F848" s="3" t="s">
        <v>1009</v>
      </c>
      <c r="G848" s="3" t="s">
        <v>1011</v>
      </c>
    </row>
    <row r="849" spans="1:7">
      <c r="A849" s="6">
        <v>42911</v>
      </c>
      <c r="B849" s="3" t="s">
        <v>13</v>
      </c>
      <c r="C849" s="3" t="s">
        <v>21</v>
      </c>
      <c r="D849" s="8" t="str">
        <f>HYPERLINK("http://npthd.inbcu.com/ViewContent.aspx?filename=NPMR_ABC_2017-06-25_E.MP4$11454$11574","COMMERCIAL")</f>
        <v>COMMERCIAL</v>
      </c>
      <c r="E849" s="3" t="s">
        <v>43</v>
      </c>
      <c r="F849" s="3" t="s">
        <v>1011</v>
      </c>
      <c r="G849" s="3" t="s">
        <v>1012</v>
      </c>
    </row>
    <row r="850" spans="1:7">
      <c r="A850" s="6">
        <v>42911</v>
      </c>
      <c r="B850" s="3" t="s">
        <v>13</v>
      </c>
      <c r="C850" s="3" t="s">
        <v>14</v>
      </c>
      <c r="D850" s="8" t="str">
        <f>HYPERLINK("http://npthd.inbcu.com/ViewContent.aspx?filename=NPMR_ABC_2017-06-25_E.MP4$11574$11589","Boy Band")</f>
        <v>Boy Band</v>
      </c>
      <c r="E850" s="3" t="s">
        <v>30</v>
      </c>
      <c r="F850" s="3" t="s">
        <v>1012</v>
      </c>
      <c r="G850" s="3" t="s">
        <v>1013</v>
      </c>
    </row>
    <row r="851" spans="1:7">
      <c r="A851" s="6">
        <v>42911</v>
      </c>
      <c r="B851" s="3" t="s">
        <v>13</v>
      </c>
      <c r="C851" s="3" t="s">
        <v>14</v>
      </c>
      <c r="D851" s="8" t="str">
        <f>HYPERLINK("http://npthd.inbcu.com/ViewContent.aspx?filename=NPMR_ABC_2017-06-25_E.MP4$11589$11604","Gong Show, The")</f>
        <v>Gong Show, The</v>
      </c>
      <c r="E851" s="3" t="s">
        <v>30</v>
      </c>
      <c r="F851" s="3" t="s">
        <v>1013</v>
      </c>
      <c r="G851" s="3" t="s">
        <v>1014</v>
      </c>
    </row>
    <row r="852" spans="1:7">
      <c r="A852" s="6">
        <v>42911</v>
      </c>
      <c r="B852" s="3" t="s">
        <v>13</v>
      </c>
      <c r="C852" s="3" t="s">
        <v>18</v>
      </c>
      <c r="D852" s="8" t="str">
        <f>HYPERLINK("http://npthd.inbcu.com/ViewContent.aspx?filename=NPMR_ABC_2017-06-25_E.MP4$11604$11775","THE $100,000 PYRAMID: rodgers vs andrews &amp; ricci vs amell")</f>
        <v>THE $100,000 PYRAMID: rodgers vs andrews &amp; ricci vs amell</v>
      </c>
      <c r="E852" s="3" t="s">
        <v>1015</v>
      </c>
      <c r="F852" s="3" t="s">
        <v>1014</v>
      </c>
      <c r="G852" s="3" t="s">
        <v>1016</v>
      </c>
    </row>
    <row r="853" spans="1:7">
      <c r="A853" s="6">
        <v>42911</v>
      </c>
      <c r="B853" s="3" t="s">
        <v>13</v>
      </c>
      <c r="C853" s="3" t="s">
        <v>14</v>
      </c>
      <c r="D853" s="8" t="str">
        <f>HYPERLINK("http://npthd.inbcu.com/ViewContent.aspx?filename=NPMR_ABC_2017-06-25_E.MP4$11775$11780","Bachelorette")</f>
        <v>Bachelorette</v>
      </c>
      <c r="E853" s="3" t="s">
        <v>54</v>
      </c>
      <c r="F853" s="3" t="s">
        <v>1016</v>
      </c>
      <c r="G853" s="3" t="s">
        <v>1017</v>
      </c>
    </row>
    <row r="854" spans="1:7">
      <c r="A854" s="6">
        <v>42911</v>
      </c>
      <c r="B854" s="3" t="s">
        <v>13</v>
      </c>
      <c r="C854" s="3" t="s">
        <v>32</v>
      </c>
      <c r="D854" s="8" t="str">
        <f>HYPERLINK("http://npthd.inbcu.com/ViewContent.aspx?filename=NPMR_ABC_2017-06-25_E.MP4$11780$11900","LOCAL")</f>
        <v>LOCAL</v>
      </c>
      <c r="E854" s="3" t="s">
        <v>43</v>
      </c>
      <c r="F854" s="3" t="s">
        <v>1017</v>
      </c>
      <c r="G854" s="3" t="s">
        <v>1018</v>
      </c>
    </row>
    <row r="855" spans="1:7">
      <c r="A855" s="6">
        <v>42911</v>
      </c>
      <c r="B855" s="3" t="s">
        <v>13</v>
      </c>
      <c r="C855" s="3" t="s">
        <v>14</v>
      </c>
      <c r="D855" s="8" t="str">
        <f>HYPERLINK("http://npthd.inbcu.com/ViewContent.aspx?filename=NPMR_ABC_2017-06-25_E.MP4$11900$11930","Battle of the Network Stars")</f>
        <v>Battle of the Network Stars</v>
      </c>
      <c r="E855" s="3" t="s">
        <v>38</v>
      </c>
      <c r="F855" s="3" t="s">
        <v>1018</v>
      </c>
      <c r="G855" s="3" t="s">
        <v>1019</v>
      </c>
    </row>
    <row r="856" spans="1:7">
      <c r="A856" s="6">
        <v>42911</v>
      </c>
      <c r="B856" s="3" t="s">
        <v>13</v>
      </c>
      <c r="C856" s="3" t="s">
        <v>14</v>
      </c>
      <c r="D856" s="8" t="str">
        <f>HYPERLINK("http://npthd.inbcu.com/ViewContent.aspx?filename=NPMR_ABC_2017-06-25_E.MP4$11930$11945","Espys")</f>
        <v>Espys</v>
      </c>
      <c r="E856" s="3" t="s">
        <v>30</v>
      </c>
      <c r="F856" s="3" t="s">
        <v>1019</v>
      </c>
      <c r="G856" s="3" t="s">
        <v>1020</v>
      </c>
    </row>
    <row r="857" spans="1:7">
      <c r="A857" s="6">
        <v>42911</v>
      </c>
      <c r="B857" s="3" t="s">
        <v>13</v>
      </c>
      <c r="C857" s="3" t="s">
        <v>18</v>
      </c>
      <c r="D857" s="8" t="str">
        <f>HYPERLINK("http://npthd.inbcu.com/ViewContent.aspx?filename=NPMR_ABC_2017-06-25_E.MP4$11945$12382","THE $100,000 PYRAMID: rodgers vs andrews &amp; ricci vs amell")</f>
        <v>THE $100,000 PYRAMID: rodgers vs andrews &amp; ricci vs amell</v>
      </c>
      <c r="E857" s="3" t="s">
        <v>116</v>
      </c>
      <c r="F857" s="3" t="s">
        <v>1020</v>
      </c>
      <c r="G857" s="3" t="s">
        <v>1021</v>
      </c>
    </row>
    <row r="858" spans="1:7">
      <c r="A858" s="6">
        <v>42911</v>
      </c>
      <c r="B858" s="3" t="s">
        <v>13</v>
      </c>
      <c r="C858" s="3" t="s">
        <v>21</v>
      </c>
      <c r="D858" s="8" t="str">
        <f>HYPERLINK("http://npthd.inbcu.com/ViewContent.aspx?filename=NPMR_ABC_2017-06-25_E.MP4$12382$12457","COMMERCIAL")</f>
        <v>COMMERCIAL</v>
      </c>
      <c r="E858" s="3" t="s">
        <v>531</v>
      </c>
      <c r="F858" s="3" t="s">
        <v>1021</v>
      </c>
      <c r="G858" s="3" t="s">
        <v>1022</v>
      </c>
    </row>
    <row r="859" spans="1:7">
      <c r="A859" s="6">
        <v>42911</v>
      </c>
      <c r="B859" s="3" t="s">
        <v>13</v>
      </c>
      <c r="C859" s="3" t="s">
        <v>14</v>
      </c>
      <c r="D859" s="8" t="str">
        <f>HYPERLINK("http://npthd.inbcu.com/ViewContent.aspx?filename=NPMR_ABC_2017-06-25_E.MP4$12457$12488","Bachelorette")</f>
        <v>Bachelorette</v>
      </c>
      <c r="E859" s="3" t="s">
        <v>98</v>
      </c>
      <c r="F859" s="3" t="s">
        <v>1022</v>
      </c>
      <c r="G859" s="3" t="s">
        <v>1023</v>
      </c>
    </row>
    <row r="860" spans="1:7">
      <c r="A860" s="6">
        <v>42911</v>
      </c>
      <c r="B860" s="3" t="s">
        <v>13</v>
      </c>
      <c r="C860" s="3" t="s">
        <v>32</v>
      </c>
      <c r="D860" s="8" t="str">
        <f>HYPERLINK("http://npthd.inbcu.com/ViewContent.aspx?filename=NPMR_ABC_2017-06-25_E.MP4$12488$12594","LOCAL")</f>
        <v>LOCAL</v>
      </c>
      <c r="E860" s="3" t="s">
        <v>293</v>
      </c>
      <c r="F860" s="3" t="s">
        <v>1023</v>
      </c>
      <c r="G860" s="3" t="s">
        <v>1024</v>
      </c>
    </row>
    <row r="861" spans="1:7">
      <c r="A861" s="6">
        <v>42911</v>
      </c>
      <c r="B861" s="3" t="s">
        <v>13</v>
      </c>
      <c r="C861" s="3" t="s">
        <v>18</v>
      </c>
      <c r="D861" s="8" t="str">
        <f>HYPERLINK("http://npthd.inbcu.com/ViewContent.aspx?filename=NPMR_ABC_2017-06-25_E.MP4$12594$13271","THE $100,000 PYRAMID: rodgers vs andrews &amp; ricci vs amell")</f>
        <v>THE $100,000 PYRAMID: rodgers vs andrews &amp; ricci vs amell</v>
      </c>
      <c r="E861" s="3" t="s">
        <v>1025</v>
      </c>
      <c r="F861" s="3" t="s">
        <v>1024</v>
      </c>
      <c r="G861" s="3" t="s">
        <v>1026</v>
      </c>
    </row>
    <row r="862" spans="1:7">
      <c r="A862" s="6">
        <v>42911</v>
      </c>
      <c r="B862" s="3" t="s">
        <v>13</v>
      </c>
      <c r="C862" s="3" t="s">
        <v>21</v>
      </c>
      <c r="D862" s="8" t="str">
        <f>HYPERLINK("http://npthd.inbcu.com/ViewContent.aspx?filename=NPMR_ABC_2017-06-25_E.MP4$13271$13451","COMMERCIAL")</f>
        <v>COMMERCIAL</v>
      </c>
      <c r="E862" s="3" t="s">
        <v>22</v>
      </c>
      <c r="F862" s="3" t="s">
        <v>1026</v>
      </c>
      <c r="G862" s="3" t="s">
        <v>1027</v>
      </c>
    </row>
    <row r="863" spans="1:7">
      <c r="A863" s="6">
        <v>42911</v>
      </c>
      <c r="B863" s="3" t="s">
        <v>13</v>
      </c>
      <c r="C863" s="3" t="s">
        <v>14</v>
      </c>
      <c r="D863" s="8" t="str">
        <f>HYPERLINK("http://npthd.inbcu.com/ViewContent.aspx?filename=NPMR_ABC_2017-06-25_E.MP4$13451$13466","Good Morning America")</f>
        <v>Good Morning America</v>
      </c>
      <c r="E863" s="3" t="s">
        <v>30</v>
      </c>
      <c r="F863" s="3" t="s">
        <v>1027</v>
      </c>
      <c r="G863" s="3" t="s">
        <v>1028</v>
      </c>
    </row>
    <row r="864" spans="1:7">
      <c r="A864" s="6">
        <v>42911</v>
      </c>
      <c r="B864" s="3" t="s">
        <v>13</v>
      </c>
      <c r="C864" s="3" t="s">
        <v>18</v>
      </c>
      <c r="D864" s="8" t="str">
        <f>HYPERLINK("http://npthd.inbcu.com/ViewContent.aspx?filename=NPMR_ABC_2017-06-25_E.MP4$13466$13621","THE $100,000 PYRAMID: rodgers vs andrews &amp; ricci vs amell")</f>
        <v>THE $100,000 PYRAMID: rodgers vs andrews &amp; ricci vs amell</v>
      </c>
      <c r="E864" s="3" t="s">
        <v>1029</v>
      </c>
      <c r="F864" s="3" t="s">
        <v>1028</v>
      </c>
      <c r="G864" s="3" t="s">
        <v>1030</v>
      </c>
    </row>
    <row r="865" spans="1:7">
      <c r="A865" s="6">
        <v>42911</v>
      </c>
      <c r="B865" s="3" t="s">
        <v>13</v>
      </c>
      <c r="C865" s="3" t="s">
        <v>21</v>
      </c>
      <c r="D865" s="8" t="str">
        <f>HYPERLINK("http://npthd.inbcu.com/ViewContent.aspx?filename=NPMR_ABC_2017-06-25_E.MP4$13621$13681","COMMERCIAL")</f>
        <v>COMMERCIAL</v>
      </c>
      <c r="E865" s="3" t="s">
        <v>66</v>
      </c>
      <c r="F865" s="3" t="s">
        <v>1030</v>
      </c>
      <c r="G865" s="3" t="s">
        <v>1031</v>
      </c>
    </row>
    <row r="866" spans="1:7">
      <c r="A866" s="6">
        <v>42911</v>
      </c>
      <c r="B866" s="3" t="s">
        <v>13</v>
      </c>
      <c r="C866" s="3" t="s">
        <v>14</v>
      </c>
      <c r="D866" s="8" t="str">
        <f>HYPERLINK("http://npthd.inbcu.com/ViewContent.aspx?filename=NPMR_ABC_2017-06-25_E.MP4$13681$13696","To Tell the Truth")</f>
        <v>To Tell the Truth</v>
      </c>
      <c r="E866" s="3" t="s">
        <v>30</v>
      </c>
      <c r="F866" s="3" t="s">
        <v>1031</v>
      </c>
      <c r="G866" s="3" t="s">
        <v>1032</v>
      </c>
    </row>
    <row r="867" spans="1:7">
      <c r="A867" s="6">
        <v>42911</v>
      </c>
      <c r="B867" s="3" t="s">
        <v>13</v>
      </c>
      <c r="C867" s="3" t="s">
        <v>32</v>
      </c>
      <c r="D867" s="8" t="str">
        <f>HYPERLINK("http://npthd.inbcu.com/ViewContent.aspx?filename=NPMR_ABC_2017-06-25_E.MP4$13696$13786","LOCAL")</f>
        <v>LOCAL</v>
      </c>
      <c r="E867" s="3" t="s">
        <v>46</v>
      </c>
      <c r="F867" s="3" t="s">
        <v>1032</v>
      </c>
      <c r="G867" s="3" t="s">
        <v>1033</v>
      </c>
    </row>
    <row r="868" spans="1:7">
      <c r="A868" s="6">
        <v>42911</v>
      </c>
      <c r="B868" s="3" t="s">
        <v>13</v>
      </c>
      <c r="C868" s="3" t="s">
        <v>18</v>
      </c>
      <c r="D868" s="8" t="str">
        <f>HYPERLINK("http://npthd.inbcu.com/ViewContent.aspx?filename=NPMR_ABC_2017-06-25_E.MP4$13786$14166","THE $100,000 PYRAMID: rodgers vs andrews &amp; ricci vs amell")</f>
        <v>THE $100,000 PYRAMID: rodgers vs andrews &amp; ricci vs amell</v>
      </c>
      <c r="E868" s="3" t="s">
        <v>1034</v>
      </c>
      <c r="F868" s="3" t="s">
        <v>1033</v>
      </c>
      <c r="G868" s="3" t="s">
        <v>1035</v>
      </c>
    </row>
    <row r="869" spans="1:7">
      <c r="A869" s="6">
        <v>42911</v>
      </c>
      <c r="B869" s="3" t="s">
        <v>13</v>
      </c>
      <c r="C869" s="3" t="s">
        <v>32</v>
      </c>
      <c r="D869" s="8" t="str">
        <f>HYPERLINK("http://npthd.inbcu.com/ViewContent.aspx?filename=NPMR_ABC_2017-06-25_E.MP4$14166$14183","LOCAL")</f>
        <v>LOCAL</v>
      </c>
      <c r="E869" s="3" t="s">
        <v>576</v>
      </c>
      <c r="F869" s="3" t="s">
        <v>1035</v>
      </c>
      <c r="G869" s="3" t="s">
        <v>1036</v>
      </c>
    </row>
    <row r="870" spans="1:7">
      <c r="A870" s="6">
        <v>42911</v>
      </c>
      <c r="B870" s="3" t="s">
        <v>13</v>
      </c>
      <c r="C870" s="3" t="s">
        <v>21</v>
      </c>
      <c r="D870" s="8" t="str">
        <f>HYPERLINK("http://npthd.inbcu.com/ViewContent.aspx?filename=NPMR_ABC_2017-06-25_E.MP4$14183$14302","COMMERCIAL")</f>
        <v>COMMERCIAL</v>
      </c>
      <c r="E870" s="3" t="s">
        <v>119</v>
      </c>
      <c r="F870" s="3" t="s">
        <v>1036</v>
      </c>
      <c r="G870" s="3" t="s">
        <v>1037</v>
      </c>
    </row>
    <row r="871" spans="1:7">
      <c r="A871" s="6">
        <v>42911</v>
      </c>
      <c r="B871" s="3" t="s">
        <v>13</v>
      </c>
      <c r="C871" s="3" t="s">
        <v>14</v>
      </c>
      <c r="D871" s="8" t="str">
        <f>HYPERLINK("http://npthd.inbcu.com/ViewContent.aspx?filename=NPMR_ABC_2017-06-25_E.MP4$14302$14317","Battle of the Network Stars")</f>
        <v>Battle of the Network Stars</v>
      </c>
      <c r="E871" s="3" t="s">
        <v>30</v>
      </c>
      <c r="F871" s="3" t="s">
        <v>1037</v>
      </c>
      <c r="G871" s="3" t="s">
        <v>1038</v>
      </c>
    </row>
    <row r="872" spans="1:7">
      <c r="A872" s="6">
        <v>42911</v>
      </c>
      <c r="B872" s="3" t="s">
        <v>13</v>
      </c>
      <c r="C872" s="3" t="s">
        <v>18</v>
      </c>
      <c r="D872" s="8" t="str">
        <f>HYPERLINK("http://npthd.inbcu.com/ViewContent.aspx?filename=NPMR_ABC_2017-06-25_E.MP4$14317$14508","THE $100,000 PYRAMID: rodgers vs andrews &amp; ricci vs amell")</f>
        <v>THE $100,000 PYRAMID: rodgers vs andrews &amp; ricci vs amell</v>
      </c>
      <c r="E872" s="3" t="s">
        <v>1039</v>
      </c>
      <c r="F872" s="3" t="s">
        <v>1038</v>
      </c>
      <c r="G872" s="3" t="s">
        <v>123</v>
      </c>
    </row>
    <row r="873" spans="1:7">
      <c r="A873" s="6">
        <v>42911</v>
      </c>
      <c r="B873" s="3" t="s">
        <v>13</v>
      </c>
      <c r="C873" s="3" t="s">
        <v>32</v>
      </c>
      <c r="D873" s="8" t="str">
        <f>HYPERLINK("http://npthd.inbcu.com/ViewContent.aspx?filename=NPMR_ABC_2017-06-25_E.MP4$14508$14523","LOCAL")</f>
        <v>LOCAL</v>
      </c>
      <c r="E873" s="3" t="s">
        <v>30</v>
      </c>
      <c r="F873" s="3" t="s">
        <v>123</v>
      </c>
      <c r="G873" s="3" t="s">
        <v>124</v>
      </c>
    </row>
    <row r="874" spans="1:7">
      <c r="A874" s="6">
        <v>42912</v>
      </c>
      <c r="B874" s="3" t="s">
        <v>13</v>
      </c>
      <c r="C874" s="3" t="s">
        <v>14</v>
      </c>
      <c r="D874" s="8" t="str">
        <f>HYPERLINK("http://npthd.inbcu.com/ViewContent.aspx?filename=NPMR_ABC_2017-06-26_E.MP4$111$116","ABC Open")</f>
        <v>ABC Open</v>
      </c>
      <c r="E874" s="3" t="s">
        <v>54</v>
      </c>
      <c r="F874" s="3" t="s">
        <v>16</v>
      </c>
      <c r="G874" s="3" t="s">
        <v>125</v>
      </c>
    </row>
    <row r="875" spans="1:7">
      <c r="A875" s="6">
        <v>42912</v>
      </c>
      <c r="B875" s="3" t="s">
        <v>13</v>
      </c>
      <c r="C875" s="3" t="s">
        <v>18</v>
      </c>
      <c r="D875" s="8" t="str">
        <f>HYPERLINK("http://npthd.inbcu.com/ViewContent.aspx?filename=NPMR_ABC_2017-06-26_E.MP4$116$701","THE BACHELORETTE: 1305")</f>
        <v>THE BACHELORETTE: 1305</v>
      </c>
      <c r="E875" s="3" t="s">
        <v>1040</v>
      </c>
      <c r="F875" s="3" t="s">
        <v>125</v>
      </c>
      <c r="G875" s="3" t="s">
        <v>1041</v>
      </c>
    </row>
    <row r="876" spans="1:7">
      <c r="A876" s="6">
        <v>42912</v>
      </c>
      <c r="B876" s="3" t="s">
        <v>13</v>
      </c>
      <c r="C876" s="3" t="s">
        <v>21</v>
      </c>
      <c r="D876" s="8" t="str">
        <f>HYPERLINK("http://npthd.inbcu.com/ViewContent.aspx?filename=NPMR_ABC_2017-06-26_E.MP4$701$881","COMMERCIAL")</f>
        <v>COMMERCIAL</v>
      </c>
      <c r="E876" s="3" t="s">
        <v>22</v>
      </c>
      <c r="F876" s="3" t="s">
        <v>1041</v>
      </c>
      <c r="G876" s="3" t="s">
        <v>1042</v>
      </c>
    </row>
    <row r="877" spans="1:7">
      <c r="A877" s="6">
        <v>42912</v>
      </c>
      <c r="B877" s="3" t="s">
        <v>13</v>
      </c>
      <c r="C877" s="3" t="s">
        <v>14</v>
      </c>
      <c r="D877" s="8" t="str">
        <f>HYPERLINK("http://npthd.inbcu.com/ViewContent.aspx?filename=NPMR_ABC_2017-06-26_E.MP4$881$896","Boy Band")</f>
        <v>Boy Band</v>
      </c>
      <c r="E877" s="3" t="s">
        <v>30</v>
      </c>
      <c r="F877" s="3" t="s">
        <v>1042</v>
      </c>
      <c r="G877" s="3" t="s">
        <v>703</v>
      </c>
    </row>
    <row r="878" spans="1:7">
      <c r="A878" s="6">
        <v>42912</v>
      </c>
      <c r="B878" s="3" t="s">
        <v>13</v>
      </c>
      <c r="C878" s="3" t="s">
        <v>14</v>
      </c>
      <c r="D878" s="8" t="str">
        <f>HYPERLINK("http://npthd.inbcu.com/ViewContent.aspx?filename=NPMR_ABC_2017-06-26_E.MP4$896$912","Gong Show, The")</f>
        <v>Gong Show, The</v>
      </c>
      <c r="E878" s="3" t="s">
        <v>64</v>
      </c>
      <c r="F878" s="3" t="s">
        <v>703</v>
      </c>
      <c r="G878" s="3" t="s">
        <v>1043</v>
      </c>
    </row>
    <row r="879" spans="1:7">
      <c r="A879" s="6">
        <v>42912</v>
      </c>
      <c r="B879" s="3" t="s">
        <v>13</v>
      </c>
      <c r="C879" s="3" t="s">
        <v>18</v>
      </c>
      <c r="D879" s="8" t="str">
        <f>HYPERLINK("http://npthd.inbcu.com/ViewContent.aspx?filename=NPMR_ABC_2017-06-26_E.MP4$912$1314","THE BACHELORETTE: 1305")</f>
        <v>THE BACHELORETTE: 1305</v>
      </c>
      <c r="E879" s="3" t="s">
        <v>1044</v>
      </c>
      <c r="F879" s="3" t="s">
        <v>1043</v>
      </c>
      <c r="G879" s="3" t="s">
        <v>1045</v>
      </c>
    </row>
    <row r="880" spans="1:7">
      <c r="A880" s="6">
        <v>42912</v>
      </c>
      <c r="B880" s="3" t="s">
        <v>13</v>
      </c>
      <c r="C880" s="3" t="s">
        <v>21</v>
      </c>
      <c r="D880" s="8" t="str">
        <f>HYPERLINK("http://npthd.inbcu.com/ViewContent.aspx?filename=NPMR_ABC_2017-06-26_E.MP4$1314$1434","COMMERCIAL")</f>
        <v>COMMERCIAL</v>
      </c>
      <c r="E880" s="3" t="s">
        <v>43</v>
      </c>
      <c r="F880" s="3" t="s">
        <v>1045</v>
      </c>
      <c r="G880" s="3" t="s">
        <v>1046</v>
      </c>
    </row>
    <row r="881" spans="1:7">
      <c r="A881" s="6">
        <v>42912</v>
      </c>
      <c r="B881" s="3" t="s">
        <v>13</v>
      </c>
      <c r="C881" s="3" t="s">
        <v>14</v>
      </c>
      <c r="D881" s="8" t="str">
        <f>HYPERLINK("http://npthd.inbcu.com/ViewContent.aspx?filename=NPMR_ABC_2017-06-26_E.MP4$1434$1449","Good Morning America")</f>
        <v>Good Morning America</v>
      </c>
      <c r="E881" s="3" t="s">
        <v>30</v>
      </c>
      <c r="F881" s="3" t="s">
        <v>1046</v>
      </c>
      <c r="G881" s="3" t="s">
        <v>1047</v>
      </c>
    </row>
    <row r="882" spans="1:7">
      <c r="A882" s="6">
        <v>42912</v>
      </c>
      <c r="B882" s="3" t="s">
        <v>13</v>
      </c>
      <c r="C882" s="3" t="s">
        <v>14</v>
      </c>
      <c r="D882" s="8" t="str">
        <f>HYPERLINK("http://npthd.inbcu.com/ViewContent.aspx?filename=NPMR_ABC_2017-06-26_E.MP4$1449$1464","Battle of the Network Stars")</f>
        <v>Battle of the Network Stars</v>
      </c>
      <c r="E882" s="3" t="s">
        <v>30</v>
      </c>
      <c r="F882" s="3" t="s">
        <v>1047</v>
      </c>
      <c r="G882" s="3" t="s">
        <v>781</v>
      </c>
    </row>
    <row r="883" spans="1:7">
      <c r="A883" s="6">
        <v>42912</v>
      </c>
      <c r="B883" s="3" t="s">
        <v>13</v>
      </c>
      <c r="C883" s="3" t="s">
        <v>32</v>
      </c>
      <c r="D883" s="8" t="str">
        <f>HYPERLINK("http://npthd.inbcu.com/ViewContent.aspx?filename=NPMR_ABC_2017-06-26_E.MP4$1464$1526","LOCAL")</f>
        <v>LOCAL</v>
      </c>
      <c r="E883" s="3" t="s">
        <v>257</v>
      </c>
      <c r="F883" s="3" t="s">
        <v>781</v>
      </c>
      <c r="G883" s="3" t="s">
        <v>1048</v>
      </c>
    </row>
    <row r="884" spans="1:7">
      <c r="A884" s="6">
        <v>42912</v>
      </c>
      <c r="B884" s="3" t="s">
        <v>13</v>
      </c>
      <c r="C884" s="3" t="s">
        <v>18</v>
      </c>
      <c r="D884" s="8" t="str">
        <f>HYPERLINK("http://npthd.inbcu.com/ViewContent.aspx?filename=NPMR_ABC_2017-06-26_E.MP4$1526$1936","THE BACHELORETTE: 1305")</f>
        <v>THE BACHELORETTE: 1305</v>
      </c>
      <c r="E884" s="3" t="s">
        <v>1049</v>
      </c>
      <c r="F884" s="3" t="s">
        <v>1048</v>
      </c>
      <c r="G884" s="3" t="s">
        <v>1050</v>
      </c>
    </row>
    <row r="885" spans="1:7">
      <c r="A885" s="6">
        <v>42912</v>
      </c>
      <c r="B885" s="3" t="s">
        <v>13</v>
      </c>
      <c r="C885" s="3" t="s">
        <v>21</v>
      </c>
      <c r="D885" s="8" t="str">
        <f>HYPERLINK("http://npthd.inbcu.com/ViewContent.aspx?filename=NPMR_ABC_2017-06-26_E.MP4$1936$2147","COMMERCIAL")</f>
        <v>COMMERCIAL</v>
      </c>
      <c r="E885" s="3" t="s">
        <v>334</v>
      </c>
      <c r="F885" s="3" t="s">
        <v>1050</v>
      </c>
      <c r="G885" s="3" t="s">
        <v>1051</v>
      </c>
    </row>
    <row r="886" spans="1:7">
      <c r="A886" s="6">
        <v>42912</v>
      </c>
      <c r="B886" s="3" t="s">
        <v>13</v>
      </c>
      <c r="C886" s="3" t="s">
        <v>14</v>
      </c>
      <c r="D886" s="8" t="str">
        <f>HYPERLINK("http://npthd.inbcu.com/ViewContent.aspx?filename=NPMR_ABC_2017-06-26_E.MP4$2147$2162","Chew, The")</f>
        <v>Chew, The</v>
      </c>
      <c r="E886" s="3" t="s">
        <v>30</v>
      </c>
      <c r="F886" s="3" t="s">
        <v>1051</v>
      </c>
      <c r="G886" s="3" t="s">
        <v>1052</v>
      </c>
    </row>
    <row r="887" spans="1:7">
      <c r="A887" s="6">
        <v>42912</v>
      </c>
      <c r="B887" s="3" t="s">
        <v>13</v>
      </c>
      <c r="C887" s="3" t="s">
        <v>14</v>
      </c>
      <c r="D887" s="8" t="str">
        <f>HYPERLINK("http://npthd.inbcu.com/ViewContent.aspx?filename=NPMR_ABC_2017-06-26_E.MP4$2162$2177","General Hospital")</f>
        <v>General Hospital</v>
      </c>
      <c r="E887" s="3" t="s">
        <v>30</v>
      </c>
      <c r="F887" s="3" t="s">
        <v>1052</v>
      </c>
      <c r="G887" s="3" t="s">
        <v>1053</v>
      </c>
    </row>
    <row r="888" spans="1:7">
      <c r="A888" s="6">
        <v>42912</v>
      </c>
      <c r="B888" s="3" t="s">
        <v>13</v>
      </c>
      <c r="C888" s="3" t="s">
        <v>18</v>
      </c>
      <c r="D888" s="8" t="str">
        <f>HYPERLINK("http://npthd.inbcu.com/ViewContent.aspx?filename=NPMR_ABC_2017-06-26_E.MP4$2177$2716","THE BACHELORETTE: 1305")</f>
        <v>THE BACHELORETTE: 1305</v>
      </c>
      <c r="E888" s="3" t="s">
        <v>1054</v>
      </c>
      <c r="F888" s="3" t="s">
        <v>1053</v>
      </c>
      <c r="G888" s="3" t="s">
        <v>1055</v>
      </c>
    </row>
    <row r="889" spans="1:7">
      <c r="A889" s="6">
        <v>42912</v>
      </c>
      <c r="B889" s="3" t="s">
        <v>13</v>
      </c>
      <c r="C889" s="3" t="s">
        <v>21</v>
      </c>
      <c r="D889" s="8" t="str">
        <f>HYPERLINK("http://npthd.inbcu.com/ViewContent.aspx?filename=NPMR_ABC_2017-06-26_E.MP4$2716$2836","COMMERCIAL")</f>
        <v>COMMERCIAL</v>
      </c>
      <c r="E889" s="3" t="s">
        <v>43</v>
      </c>
      <c r="F889" s="3" t="s">
        <v>1055</v>
      </c>
      <c r="G889" s="3" t="s">
        <v>714</v>
      </c>
    </row>
    <row r="890" spans="1:7">
      <c r="A890" s="6">
        <v>42912</v>
      </c>
      <c r="B890" s="3" t="s">
        <v>13</v>
      </c>
      <c r="C890" s="3" t="s">
        <v>14</v>
      </c>
      <c r="D890" s="8" t="str">
        <f>HYPERLINK("http://npthd.inbcu.com/ViewContent.aspx?filename=NPMR_ABC_2017-06-26_E.MP4$2836$2866","Boy Band")</f>
        <v>Boy Band</v>
      </c>
      <c r="E890" s="3" t="s">
        <v>38</v>
      </c>
      <c r="F890" s="3" t="s">
        <v>714</v>
      </c>
      <c r="G890" s="3" t="s">
        <v>1056</v>
      </c>
    </row>
    <row r="891" spans="1:7">
      <c r="A891" s="6">
        <v>42912</v>
      </c>
      <c r="B891" s="3" t="s">
        <v>13</v>
      </c>
      <c r="C891" s="3" t="s">
        <v>32</v>
      </c>
      <c r="D891" s="8" t="str">
        <f>HYPERLINK("http://npthd.inbcu.com/ViewContent.aspx?filename=NPMR_ABC_2017-06-26_E.MP4$2866$2958","LOCAL")</f>
        <v>LOCAL</v>
      </c>
      <c r="E891" s="3" t="s">
        <v>267</v>
      </c>
      <c r="F891" s="3" t="s">
        <v>1056</v>
      </c>
      <c r="G891" s="3" t="s">
        <v>1057</v>
      </c>
    </row>
    <row r="892" spans="1:7">
      <c r="A892" s="6">
        <v>42912</v>
      </c>
      <c r="B892" s="3" t="s">
        <v>13</v>
      </c>
      <c r="C892" s="3" t="s">
        <v>18</v>
      </c>
      <c r="D892" s="8" t="str">
        <f>HYPERLINK("http://npthd.inbcu.com/ViewContent.aspx?filename=NPMR_ABC_2017-06-26_E.MP4$2958$3501","THE BACHELORETTE: 1305")</f>
        <v>THE BACHELORETTE: 1305</v>
      </c>
      <c r="E892" s="3" t="s">
        <v>148</v>
      </c>
      <c r="F892" s="3" t="s">
        <v>1057</v>
      </c>
      <c r="G892" s="3" t="s">
        <v>1058</v>
      </c>
    </row>
    <row r="893" spans="1:7">
      <c r="A893" s="6">
        <v>42912</v>
      </c>
      <c r="B893" s="3" t="s">
        <v>13</v>
      </c>
      <c r="C893" s="3" t="s">
        <v>21</v>
      </c>
      <c r="D893" s="8" t="str">
        <f>HYPERLINK("http://npthd.inbcu.com/ViewContent.aspx?filename=NPMR_ABC_2017-06-26_E.MP4$3501$3681","COMMERCIAL")</f>
        <v>COMMERCIAL</v>
      </c>
      <c r="E893" s="3" t="s">
        <v>22</v>
      </c>
      <c r="F893" s="3" t="s">
        <v>1058</v>
      </c>
      <c r="G893" s="3" t="s">
        <v>1059</v>
      </c>
    </row>
    <row r="894" spans="1:7">
      <c r="A894" s="6">
        <v>42912</v>
      </c>
      <c r="B894" s="3" t="s">
        <v>13</v>
      </c>
      <c r="C894" s="3" t="s">
        <v>14</v>
      </c>
      <c r="D894" s="8" t="str">
        <f>HYPERLINK("http://npthd.inbcu.com/ViewContent.aspx?filename=NPMR_ABC_2017-06-26_E.MP4$3681$3711","Gong Show, The")</f>
        <v>Gong Show, The</v>
      </c>
      <c r="E894" s="3" t="s">
        <v>38</v>
      </c>
      <c r="F894" s="3" t="s">
        <v>1059</v>
      </c>
      <c r="G894" s="3" t="s">
        <v>242</v>
      </c>
    </row>
    <row r="895" spans="1:7">
      <c r="A895" s="6">
        <v>42912</v>
      </c>
      <c r="B895" s="3" t="s">
        <v>13</v>
      </c>
      <c r="C895" s="3" t="s">
        <v>32</v>
      </c>
      <c r="D895" s="8" t="str">
        <f>HYPERLINK("http://npthd.inbcu.com/ViewContent.aspx?filename=NPMR_ABC_2017-06-26_E.MP4$3711$3716","LOCAL")</f>
        <v>LOCAL</v>
      </c>
      <c r="E895" s="3" t="s">
        <v>54</v>
      </c>
      <c r="F895" s="3" t="s">
        <v>242</v>
      </c>
      <c r="G895" s="3" t="s">
        <v>243</v>
      </c>
    </row>
    <row r="896" spans="1:7">
      <c r="A896" s="6">
        <v>42912</v>
      </c>
      <c r="B896" s="3" t="s">
        <v>13</v>
      </c>
      <c r="C896" s="3" t="s">
        <v>18</v>
      </c>
      <c r="D896" s="8" t="str">
        <f>HYPERLINK("http://npthd.inbcu.com/ViewContent.aspx?filename=NPMR_ABC_2017-06-26_E.MP4$3716$4267","THE BACHELORETTE: 1305")</f>
        <v>THE BACHELORETTE: 1305</v>
      </c>
      <c r="E896" s="3" t="s">
        <v>1060</v>
      </c>
      <c r="F896" s="3" t="s">
        <v>243</v>
      </c>
      <c r="G896" s="3" t="s">
        <v>1061</v>
      </c>
    </row>
    <row r="897" spans="1:7">
      <c r="A897" s="6">
        <v>42912</v>
      </c>
      <c r="B897" s="3" t="s">
        <v>13</v>
      </c>
      <c r="C897" s="3" t="s">
        <v>21</v>
      </c>
      <c r="D897" s="8" t="str">
        <f>HYPERLINK("http://npthd.inbcu.com/ViewContent.aspx?filename=NPMR_ABC_2017-06-26_E.MP4$4267$4477","COMMERCIAL")</f>
        <v>COMMERCIAL</v>
      </c>
      <c r="E897" s="3" t="s">
        <v>150</v>
      </c>
      <c r="F897" s="3" t="s">
        <v>1061</v>
      </c>
      <c r="G897" s="3" t="s">
        <v>1062</v>
      </c>
    </row>
    <row r="898" spans="1:7">
      <c r="A898" s="6">
        <v>42912</v>
      </c>
      <c r="B898" s="3" t="s">
        <v>13</v>
      </c>
      <c r="C898" s="3" t="s">
        <v>14</v>
      </c>
      <c r="D898" s="8" t="str">
        <f>HYPERLINK("http://npthd.inbcu.com/ViewContent.aspx?filename=NPMR_ABC_2017-06-26_E.MP4$4477$4492","To Tell the Truth")</f>
        <v>To Tell the Truth</v>
      </c>
      <c r="E898" s="3" t="s">
        <v>30</v>
      </c>
      <c r="F898" s="3" t="s">
        <v>1062</v>
      </c>
      <c r="G898" s="3" t="s">
        <v>1063</v>
      </c>
    </row>
    <row r="899" spans="1:7">
      <c r="A899" s="6">
        <v>42912</v>
      </c>
      <c r="B899" s="3" t="s">
        <v>13</v>
      </c>
      <c r="C899" s="3" t="s">
        <v>14</v>
      </c>
      <c r="D899" s="8" t="str">
        <f>HYPERLINK("http://npthd.inbcu.com/ViewContent.aspx?filename=NPMR_ABC_2017-06-26_E.MP4$4492$4522","Espys")</f>
        <v>Espys</v>
      </c>
      <c r="E899" s="3" t="s">
        <v>38</v>
      </c>
      <c r="F899" s="3" t="s">
        <v>1063</v>
      </c>
      <c r="G899" s="3" t="s">
        <v>1064</v>
      </c>
    </row>
    <row r="900" spans="1:7">
      <c r="A900" s="6">
        <v>42912</v>
      </c>
      <c r="B900" s="3" t="s">
        <v>13</v>
      </c>
      <c r="C900" s="3" t="s">
        <v>18</v>
      </c>
      <c r="D900" s="8" t="str">
        <f>HYPERLINK("http://npthd.inbcu.com/ViewContent.aspx?filename=NPMR_ABC_2017-06-26_E.MP4$4522$4997","THE BACHELORETTE: 1305")</f>
        <v>THE BACHELORETTE: 1305</v>
      </c>
      <c r="E900" s="3" t="s">
        <v>250</v>
      </c>
      <c r="F900" s="3" t="s">
        <v>1064</v>
      </c>
      <c r="G900" s="3" t="s">
        <v>1065</v>
      </c>
    </row>
    <row r="901" spans="1:7">
      <c r="A901" s="6">
        <v>42912</v>
      </c>
      <c r="B901" s="3" t="s">
        <v>13</v>
      </c>
      <c r="C901" s="3" t="s">
        <v>21</v>
      </c>
      <c r="D901" s="8" t="str">
        <f>HYPERLINK("http://npthd.inbcu.com/ViewContent.aspx?filename=NPMR_ABC_2017-06-26_E.MP4$4997$5178","COMMERCIAL")</f>
        <v>COMMERCIAL</v>
      </c>
      <c r="E901" s="3" t="s">
        <v>108</v>
      </c>
      <c r="F901" s="3" t="s">
        <v>1065</v>
      </c>
      <c r="G901" s="3" t="s">
        <v>1066</v>
      </c>
    </row>
    <row r="902" spans="1:7">
      <c r="A902" s="6">
        <v>42912</v>
      </c>
      <c r="B902" s="3" t="s">
        <v>13</v>
      </c>
      <c r="C902" s="3" t="s">
        <v>14</v>
      </c>
      <c r="D902" s="8" t="str">
        <f>HYPERLINK("http://npthd.inbcu.com/ViewContent.aspx?filename=NPMR_ABC_2017-06-26_E.MP4$5178$5208","Battle of the Network Stars")</f>
        <v>Battle of the Network Stars</v>
      </c>
      <c r="E902" s="3" t="s">
        <v>38</v>
      </c>
      <c r="F902" s="3" t="s">
        <v>1066</v>
      </c>
      <c r="G902" s="3" t="s">
        <v>1067</v>
      </c>
    </row>
    <row r="903" spans="1:7">
      <c r="A903" s="6">
        <v>42912</v>
      </c>
      <c r="B903" s="3" t="s">
        <v>13</v>
      </c>
      <c r="C903" s="3" t="s">
        <v>32</v>
      </c>
      <c r="D903" s="8" t="str">
        <f>HYPERLINK("http://npthd.inbcu.com/ViewContent.aspx?filename=NPMR_ABC_2017-06-26_E.MP4$5208$5270","LOCAL")</f>
        <v>LOCAL</v>
      </c>
      <c r="E903" s="3" t="s">
        <v>257</v>
      </c>
      <c r="F903" s="3" t="s">
        <v>1067</v>
      </c>
      <c r="G903" s="3" t="s">
        <v>1068</v>
      </c>
    </row>
    <row r="904" spans="1:7">
      <c r="A904" s="6">
        <v>42912</v>
      </c>
      <c r="B904" s="3" t="s">
        <v>13</v>
      </c>
      <c r="C904" s="3" t="s">
        <v>18</v>
      </c>
      <c r="D904" s="8" t="str">
        <f>HYPERLINK("http://npthd.inbcu.com/ViewContent.aspx?filename=NPMR_ABC_2017-06-26_E.MP4$5270$5872","THE BACHELORETTE: 1305")</f>
        <v>THE BACHELORETTE: 1305</v>
      </c>
      <c r="E904" s="3" t="s">
        <v>313</v>
      </c>
      <c r="F904" s="3" t="s">
        <v>1068</v>
      </c>
      <c r="G904" s="3" t="s">
        <v>1069</v>
      </c>
    </row>
    <row r="905" spans="1:7">
      <c r="A905" s="6">
        <v>42912</v>
      </c>
      <c r="B905" s="3" t="s">
        <v>13</v>
      </c>
      <c r="C905" s="3" t="s">
        <v>21</v>
      </c>
      <c r="D905" s="8" t="str">
        <f>HYPERLINK("http://npthd.inbcu.com/ViewContent.aspx?filename=NPMR_ABC_2017-06-26_E.MP4$5872$6022","COMMERCIAL")</f>
        <v>COMMERCIAL</v>
      </c>
      <c r="E905" s="3" t="s">
        <v>28</v>
      </c>
      <c r="F905" s="3" t="s">
        <v>1069</v>
      </c>
      <c r="G905" s="3" t="s">
        <v>1070</v>
      </c>
    </row>
    <row r="906" spans="1:7">
      <c r="A906" s="6">
        <v>42912</v>
      </c>
      <c r="B906" s="3" t="s">
        <v>13</v>
      </c>
      <c r="C906" s="3" t="s">
        <v>14</v>
      </c>
      <c r="D906" s="8" t="str">
        <f>HYPERLINK("http://npthd.inbcu.com/ViewContent.aspx?filename=NPMR_ABC_2017-06-26_E.MP4$6022$6037","Battle of the Network Stars")</f>
        <v>Battle of the Network Stars</v>
      </c>
      <c r="E906" s="3" t="s">
        <v>30</v>
      </c>
      <c r="F906" s="3" t="s">
        <v>1070</v>
      </c>
      <c r="G906" s="3" t="s">
        <v>1071</v>
      </c>
    </row>
    <row r="907" spans="1:7">
      <c r="A907" s="6">
        <v>42912</v>
      </c>
      <c r="B907" s="3" t="s">
        <v>13</v>
      </c>
      <c r="C907" s="3" t="s">
        <v>14</v>
      </c>
      <c r="D907" s="8" t="str">
        <f>HYPERLINK("http://npthd.inbcu.com/ViewContent.aspx?filename=NPMR_ABC_2017-06-26_E.MP4$6037$6067","Gong Show, The")</f>
        <v>Gong Show, The</v>
      </c>
      <c r="E907" s="3" t="s">
        <v>38</v>
      </c>
      <c r="F907" s="3" t="s">
        <v>1071</v>
      </c>
      <c r="G907" s="3" t="s">
        <v>1072</v>
      </c>
    </row>
    <row r="908" spans="1:7">
      <c r="A908" s="6">
        <v>42912</v>
      </c>
      <c r="B908" s="3" t="s">
        <v>13</v>
      </c>
      <c r="C908" s="3" t="s">
        <v>32</v>
      </c>
      <c r="D908" s="8" t="str">
        <f>HYPERLINK("http://npthd.inbcu.com/ViewContent.aspx?filename=NPMR_ABC_2017-06-26_E.MP4$6067$6158","LOCAL")</f>
        <v>LOCAL</v>
      </c>
      <c r="E908" s="3" t="s">
        <v>77</v>
      </c>
      <c r="F908" s="3" t="s">
        <v>1072</v>
      </c>
      <c r="G908" s="3" t="s">
        <v>1073</v>
      </c>
    </row>
    <row r="909" spans="1:7">
      <c r="A909" s="6">
        <v>42912</v>
      </c>
      <c r="B909" s="3" t="s">
        <v>13</v>
      </c>
      <c r="C909" s="3" t="s">
        <v>18</v>
      </c>
      <c r="D909" s="8" t="str">
        <f>HYPERLINK("http://npthd.inbcu.com/ViewContent.aspx?filename=NPMR_ABC_2017-06-26_E.MP4$6158$6795","THE BACHELORETTE: 1305")</f>
        <v>THE BACHELORETTE: 1305</v>
      </c>
      <c r="E909" s="3" t="s">
        <v>1074</v>
      </c>
      <c r="F909" s="3" t="s">
        <v>1073</v>
      </c>
      <c r="G909" s="3" t="s">
        <v>1075</v>
      </c>
    </row>
    <row r="910" spans="1:7">
      <c r="A910" s="6">
        <v>42912</v>
      </c>
      <c r="B910" s="3" t="s">
        <v>13</v>
      </c>
      <c r="C910" s="3" t="s">
        <v>21</v>
      </c>
      <c r="D910" s="8" t="str">
        <f>HYPERLINK("http://npthd.inbcu.com/ViewContent.aspx?filename=NPMR_ABC_2017-06-26_E.MP4$6795$7005","COMMERCIAL")</f>
        <v>COMMERCIAL</v>
      </c>
      <c r="E910" s="3" t="s">
        <v>150</v>
      </c>
      <c r="F910" s="3" t="s">
        <v>1075</v>
      </c>
      <c r="G910" s="3" t="s">
        <v>1076</v>
      </c>
    </row>
    <row r="911" spans="1:7">
      <c r="A911" s="6">
        <v>42912</v>
      </c>
      <c r="B911" s="3" t="s">
        <v>13</v>
      </c>
      <c r="C911" s="3" t="s">
        <v>14</v>
      </c>
      <c r="D911" s="8" t="str">
        <f>HYPERLINK("http://npthd.inbcu.com/ViewContent.aspx?filename=NPMR_ABC_2017-06-26_E.MP4$7005$7020","Celebrity Family Feud")</f>
        <v>Celebrity Family Feud</v>
      </c>
      <c r="E911" s="3" t="s">
        <v>30</v>
      </c>
      <c r="F911" s="3" t="s">
        <v>1076</v>
      </c>
      <c r="G911" s="3" t="s">
        <v>1077</v>
      </c>
    </row>
    <row r="912" spans="1:7">
      <c r="A912" s="6">
        <v>42912</v>
      </c>
      <c r="B912" s="3" t="s">
        <v>13</v>
      </c>
      <c r="C912" s="3" t="s">
        <v>14</v>
      </c>
      <c r="D912" s="8" t="str">
        <f>HYPERLINK("http://npthd.inbcu.com/ViewContent.aspx?filename=NPMR_ABC_2017-06-26_E.MP4$7020$7050","Boy Band")</f>
        <v>Boy Band</v>
      </c>
      <c r="E912" s="3" t="s">
        <v>38</v>
      </c>
      <c r="F912" s="3" t="s">
        <v>1077</v>
      </c>
      <c r="G912" s="3" t="s">
        <v>1078</v>
      </c>
    </row>
    <row r="913" spans="1:7">
      <c r="A913" s="6">
        <v>42912</v>
      </c>
      <c r="B913" s="3" t="s">
        <v>13</v>
      </c>
      <c r="C913" s="3" t="s">
        <v>14</v>
      </c>
      <c r="D913" s="8" t="str">
        <f>HYPERLINK("http://npthd.inbcu.com/ViewContent.aspx?filename=NPMR_ABC_2017-06-26_E.MP4$7050$7080","Battle of the Network Stars")</f>
        <v>Battle of the Network Stars</v>
      </c>
      <c r="E913" s="3" t="s">
        <v>38</v>
      </c>
      <c r="F913" s="3" t="s">
        <v>1078</v>
      </c>
      <c r="G913" s="3" t="s">
        <v>1079</v>
      </c>
    </row>
    <row r="914" spans="1:7">
      <c r="A914" s="6">
        <v>42912</v>
      </c>
      <c r="B914" s="3" t="s">
        <v>13</v>
      </c>
      <c r="C914" s="3" t="s">
        <v>32</v>
      </c>
      <c r="D914" s="8" t="str">
        <f>HYPERLINK("http://npthd.inbcu.com/ViewContent.aspx?filename=NPMR_ABC_2017-06-26_E.MP4$7080$7085","LOCAL")</f>
        <v>LOCAL</v>
      </c>
      <c r="E914" s="3" t="s">
        <v>54</v>
      </c>
      <c r="F914" s="3" t="s">
        <v>1079</v>
      </c>
      <c r="G914" s="3" t="s">
        <v>1080</v>
      </c>
    </row>
    <row r="915" spans="1:7">
      <c r="A915" s="6">
        <v>42912</v>
      </c>
      <c r="B915" s="3" t="s">
        <v>13</v>
      </c>
      <c r="C915" s="3" t="s">
        <v>18</v>
      </c>
      <c r="D915" s="8" t="str">
        <f>HYPERLINK("http://npthd.inbcu.com/ViewContent.aspx?filename=NPMR_ABC_2017-06-26_E.MP4$7085$7266","THE BACHELORETTE: 1305")</f>
        <v>THE BACHELORETTE: 1305</v>
      </c>
      <c r="E915" s="3" t="s">
        <v>108</v>
      </c>
      <c r="F915" s="3" t="s">
        <v>1080</v>
      </c>
      <c r="G915" s="3" t="s">
        <v>1081</v>
      </c>
    </row>
    <row r="916" spans="1:7">
      <c r="A916" s="6">
        <v>42912</v>
      </c>
      <c r="B916" s="3" t="s">
        <v>13</v>
      </c>
      <c r="C916" s="3" t="s">
        <v>14</v>
      </c>
      <c r="D916" s="8" t="str">
        <f>HYPERLINK("http://npthd.inbcu.com/ViewContent.aspx?filename=NPMR_ABC_2017-06-26_E.MP4$7266$7312","Bachelorette")</f>
        <v>Bachelorette</v>
      </c>
      <c r="E916" s="3" t="s">
        <v>549</v>
      </c>
      <c r="F916" s="3" t="s">
        <v>1081</v>
      </c>
      <c r="G916" s="3" t="s">
        <v>87</v>
      </c>
    </row>
    <row r="917" spans="1:7">
      <c r="A917" s="6">
        <v>42912</v>
      </c>
      <c r="B917" s="3" t="s">
        <v>13</v>
      </c>
      <c r="C917" s="3" t="s">
        <v>18</v>
      </c>
      <c r="D917" s="8" t="str">
        <f>HYPERLINK("http://npthd.inbcu.com/ViewContent.aspx?filename=NPMR_ABC_2017-06-26_E.MP4$7312$7372","THE BACHELORETTE: 1305")</f>
        <v>THE BACHELORETTE: 1305</v>
      </c>
      <c r="E917" s="3" t="s">
        <v>66</v>
      </c>
      <c r="F917" s="3" t="s">
        <v>87</v>
      </c>
      <c r="G917" s="3" t="s">
        <v>1082</v>
      </c>
    </row>
    <row r="918" spans="1:7">
      <c r="A918" s="6">
        <v>42912</v>
      </c>
      <c r="B918" s="3" t="s">
        <v>13</v>
      </c>
      <c r="C918" s="3" t="s">
        <v>14</v>
      </c>
      <c r="D918" s="8" t="str">
        <f>HYPERLINK("http://npthd.inbcu.com/ViewContent.aspx?filename=NPMR_ABC_2017-06-26_E.MP4$7372$7377","Celebrity Family Feud")</f>
        <v>Celebrity Family Feud</v>
      </c>
      <c r="E918" s="3" t="s">
        <v>54</v>
      </c>
      <c r="F918" s="3" t="s">
        <v>1082</v>
      </c>
      <c r="G918" s="3" t="s">
        <v>1083</v>
      </c>
    </row>
    <row r="919" spans="1:7">
      <c r="A919" s="6">
        <v>42912</v>
      </c>
      <c r="B919" s="3" t="s">
        <v>13</v>
      </c>
      <c r="C919" s="3" t="s">
        <v>18</v>
      </c>
      <c r="D919" s="8" t="str">
        <f>HYPERLINK("http://npthd.inbcu.com/ViewContent.aspx?filename=NPMR_ABC_2017-06-26_E.MP4$7377$8019","CELEBRITY FAMILY FEUD: bachelors vs bachelorettes / indy car vs si models")</f>
        <v>CELEBRITY FAMILY FEUD: bachelors vs bachelorettes / indy car vs si models</v>
      </c>
      <c r="E919" s="3" t="s">
        <v>604</v>
      </c>
      <c r="F919" s="3" t="s">
        <v>1083</v>
      </c>
      <c r="G919" s="3" t="s">
        <v>1084</v>
      </c>
    </row>
    <row r="920" spans="1:7">
      <c r="A920" s="6">
        <v>42912</v>
      </c>
      <c r="B920" s="3" t="s">
        <v>13</v>
      </c>
      <c r="C920" s="3" t="s">
        <v>21</v>
      </c>
      <c r="D920" s="8" t="str">
        <f>HYPERLINK("http://npthd.inbcu.com/ViewContent.aspx?filename=NPMR_ABC_2017-06-26_E.MP4$8019$8185","COMMERCIAL")</f>
        <v>COMMERCIAL</v>
      </c>
      <c r="E920" s="3" t="s">
        <v>144</v>
      </c>
      <c r="F920" s="3" t="s">
        <v>1084</v>
      </c>
      <c r="G920" s="3" t="s">
        <v>1085</v>
      </c>
    </row>
    <row r="921" spans="1:7">
      <c r="A921" s="6">
        <v>42912</v>
      </c>
      <c r="B921" s="3" t="s">
        <v>13</v>
      </c>
      <c r="C921" s="3" t="s">
        <v>14</v>
      </c>
      <c r="D921" s="8" t="str">
        <f>HYPERLINK("http://npthd.inbcu.com/ViewContent.aspx?filename=NPMR_ABC_2017-06-26_E.MP4$8185$8215","Gong Show, The")</f>
        <v>Gong Show, The</v>
      </c>
      <c r="E921" s="3" t="s">
        <v>38</v>
      </c>
      <c r="F921" s="3" t="s">
        <v>1085</v>
      </c>
      <c r="G921" s="3" t="s">
        <v>1086</v>
      </c>
    </row>
    <row r="922" spans="1:7">
      <c r="A922" s="6">
        <v>42912</v>
      </c>
      <c r="B922" s="3" t="s">
        <v>13</v>
      </c>
      <c r="C922" s="3" t="s">
        <v>18</v>
      </c>
      <c r="D922" s="8" t="str">
        <f>HYPERLINK("http://npthd.inbcu.com/ViewContent.aspx?filename=NPMR_ABC_2017-06-26_E.MP4$8215$8637","THE BACHELORETTE: 1305")</f>
        <v>THE BACHELORETTE: 1305</v>
      </c>
      <c r="E922" s="3" t="s">
        <v>1087</v>
      </c>
      <c r="F922" s="3" t="s">
        <v>1086</v>
      </c>
      <c r="G922" s="3" t="s">
        <v>1088</v>
      </c>
    </row>
    <row r="923" spans="1:7">
      <c r="A923" s="6">
        <v>42912</v>
      </c>
      <c r="B923" s="3" t="s">
        <v>13</v>
      </c>
      <c r="C923" s="3" t="s">
        <v>14</v>
      </c>
      <c r="D923" s="8" t="str">
        <f>HYPERLINK("http://npthd.inbcu.com/ViewContent.aspx?filename=NPMR_ABC_2017-06-26_E.MP4$8637$8642","Celebrity Family Feud")</f>
        <v>Celebrity Family Feud</v>
      </c>
      <c r="E923" s="3" t="s">
        <v>54</v>
      </c>
      <c r="F923" s="3" t="s">
        <v>1088</v>
      </c>
      <c r="G923" s="3" t="s">
        <v>1089</v>
      </c>
    </row>
    <row r="924" spans="1:7">
      <c r="A924" s="6">
        <v>42912</v>
      </c>
      <c r="B924" s="3" t="s">
        <v>13</v>
      </c>
      <c r="C924" s="3" t="s">
        <v>21</v>
      </c>
      <c r="D924" s="8" t="str">
        <f>HYPERLINK("http://npthd.inbcu.com/ViewContent.aspx?filename=NPMR_ABC_2017-06-26_E.MP4$8642$8822","COMMERCIAL")</f>
        <v>COMMERCIAL</v>
      </c>
      <c r="E924" s="3" t="s">
        <v>22</v>
      </c>
      <c r="F924" s="3" t="s">
        <v>1089</v>
      </c>
      <c r="G924" s="3" t="s">
        <v>1090</v>
      </c>
    </row>
    <row r="925" spans="1:7">
      <c r="A925" s="6">
        <v>42912</v>
      </c>
      <c r="B925" s="3" t="s">
        <v>13</v>
      </c>
      <c r="C925" s="3" t="s">
        <v>14</v>
      </c>
      <c r="D925" s="8" t="str">
        <f>HYPERLINK("http://npthd.inbcu.com/ViewContent.aspx?filename=NPMR_ABC_2017-06-26_E.MP4$8822$8852","Battle of the Network Stars")</f>
        <v>Battle of the Network Stars</v>
      </c>
      <c r="E925" s="3" t="s">
        <v>38</v>
      </c>
      <c r="F925" s="3" t="s">
        <v>1090</v>
      </c>
      <c r="G925" s="3" t="s">
        <v>917</v>
      </c>
    </row>
    <row r="926" spans="1:7">
      <c r="A926" s="6">
        <v>42912</v>
      </c>
      <c r="B926" s="3" t="s">
        <v>13</v>
      </c>
      <c r="C926" s="3" t="s">
        <v>18</v>
      </c>
      <c r="D926" s="8" t="str">
        <f>HYPERLINK("http://npthd.inbcu.com/ViewContent.aspx?filename=NPMR_ABC_2017-06-26_E.MP4$8852$9123","THE BACHELORETTE: 1305")</f>
        <v>THE BACHELORETTE: 1305</v>
      </c>
      <c r="E926" s="3" t="s">
        <v>994</v>
      </c>
      <c r="F926" s="3" t="s">
        <v>917</v>
      </c>
      <c r="G926" s="3" t="s">
        <v>1091</v>
      </c>
    </row>
    <row r="927" spans="1:7">
      <c r="A927" s="6">
        <v>42912</v>
      </c>
      <c r="B927" s="3" t="s">
        <v>13</v>
      </c>
      <c r="C927" s="3" t="s">
        <v>21</v>
      </c>
      <c r="D927" s="8" t="str">
        <f>HYPERLINK("http://npthd.inbcu.com/ViewContent.aspx?filename=NPMR_ABC_2017-06-26_E.MP4$9123$9183","COMMERCIAL")</f>
        <v>COMMERCIAL</v>
      </c>
      <c r="E927" s="3" t="s">
        <v>66</v>
      </c>
      <c r="F927" s="3" t="s">
        <v>1091</v>
      </c>
      <c r="G927" s="3" t="s">
        <v>1092</v>
      </c>
    </row>
    <row r="928" spans="1:7">
      <c r="A928" s="6">
        <v>42912</v>
      </c>
      <c r="B928" s="3" t="s">
        <v>13</v>
      </c>
      <c r="C928" s="3" t="s">
        <v>14</v>
      </c>
      <c r="D928" s="8" t="str">
        <f>HYPERLINK("http://npthd.inbcu.com/ViewContent.aspx?filename=NPMR_ABC_2017-06-26_E.MP4$9183$9213","Boy Band")</f>
        <v>Boy Band</v>
      </c>
      <c r="E928" s="3" t="s">
        <v>38</v>
      </c>
      <c r="F928" s="3" t="s">
        <v>1092</v>
      </c>
      <c r="G928" s="3" t="s">
        <v>1093</v>
      </c>
    </row>
    <row r="929" spans="1:7">
      <c r="A929" s="6">
        <v>42912</v>
      </c>
      <c r="B929" s="3" t="s">
        <v>13</v>
      </c>
      <c r="C929" s="3" t="s">
        <v>32</v>
      </c>
      <c r="D929" s="8" t="str">
        <f>HYPERLINK("http://npthd.inbcu.com/ViewContent.aspx?filename=NPMR_ABC_2017-06-26_E.MP4$9213$9350","LOCAL")</f>
        <v>LOCAL</v>
      </c>
      <c r="E929" s="3" t="s">
        <v>488</v>
      </c>
      <c r="F929" s="3" t="s">
        <v>1093</v>
      </c>
      <c r="G929" s="3" t="s">
        <v>1094</v>
      </c>
    </row>
    <row r="930" spans="1:7">
      <c r="A930" s="6">
        <v>42912</v>
      </c>
      <c r="B930" s="3" t="s">
        <v>13</v>
      </c>
      <c r="C930" s="3" t="s">
        <v>18</v>
      </c>
      <c r="D930" s="8" t="str">
        <f>HYPERLINK("http://npthd.inbcu.com/ViewContent.aspx?filename=NPMR_ABC_2017-06-26_E.MP4$9350$9868","THE BACHELORETTE: 1305")</f>
        <v>THE BACHELORETTE: 1305</v>
      </c>
      <c r="E930" s="3" t="s">
        <v>1095</v>
      </c>
      <c r="F930" s="3" t="s">
        <v>1094</v>
      </c>
      <c r="G930" s="3" t="s">
        <v>1096</v>
      </c>
    </row>
    <row r="931" spans="1:7">
      <c r="A931" s="6">
        <v>42912</v>
      </c>
      <c r="B931" s="3" t="s">
        <v>13</v>
      </c>
      <c r="C931" s="3" t="s">
        <v>21</v>
      </c>
      <c r="D931" s="8" t="str">
        <f>HYPERLINK("http://npthd.inbcu.com/ViewContent.aspx?filename=NPMR_ABC_2017-06-26_E.MP4$9868$10018","COMMERCIAL")</f>
        <v>COMMERCIAL</v>
      </c>
      <c r="E931" s="3" t="s">
        <v>28</v>
      </c>
      <c r="F931" s="3" t="s">
        <v>1096</v>
      </c>
      <c r="G931" s="3" t="s">
        <v>1097</v>
      </c>
    </row>
    <row r="932" spans="1:7">
      <c r="A932" s="6">
        <v>42912</v>
      </c>
      <c r="B932" s="3" t="s">
        <v>13</v>
      </c>
      <c r="C932" s="3" t="s">
        <v>14</v>
      </c>
      <c r="D932" s="8" t="str">
        <f>HYPERLINK("http://npthd.inbcu.com/ViewContent.aspx?filename=NPMR_ABC_2017-06-26_E.MP4$10018$10033","Bachelorette")</f>
        <v>Bachelorette</v>
      </c>
      <c r="E932" s="3" t="s">
        <v>30</v>
      </c>
      <c r="F932" s="3" t="s">
        <v>1097</v>
      </c>
      <c r="G932" s="3" t="s">
        <v>1098</v>
      </c>
    </row>
    <row r="933" spans="1:7">
      <c r="A933" s="6">
        <v>42912</v>
      </c>
      <c r="B933" s="3" t="s">
        <v>13</v>
      </c>
      <c r="C933" s="3" t="s">
        <v>32</v>
      </c>
      <c r="D933" s="8" t="str">
        <f>HYPERLINK("http://npthd.inbcu.com/ViewContent.aspx?filename=NPMR_ABC_2017-06-26_E.MP4$10033$10094","LOCAL")</f>
        <v>LOCAL</v>
      </c>
      <c r="E933" s="3" t="s">
        <v>33</v>
      </c>
      <c r="F933" s="3" t="s">
        <v>1098</v>
      </c>
      <c r="G933" s="3" t="s">
        <v>1099</v>
      </c>
    </row>
    <row r="934" spans="1:7">
      <c r="A934" s="6">
        <v>42912</v>
      </c>
      <c r="B934" s="3" t="s">
        <v>13</v>
      </c>
      <c r="C934" s="3" t="s">
        <v>18</v>
      </c>
      <c r="D934" s="8" t="str">
        <f>HYPERLINK("http://npthd.inbcu.com/ViewContent.aspx?filename=NPMR_ABC_2017-06-26_E.MP4$10094$10459","THE BACHELORETTE: 1305")</f>
        <v>THE BACHELORETTE: 1305</v>
      </c>
      <c r="E934" s="3" t="s">
        <v>1100</v>
      </c>
      <c r="F934" s="3" t="s">
        <v>1099</v>
      </c>
      <c r="G934" s="3" t="s">
        <v>307</v>
      </c>
    </row>
    <row r="935" spans="1:7">
      <c r="A935" s="6">
        <v>42912</v>
      </c>
      <c r="B935" s="3" t="s">
        <v>13</v>
      </c>
      <c r="C935" s="3" t="s">
        <v>32</v>
      </c>
      <c r="D935" s="8" t="str">
        <f>HYPERLINK("http://npthd.inbcu.com/ViewContent.aspx?filename=NPMR_ABC_2017-06-26_E.MP4$10459$10475","LOCAL")</f>
        <v>LOCAL</v>
      </c>
      <c r="E935" s="3" t="s">
        <v>64</v>
      </c>
      <c r="F935" s="3" t="s">
        <v>307</v>
      </c>
      <c r="G935" s="3" t="s">
        <v>1101</v>
      </c>
    </row>
    <row r="936" spans="1:7">
      <c r="A936" s="6">
        <v>42912</v>
      </c>
      <c r="B936" s="3" t="s">
        <v>13</v>
      </c>
      <c r="C936" s="3" t="s">
        <v>21</v>
      </c>
      <c r="D936" s="8" t="str">
        <f>HYPERLINK("http://npthd.inbcu.com/ViewContent.aspx?filename=NPMR_ABC_2017-06-26_E.MP4$10475$10597","COMMERCIAL")</f>
        <v>COMMERCIAL</v>
      </c>
      <c r="E936" s="3" t="s">
        <v>252</v>
      </c>
      <c r="F936" s="3" t="s">
        <v>1101</v>
      </c>
      <c r="G936" s="3" t="s">
        <v>1102</v>
      </c>
    </row>
    <row r="937" spans="1:7">
      <c r="A937" s="6">
        <v>42912</v>
      </c>
      <c r="B937" s="3" t="s">
        <v>13</v>
      </c>
      <c r="C937" s="3" t="s">
        <v>14</v>
      </c>
      <c r="D937" s="8" t="str">
        <f>HYPERLINK("http://npthd.inbcu.com/ViewContent.aspx?filename=NPMR_ABC_2017-06-26_E.MP4$10597$10612","Battle of the Network Stars")</f>
        <v>Battle of the Network Stars</v>
      </c>
      <c r="E937" s="3" t="s">
        <v>30</v>
      </c>
      <c r="F937" s="3" t="s">
        <v>1102</v>
      </c>
      <c r="G937" s="3" t="s">
        <v>1103</v>
      </c>
    </row>
    <row r="938" spans="1:7">
      <c r="A938" s="6">
        <v>42912</v>
      </c>
      <c r="B938" s="3" t="s">
        <v>13</v>
      </c>
      <c r="C938" s="3" t="s">
        <v>18</v>
      </c>
      <c r="D938" s="8" t="str">
        <f>HYPERLINK("http://npthd.inbcu.com/ViewContent.aspx?filename=NPMR_ABC_2017-06-26_E.MP4$10612$10897","THE BACHELORETTE: 1305")</f>
        <v>THE BACHELORETTE: 1305</v>
      </c>
      <c r="E938" s="3" t="s">
        <v>1104</v>
      </c>
      <c r="F938" s="3" t="s">
        <v>1103</v>
      </c>
      <c r="G938" s="3" t="s">
        <v>698</v>
      </c>
    </row>
    <row r="939" spans="1:7">
      <c r="A939" s="6">
        <v>42912</v>
      </c>
      <c r="B939" s="3" t="s">
        <v>13</v>
      </c>
      <c r="C939" s="3" t="s">
        <v>32</v>
      </c>
      <c r="D939" s="8" t="str">
        <f>HYPERLINK("http://npthd.inbcu.com/ViewContent.aspx?filename=NPMR_ABC_2017-06-26_E.MP4$10897$10911","LOCAL")</f>
        <v>LOCAL</v>
      </c>
      <c r="E939" s="3" t="s">
        <v>342</v>
      </c>
      <c r="F939" s="3" t="s">
        <v>698</v>
      </c>
      <c r="G939" s="3" t="s">
        <v>124</v>
      </c>
    </row>
    <row r="940" spans="1:7">
      <c r="A940" s="6">
        <v>42913</v>
      </c>
      <c r="B940" s="3" t="s">
        <v>13</v>
      </c>
      <c r="C940" s="3" t="s">
        <v>14</v>
      </c>
      <c r="D940" s="8" t="str">
        <f>HYPERLINK("http://npthd.inbcu.com/ViewContent.aspx?filename=NPMR_ABC_2017-06-27_E.MP4$129$134","ABC Open")</f>
        <v>ABC Open</v>
      </c>
      <c r="E940" s="3" t="s">
        <v>54</v>
      </c>
      <c r="F940" s="3" t="s">
        <v>16</v>
      </c>
      <c r="G940" s="3" t="s">
        <v>125</v>
      </c>
    </row>
    <row r="941" spans="1:7">
      <c r="A941" s="6">
        <v>42913</v>
      </c>
      <c r="B941" s="3" t="s">
        <v>13</v>
      </c>
      <c r="C941" s="3" t="s">
        <v>18</v>
      </c>
      <c r="D941" s="8" t="str">
        <f>HYPERLINK("http://npthd.inbcu.com/ViewContent.aspx?filename=NPMR_ABC_2017-06-27_E.MP4$134$579","THE BACHELORETTE: 1306")</f>
        <v>THE BACHELORETTE: 1306</v>
      </c>
      <c r="E941" s="3" t="s">
        <v>426</v>
      </c>
      <c r="F941" s="3" t="s">
        <v>125</v>
      </c>
      <c r="G941" s="3" t="s">
        <v>1105</v>
      </c>
    </row>
    <row r="942" spans="1:7">
      <c r="A942" s="6">
        <v>42913</v>
      </c>
      <c r="B942" s="3" t="s">
        <v>13</v>
      </c>
      <c r="C942" s="3" t="s">
        <v>21</v>
      </c>
      <c r="D942" s="8" t="str">
        <f>HYPERLINK("http://npthd.inbcu.com/ViewContent.aspx?filename=NPMR_ABC_2017-06-27_E.MP4$579$699","COMMERCIAL")</f>
        <v>COMMERCIAL</v>
      </c>
      <c r="E942" s="3" t="s">
        <v>43</v>
      </c>
      <c r="F942" s="3" t="s">
        <v>1105</v>
      </c>
      <c r="G942" s="3" t="s">
        <v>1106</v>
      </c>
    </row>
    <row r="943" spans="1:7">
      <c r="A943" s="6">
        <v>42913</v>
      </c>
      <c r="B943" s="3" t="s">
        <v>13</v>
      </c>
      <c r="C943" s="3" t="s">
        <v>14</v>
      </c>
      <c r="D943" s="8" t="str">
        <f>HYPERLINK("http://npthd.inbcu.com/ViewContent.aspx?filename=NPMR_ABC_2017-06-27_E.MP4$699$729","Boy Band")</f>
        <v>Boy Band</v>
      </c>
      <c r="E943" s="3" t="s">
        <v>38</v>
      </c>
      <c r="F943" s="3" t="s">
        <v>1106</v>
      </c>
      <c r="G943" s="3" t="s">
        <v>1107</v>
      </c>
    </row>
    <row r="944" spans="1:7">
      <c r="A944" s="6">
        <v>42913</v>
      </c>
      <c r="B944" s="3" t="s">
        <v>13</v>
      </c>
      <c r="C944" s="3" t="s">
        <v>14</v>
      </c>
      <c r="D944" s="8" t="str">
        <f>HYPERLINK("http://npthd.inbcu.com/ViewContent.aspx?filename=NPMR_ABC_2017-06-27_E.MP4$729$759","Battle of the Network Stars")</f>
        <v>Battle of the Network Stars</v>
      </c>
      <c r="E944" s="3" t="s">
        <v>38</v>
      </c>
      <c r="F944" s="3" t="s">
        <v>1107</v>
      </c>
      <c r="G944" s="3" t="s">
        <v>1108</v>
      </c>
    </row>
    <row r="945" spans="1:7">
      <c r="A945" s="6">
        <v>42913</v>
      </c>
      <c r="B945" s="3" t="s">
        <v>13</v>
      </c>
      <c r="C945" s="3" t="s">
        <v>14</v>
      </c>
      <c r="D945" s="8" t="str">
        <f>HYPERLINK("http://npthd.inbcu.com/ViewContent.aspx?filename=NPMR_ABC_2017-06-27_E.MP4$759$774","Gong Show, The")</f>
        <v>Gong Show, The</v>
      </c>
      <c r="E945" s="3" t="s">
        <v>30</v>
      </c>
      <c r="F945" s="3" t="s">
        <v>1108</v>
      </c>
      <c r="G945" s="3" t="s">
        <v>1109</v>
      </c>
    </row>
    <row r="946" spans="1:7">
      <c r="A946" s="6">
        <v>42913</v>
      </c>
      <c r="B946" s="3" t="s">
        <v>13</v>
      </c>
      <c r="C946" s="3" t="s">
        <v>18</v>
      </c>
      <c r="D946" s="8" t="str">
        <f>HYPERLINK("http://npthd.inbcu.com/ViewContent.aspx?filename=NPMR_ABC_2017-06-27_E.MP4$774$1221","THE BACHELORETTE: 1306")</f>
        <v>THE BACHELORETTE: 1306</v>
      </c>
      <c r="E946" s="3" t="s">
        <v>1110</v>
      </c>
      <c r="F946" s="3" t="s">
        <v>1109</v>
      </c>
      <c r="G946" s="3" t="s">
        <v>1111</v>
      </c>
    </row>
    <row r="947" spans="1:7">
      <c r="A947" s="6">
        <v>42913</v>
      </c>
      <c r="B947" s="3" t="s">
        <v>13</v>
      </c>
      <c r="C947" s="3" t="s">
        <v>21</v>
      </c>
      <c r="D947" s="8" t="str">
        <f>HYPERLINK("http://npthd.inbcu.com/ViewContent.aspx?filename=NPMR_ABC_2017-06-27_E.MP4$1221$1341","COMMERCIAL")</f>
        <v>COMMERCIAL</v>
      </c>
      <c r="E947" s="3" t="s">
        <v>43</v>
      </c>
      <c r="F947" s="3" t="s">
        <v>1111</v>
      </c>
      <c r="G947" s="3" t="s">
        <v>1112</v>
      </c>
    </row>
    <row r="948" spans="1:7">
      <c r="A948" s="6">
        <v>42913</v>
      </c>
      <c r="B948" s="3" t="s">
        <v>13</v>
      </c>
      <c r="C948" s="3" t="s">
        <v>14</v>
      </c>
      <c r="D948" s="8" t="str">
        <f>HYPERLINK("http://npthd.inbcu.com/ViewContent.aspx?filename=NPMR_ABC_2017-06-27_E.MP4$1341$1356","Good Morning America")</f>
        <v>Good Morning America</v>
      </c>
      <c r="E948" s="3" t="s">
        <v>30</v>
      </c>
      <c r="F948" s="3" t="s">
        <v>1112</v>
      </c>
      <c r="G948" s="3" t="s">
        <v>1113</v>
      </c>
    </row>
    <row r="949" spans="1:7">
      <c r="A949" s="6">
        <v>42913</v>
      </c>
      <c r="B949" s="3" t="s">
        <v>13</v>
      </c>
      <c r="C949" s="3" t="s">
        <v>14</v>
      </c>
      <c r="D949" s="8" t="str">
        <f>HYPERLINK("http://npthd.inbcu.com/ViewContent.aspx?filename=NPMR_ABC_2017-06-27_E.MP4$1356$1371","General Hospital")</f>
        <v>General Hospital</v>
      </c>
      <c r="E949" s="3" t="s">
        <v>30</v>
      </c>
      <c r="F949" s="3" t="s">
        <v>1113</v>
      </c>
      <c r="G949" s="3" t="s">
        <v>1114</v>
      </c>
    </row>
    <row r="950" spans="1:7">
      <c r="A950" s="6">
        <v>42913</v>
      </c>
      <c r="B950" s="3" t="s">
        <v>13</v>
      </c>
      <c r="C950" s="3" t="s">
        <v>32</v>
      </c>
      <c r="D950" s="8" t="str">
        <f>HYPERLINK("http://npthd.inbcu.com/ViewContent.aspx?filename=NPMR_ABC_2017-06-27_E.MP4$1371$1431","LOCAL")</f>
        <v>LOCAL</v>
      </c>
      <c r="E950" s="3" t="s">
        <v>66</v>
      </c>
      <c r="F950" s="3" t="s">
        <v>1114</v>
      </c>
      <c r="G950" s="3" t="s">
        <v>1115</v>
      </c>
    </row>
    <row r="951" spans="1:7">
      <c r="A951" s="6">
        <v>42913</v>
      </c>
      <c r="B951" s="3" t="s">
        <v>13</v>
      </c>
      <c r="C951" s="3" t="s">
        <v>18</v>
      </c>
      <c r="D951" s="8" t="str">
        <f>HYPERLINK("http://npthd.inbcu.com/ViewContent.aspx?filename=NPMR_ABC_2017-06-27_E.MP4$1431$1871","THE BACHELORETTE: 1306")</f>
        <v>THE BACHELORETTE: 1306</v>
      </c>
      <c r="E951" s="3" t="s">
        <v>1116</v>
      </c>
      <c r="F951" s="3" t="s">
        <v>1115</v>
      </c>
      <c r="G951" s="3" t="s">
        <v>1117</v>
      </c>
    </row>
    <row r="952" spans="1:7">
      <c r="A952" s="6">
        <v>42913</v>
      </c>
      <c r="B952" s="3" t="s">
        <v>13</v>
      </c>
      <c r="C952" s="3" t="s">
        <v>21</v>
      </c>
      <c r="D952" s="8" t="str">
        <f>HYPERLINK("http://npthd.inbcu.com/ViewContent.aspx?filename=NPMR_ABC_2017-06-27_E.MP4$1871$2037","COMMERCIAL")</f>
        <v>COMMERCIAL</v>
      </c>
      <c r="E952" s="3" t="s">
        <v>144</v>
      </c>
      <c r="F952" s="3" t="s">
        <v>1117</v>
      </c>
      <c r="G952" s="3" t="s">
        <v>1118</v>
      </c>
    </row>
    <row r="953" spans="1:7">
      <c r="A953" s="6">
        <v>42913</v>
      </c>
      <c r="B953" s="3" t="s">
        <v>13</v>
      </c>
      <c r="C953" s="3" t="s">
        <v>14</v>
      </c>
      <c r="D953" s="8" t="str">
        <f>HYPERLINK("http://npthd.inbcu.com/ViewContent.aspx?filename=NPMR_ABC_2017-06-27_E.MP4$2037$2051","Boy Band")</f>
        <v>Boy Band</v>
      </c>
      <c r="E953" s="3" t="s">
        <v>342</v>
      </c>
      <c r="F953" s="3" t="s">
        <v>1118</v>
      </c>
      <c r="G953" s="3" t="s">
        <v>1119</v>
      </c>
    </row>
    <row r="954" spans="1:7">
      <c r="A954" s="6">
        <v>42913</v>
      </c>
      <c r="B954" s="3" t="s">
        <v>13</v>
      </c>
      <c r="C954" s="3" t="s">
        <v>14</v>
      </c>
      <c r="D954" s="8" t="str">
        <f>HYPERLINK("http://npthd.inbcu.com/ViewContent.aspx?filename=NPMR_ABC_2017-06-27_E.MP4$2051$2081","Gong Show, The")</f>
        <v>Gong Show, The</v>
      </c>
      <c r="E954" s="3" t="s">
        <v>38</v>
      </c>
      <c r="F954" s="3" t="s">
        <v>1119</v>
      </c>
      <c r="G954" s="3" t="s">
        <v>1120</v>
      </c>
    </row>
    <row r="955" spans="1:7">
      <c r="A955" s="6">
        <v>42913</v>
      </c>
      <c r="B955" s="3" t="s">
        <v>13</v>
      </c>
      <c r="C955" s="3" t="s">
        <v>18</v>
      </c>
      <c r="D955" s="8" t="str">
        <f>HYPERLINK("http://npthd.inbcu.com/ViewContent.aspx?filename=NPMR_ABC_2017-06-27_E.MP4$2081$2503","THE BACHELORETTE: 1306")</f>
        <v>THE BACHELORETTE: 1306</v>
      </c>
      <c r="E955" s="3" t="s">
        <v>1087</v>
      </c>
      <c r="F955" s="3" t="s">
        <v>1120</v>
      </c>
      <c r="G955" s="3" t="s">
        <v>1121</v>
      </c>
    </row>
    <row r="956" spans="1:7">
      <c r="A956" s="6">
        <v>42913</v>
      </c>
      <c r="B956" s="3" t="s">
        <v>13</v>
      </c>
      <c r="C956" s="3" t="s">
        <v>21</v>
      </c>
      <c r="D956" s="8" t="str">
        <f>HYPERLINK("http://npthd.inbcu.com/ViewContent.aspx?filename=NPMR_ABC_2017-06-27_E.MP4$2503$2563","COMMERCIAL")</f>
        <v>COMMERCIAL</v>
      </c>
      <c r="E956" s="3" t="s">
        <v>66</v>
      </c>
      <c r="F956" s="3" t="s">
        <v>1121</v>
      </c>
      <c r="G956" s="3" t="s">
        <v>1122</v>
      </c>
    </row>
    <row r="957" spans="1:7">
      <c r="A957" s="6">
        <v>42913</v>
      </c>
      <c r="B957" s="3" t="s">
        <v>13</v>
      </c>
      <c r="C957" s="3" t="s">
        <v>14</v>
      </c>
      <c r="D957" s="8" t="str">
        <f>HYPERLINK("http://npthd.inbcu.com/ViewContent.aspx?filename=NPMR_ABC_2017-06-27_E.MP4$2563$2593","The Bold Type (FreeForm)")</f>
        <v>The Bold Type (FreeForm)</v>
      </c>
      <c r="E957" s="3" t="s">
        <v>38</v>
      </c>
      <c r="F957" s="3" t="s">
        <v>1122</v>
      </c>
      <c r="G957" s="3" t="s">
        <v>520</v>
      </c>
    </row>
    <row r="958" spans="1:7">
      <c r="A958" s="6">
        <v>42913</v>
      </c>
      <c r="B958" s="3" t="s">
        <v>13</v>
      </c>
      <c r="C958" s="3" t="s">
        <v>14</v>
      </c>
      <c r="D958" s="8" t="str">
        <f>HYPERLINK("http://npthd.inbcu.com/ViewContent.aspx?filename=NPMR_ABC_2017-06-27_E.MP4$2593$2623","Battle of the Network Stars")</f>
        <v>Battle of the Network Stars</v>
      </c>
      <c r="E958" s="3" t="s">
        <v>38</v>
      </c>
      <c r="F958" s="3" t="s">
        <v>520</v>
      </c>
      <c r="G958" s="3" t="s">
        <v>1123</v>
      </c>
    </row>
    <row r="959" spans="1:7">
      <c r="A959" s="6">
        <v>42913</v>
      </c>
      <c r="B959" s="3" t="s">
        <v>13</v>
      </c>
      <c r="C959" s="3" t="s">
        <v>32</v>
      </c>
      <c r="D959" s="8" t="str">
        <f>HYPERLINK("http://npthd.inbcu.com/ViewContent.aspx?filename=NPMR_ABC_2017-06-27_E.MP4$2623$2713","LOCAL")</f>
        <v>LOCAL</v>
      </c>
      <c r="E959" s="3" t="s">
        <v>46</v>
      </c>
      <c r="F959" s="3" t="s">
        <v>1123</v>
      </c>
      <c r="G959" s="3" t="s">
        <v>1124</v>
      </c>
    </row>
    <row r="960" spans="1:7">
      <c r="A960" s="6">
        <v>42913</v>
      </c>
      <c r="B960" s="3" t="s">
        <v>13</v>
      </c>
      <c r="C960" s="3" t="s">
        <v>18</v>
      </c>
      <c r="D960" s="8" t="str">
        <f>HYPERLINK("http://npthd.inbcu.com/ViewContent.aspx?filename=NPMR_ABC_2017-06-27_E.MP4$2713$3125","THE BACHELORETTE: 1306")</f>
        <v>THE BACHELORETTE: 1306</v>
      </c>
      <c r="E960" s="3" t="s">
        <v>1125</v>
      </c>
      <c r="F960" s="3" t="s">
        <v>1124</v>
      </c>
      <c r="G960" s="3" t="s">
        <v>1126</v>
      </c>
    </row>
    <row r="961" spans="1:7">
      <c r="A961" s="6">
        <v>42913</v>
      </c>
      <c r="B961" s="3" t="s">
        <v>13</v>
      </c>
      <c r="C961" s="3" t="s">
        <v>21</v>
      </c>
      <c r="D961" s="8" t="str">
        <f>HYPERLINK("http://npthd.inbcu.com/ViewContent.aspx?filename=NPMR_ABC_2017-06-27_E.MP4$3125$3305","COMMERCIAL")</f>
        <v>COMMERCIAL</v>
      </c>
      <c r="E961" s="3" t="s">
        <v>22</v>
      </c>
      <c r="F961" s="3" t="s">
        <v>1126</v>
      </c>
      <c r="G961" s="3" t="s">
        <v>1127</v>
      </c>
    </row>
    <row r="962" spans="1:7">
      <c r="A962" s="6">
        <v>42913</v>
      </c>
      <c r="B962" s="3" t="s">
        <v>13</v>
      </c>
      <c r="C962" s="3" t="s">
        <v>14</v>
      </c>
      <c r="D962" s="8" t="str">
        <f>HYPERLINK("http://npthd.inbcu.com/ViewContent.aspx?filename=NPMR_ABC_2017-06-27_E.MP4$3305$3335","Gong Show, The")</f>
        <v>Gong Show, The</v>
      </c>
      <c r="E962" s="3" t="s">
        <v>38</v>
      </c>
      <c r="F962" s="3" t="s">
        <v>1127</v>
      </c>
      <c r="G962" s="3" t="s">
        <v>1128</v>
      </c>
    </row>
    <row r="963" spans="1:7">
      <c r="A963" s="6">
        <v>42913</v>
      </c>
      <c r="B963" s="3" t="s">
        <v>13</v>
      </c>
      <c r="C963" s="3" t="s">
        <v>14</v>
      </c>
      <c r="D963" s="8" t="str">
        <f>HYPERLINK("http://npthd.inbcu.com/ViewContent.aspx?filename=NPMR_ABC_2017-06-27_E.MP4$3335$3350","20/20")</f>
        <v>20/20</v>
      </c>
      <c r="E963" s="3" t="s">
        <v>30</v>
      </c>
      <c r="F963" s="3" t="s">
        <v>1128</v>
      </c>
      <c r="G963" s="3" t="s">
        <v>718</v>
      </c>
    </row>
    <row r="964" spans="1:7">
      <c r="A964" s="6">
        <v>42913</v>
      </c>
      <c r="B964" s="3" t="s">
        <v>13</v>
      </c>
      <c r="C964" s="3" t="s">
        <v>18</v>
      </c>
      <c r="D964" s="8" t="str">
        <f>HYPERLINK("http://npthd.inbcu.com/ViewContent.aspx?filename=NPMR_ABC_2017-06-27_E.MP4$3350$3829","THE BACHELORETTE: 1306")</f>
        <v>THE BACHELORETTE: 1306</v>
      </c>
      <c r="E964" s="3" t="s">
        <v>1129</v>
      </c>
      <c r="F964" s="3" t="s">
        <v>718</v>
      </c>
      <c r="G964" s="3" t="s">
        <v>1130</v>
      </c>
    </row>
    <row r="965" spans="1:7">
      <c r="A965" s="6">
        <v>42913</v>
      </c>
      <c r="B965" s="3" t="s">
        <v>13</v>
      </c>
      <c r="C965" s="3" t="s">
        <v>21</v>
      </c>
      <c r="D965" s="8" t="str">
        <f>HYPERLINK("http://npthd.inbcu.com/ViewContent.aspx?filename=NPMR_ABC_2017-06-27_E.MP4$3829$4010","COMMERCIAL")</f>
        <v>COMMERCIAL</v>
      </c>
      <c r="E965" s="3" t="s">
        <v>108</v>
      </c>
      <c r="F965" s="3" t="s">
        <v>1130</v>
      </c>
      <c r="G965" s="3" t="s">
        <v>1131</v>
      </c>
    </row>
    <row r="966" spans="1:7">
      <c r="A966" s="6">
        <v>42913</v>
      </c>
      <c r="B966" s="3" t="s">
        <v>13</v>
      </c>
      <c r="C966" s="3" t="s">
        <v>14</v>
      </c>
      <c r="D966" s="8" t="str">
        <f>HYPERLINK("http://npthd.inbcu.com/ViewContent.aspx?filename=NPMR_ABC_2017-06-27_E.MP4$4010$4024","To Tell the Truth")</f>
        <v>To Tell the Truth</v>
      </c>
      <c r="E966" s="3" t="s">
        <v>342</v>
      </c>
      <c r="F966" s="3" t="s">
        <v>1131</v>
      </c>
      <c r="G966" s="3" t="s">
        <v>1132</v>
      </c>
    </row>
    <row r="967" spans="1:7">
      <c r="A967" s="6">
        <v>42913</v>
      </c>
      <c r="B967" s="3" t="s">
        <v>13</v>
      </c>
      <c r="C967" s="3" t="s">
        <v>14</v>
      </c>
      <c r="D967" s="8" t="str">
        <f>HYPERLINK("http://npthd.inbcu.com/ViewContent.aspx?filename=NPMR_ABC_2017-06-27_E.MP4$4024$4054","Espys")</f>
        <v>Espys</v>
      </c>
      <c r="E967" s="3" t="s">
        <v>38</v>
      </c>
      <c r="F967" s="3" t="s">
        <v>1132</v>
      </c>
      <c r="G967" s="3" t="s">
        <v>1133</v>
      </c>
    </row>
    <row r="968" spans="1:7">
      <c r="A968" s="6">
        <v>42913</v>
      </c>
      <c r="B968" s="3" t="s">
        <v>13</v>
      </c>
      <c r="C968" s="3" t="s">
        <v>32</v>
      </c>
      <c r="D968" s="8" t="str">
        <f>HYPERLINK("http://npthd.inbcu.com/ViewContent.aspx?filename=NPMR_ABC_2017-06-27_E.MP4$4054$4059","LOCAL")</f>
        <v>LOCAL</v>
      </c>
      <c r="E968" s="3" t="s">
        <v>54</v>
      </c>
      <c r="F968" s="3" t="s">
        <v>1133</v>
      </c>
      <c r="G968" s="3" t="s">
        <v>1134</v>
      </c>
    </row>
    <row r="969" spans="1:7">
      <c r="A969" s="6">
        <v>42913</v>
      </c>
      <c r="B969" s="3" t="s">
        <v>13</v>
      </c>
      <c r="C969" s="3" t="s">
        <v>18</v>
      </c>
      <c r="D969" s="8" t="str">
        <f>HYPERLINK("http://npthd.inbcu.com/ViewContent.aspx?filename=NPMR_ABC_2017-06-27_E.MP4$4059$4447","THE BACHELORETTE: 1306")</f>
        <v>THE BACHELORETTE: 1306</v>
      </c>
      <c r="E969" s="3" t="s">
        <v>1135</v>
      </c>
      <c r="F969" s="3" t="s">
        <v>1134</v>
      </c>
      <c r="G969" s="3" t="s">
        <v>451</v>
      </c>
    </row>
    <row r="970" spans="1:7">
      <c r="A970" s="6">
        <v>42913</v>
      </c>
      <c r="B970" s="3" t="s">
        <v>13</v>
      </c>
      <c r="C970" s="3" t="s">
        <v>21</v>
      </c>
      <c r="D970" s="8" t="str">
        <f>HYPERLINK("http://npthd.inbcu.com/ViewContent.aspx?filename=NPMR_ABC_2017-06-27_E.MP4$4447$4597","COMMERCIAL")</f>
        <v>COMMERCIAL</v>
      </c>
      <c r="E970" s="3" t="s">
        <v>28</v>
      </c>
      <c r="F970" s="3" t="s">
        <v>451</v>
      </c>
      <c r="G970" s="3" t="s">
        <v>1136</v>
      </c>
    </row>
    <row r="971" spans="1:7">
      <c r="A971" s="6">
        <v>42913</v>
      </c>
      <c r="B971" s="3" t="s">
        <v>13</v>
      </c>
      <c r="C971" s="3" t="s">
        <v>14</v>
      </c>
      <c r="D971" s="8" t="str">
        <f>HYPERLINK("http://npthd.inbcu.com/ViewContent.aspx?filename=NPMR_ABC_2017-06-27_E.MP4$4597$4627","Battle of the Network Stars")</f>
        <v>Battle of the Network Stars</v>
      </c>
      <c r="E971" s="3" t="s">
        <v>38</v>
      </c>
      <c r="F971" s="3" t="s">
        <v>1136</v>
      </c>
      <c r="G971" s="3" t="s">
        <v>1137</v>
      </c>
    </row>
    <row r="972" spans="1:7">
      <c r="A972" s="6">
        <v>42913</v>
      </c>
      <c r="B972" s="3" t="s">
        <v>13</v>
      </c>
      <c r="C972" s="3" t="s">
        <v>32</v>
      </c>
      <c r="D972" s="8" t="str">
        <f>HYPERLINK("http://npthd.inbcu.com/ViewContent.aspx?filename=NPMR_ABC_2017-06-27_E.MP4$4627$4687","LOCAL")</f>
        <v>LOCAL</v>
      </c>
      <c r="E972" s="3" t="s">
        <v>66</v>
      </c>
      <c r="F972" s="3" t="s">
        <v>1137</v>
      </c>
      <c r="G972" s="3" t="s">
        <v>1138</v>
      </c>
    </row>
    <row r="973" spans="1:7">
      <c r="A973" s="6">
        <v>42913</v>
      </c>
      <c r="B973" s="3" t="s">
        <v>13</v>
      </c>
      <c r="C973" s="3" t="s">
        <v>18</v>
      </c>
      <c r="D973" s="8" t="str">
        <f>HYPERLINK("http://npthd.inbcu.com/ViewContent.aspx?filename=NPMR_ABC_2017-06-27_E.MP4$4687$5211","THE BACHELORETTE: 1306")</f>
        <v>THE BACHELORETTE: 1306</v>
      </c>
      <c r="E973" s="3" t="s">
        <v>1139</v>
      </c>
      <c r="F973" s="3" t="s">
        <v>1138</v>
      </c>
      <c r="G973" s="3" t="s">
        <v>1140</v>
      </c>
    </row>
    <row r="974" spans="1:7">
      <c r="A974" s="6">
        <v>42913</v>
      </c>
      <c r="B974" s="3" t="s">
        <v>13</v>
      </c>
      <c r="C974" s="3" t="s">
        <v>21</v>
      </c>
      <c r="D974" s="8" t="str">
        <f>HYPERLINK("http://npthd.inbcu.com/ViewContent.aspx?filename=NPMR_ABC_2017-06-27_E.MP4$5211$5390","COMMERCIAL")</f>
        <v>COMMERCIAL</v>
      </c>
      <c r="E974" s="3" t="s">
        <v>1141</v>
      </c>
      <c r="F974" s="3" t="s">
        <v>1140</v>
      </c>
      <c r="G974" s="3" t="s">
        <v>1142</v>
      </c>
    </row>
    <row r="975" spans="1:7">
      <c r="A975" s="6">
        <v>42913</v>
      </c>
      <c r="B975" s="3" t="s">
        <v>13</v>
      </c>
      <c r="C975" s="3" t="s">
        <v>14</v>
      </c>
      <c r="D975" s="8" t="str">
        <f>HYPERLINK("http://npthd.inbcu.com/ViewContent.aspx?filename=NPMR_ABC_2017-06-27_E.MP4$5390$5435","Gong Show, The")</f>
        <v>Gong Show, The</v>
      </c>
      <c r="E975" s="3" t="s">
        <v>1143</v>
      </c>
      <c r="F975" s="3" t="s">
        <v>1142</v>
      </c>
      <c r="G975" s="3" t="s">
        <v>1144</v>
      </c>
    </row>
    <row r="976" spans="1:7">
      <c r="A976" s="6">
        <v>42913</v>
      </c>
      <c r="B976" s="3" t="s">
        <v>13</v>
      </c>
      <c r="C976" s="3" t="s">
        <v>18</v>
      </c>
      <c r="D976" s="8" t="str">
        <f>HYPERLINK("http://npthd.inbcu.com/ViewContent.aspx?filename=NPMR_ABC_2017-06-27_E.MP4$5435$5751","THE BACHELORETTE: 1306")</f>
        <v>THE BACHELORETTE: 1306</v>
      </c>
      <c r="E976" s="3" t="s">
        <v>1145</v>
      </c>
      <c r="F976" s="3" t="s">
        <v>1144</v>
      </c>
      <c r="G976" s="3" t="s">
        <v>1146</v>
      </c>
    </row>
    <row r="977" spans="1:7">
      <c r="A977" s="6">
        <v>42913</v>
      </c>
      <c r="B977" s="3" t="s">
        <v>13</v>
      </c>
      <c r="C977" s="3" t="s">
        <v>21</v>
      </c>
      <c r="D977" s="8" t="str">
        <f>HYPERLINK("http://npthd.inbcu.com/ViewContent.aspx?filename=NPMR_ABC_2017-06-27_E.MP4$5751$5901","COMMERCIAL")</f>
        <v>COMMERCIAL</v>
      </c>
      <c r="E977" s="3" t="s">
        <v>28</v>
      </c>
      <c r="F977" s="3" t="s">
        <v>1146</v>
      </c>
      <c r="G977" s="3" t="s">
        <v>1147</v>
      </c>
    </row>
    <row r="978" spans="1:7">
      <c r="A978" s="6">
        <v>42913</v>
      </c>
      <c r="B978" s="3" t="s">
        <v>13</v>
      </c>
      <c r="C978" s="3" t="s">
        <v>14</v>
      </c>
      <c r="D978" s="8" t="str">
        <f>HYPERLINK("http://npthd.inbcu.com/ViewContent.aspx?filename=NPMR_ABC_2017-06-27_E.MP4$5901$5916","Downward Dog")</f>
        <v>Downward Dog</v>
      </c>
      <c r="E978" s="3" t="s">
        <v>30</v>
      </c>
      <c r="F978" s="3" t="s">
        <v>1147</v>
      </c>
      <c r="G978" s="3" t="s">
        <v>1148</v>
      </c>
    </row>
    <row r="979" spans="1:7">
      <c r="A979" s="6">
        <v>42913</v>
      </c>
      <c r="B979" s="3" t="s">
        <v>13</v>
      </c>
      <c r="C979" s="3" t="s">
        <v>32</v>
      </c>
      <c r="D979" s="8" t="str">
        <f>HYPERLINK("http://npthd.inbcu.com/ViewContent.aspx?filename=NPMR_ABC_2017-06-27_E.MP4$5916$5977","LOCAL")</f>
        <v>LOCAL</v>
      </c>
      <c r="E979" s="3" t="s">
        <v>33</v>
      </c>
      <c r="F979" s="3" t="s">
        <v>1148</v>
      </c>
      <c r="G979" s="3" t="s">
        <v>1149</v>
      </c>
    </row>
    <row r="980" spans="1:7">
      <c r="A980" s="6">
        <v>42913</v>
      </c>
      <c r="B980" s="3" t="s">
        <v>13</v>
      </c>
      <c r="C980" s="3" t="s">
        <v>18</v>
      </c>
      <c r="D980" s="8" t="str">
        <f>HYPERLINK("http://npthd.inbcu.com/ViewContent.aspx?filename=NPMR_ABC_2017-06-27_E.MP4$5977$6543","THE BACHELORETTE: 1306")</f>
        <v>THE BACHELORETTE: 1306</v>
      </c>
      <c r="E980" s="3" t="s">
        <v>1150</v>
      </c>
      <c r="F980" s="3" t="s">
        <v>1149</v>
      </c>
      <c r="G980" s="3" t="s">
        <v>1151</v>
      </c>
    </row>
    <row r="981" spans="1:7">
      <c r="A981" s="6">
        <v>42913</v>
      </c>
      <c r="B981" s="3" t="s">
        <v>13</v>
      </c>
      <c r="C981" s="3" t="s">
        <v>21</v>
      </c>
      <c r="D981" s="8" t="str">
        <f>HYPERLINK("http://npthd.inbcu.com/ViewContent.aspx?filename=NPMR_ABC_2017-06-27_E.MP4$6543$6724","COMMERCIAL")</f>
        <v>COMMERCIAL</v>
      </c>
      <c r="E981" s="3" t="s">
        <v>108</v>
      </c>
      <c r="F981" s="3" t="s">
        <v>1151</v>
      </c>
      <c r="G981" s="3" t="s">
        <v>1152</v>
      </c>
    </row>
    <row r="982" spans="1:7">
      <c r="A982" s="6">
        <v>42913</v>
      </c>
      <c r="B982" s="3" t="s">
        <v>13</v>
      </c>
      <c r="C982" s="3" t="s">
        <v>14</v>
      </c>
      <c r="D982" s="8" t="str">
        <f>HYPERLINK("http://npthd.inbcu.com/ViewContent.aspx?filename=NPMR_ABC_2017-06-27_E.MP4$6724$6754","Boy Band")</f>
        <v>Boy Band</v>
      </c>
      <c r="E982" s="3" t="s">
        <v>38</v>
      </c>
      <c r="F982" s="3" t="s">
        <v>1152</v>
      </c>
      <c r="G982" s="3" t="s">
        <v>1153</v>
      </c>
    </row>
    <row r="983" spans="1:7">
      <c r="A983" s="6">
        <v>42913</v>
      </c>
      <c r="B983" s="3" t="s">
        <v>13</v>
      </c>
      <c r="C983" s="3" t="s">
        <v>14</v>
      </c>
      <c r="D983" s="8" t="str">
        <f>HYPERLINK("http://npthd.inbcu.com/ViewContent.aspx?filename=NPMR_ABC_2017-06-27_E.MP4$6754$6784","Battle of the Network Stars")</f>
        <v>Battle of the Network Stars</v>
      </c>
      <c r="E983" s="3" t="s">
        <v>38</v>
      </c>
      <c r="F983" s="3" t="s">
        <v>1153</v>
      </c>
      <c r="G983" s="3" t="s">
        <v>1003</v>
      </c>
    </row>
    <row r="984" spans="1:7">
      <c r="A984" s="6">
        <v>42913</v>
      </c>
      <c r="B984" s="3" t="s">
        <v>13</v>
      </c>
      <c r="C984" s="3" t="s">
        <v>32</v>
      </c>
      <c r="D984" s="8" t="str">
        <f>HYPERLINK("http://npthd.inbcu.com/ViewContent.aspx?filename=NPMR_ABC_2017-06-27_E.MP4$6784$6788","LOCAL")</f>
        <v>LOCAL</v>
      </c>
      <c r="E984" s="3" t="s">
        <v>84</v>
      </c>
      <c r="F984" s="3" t="s">
        <v>1003</v>
      </c>
      <c r="G984" s="3" t="s">
        <v>1154</v>
      </c>
    </row>
    <row r="985" spans="1:7">
      <c r="A985" s="6">
        <v>42913</v>
      </c>
      <c r="B985" s="3" t="s">
        <v>13</v>
      </c>
      <c r="C985" s="3" t="s">
        <v>18</v>
      </c>
      <c r="D985" s="8" t="str">
        <f>HYPERLINK("http://npthd.inbcu.com/ViewContent.aspx?filename=NPMR_ABC_2017-06-27_E.MP4$6788$7388","THE BACHELORETTE: 1306")</f>
        <v>THE BACHELORETTE: 1306</v>
      </c>
      <c r="E985" s="3" t="s">
        <v>1155</v>
      </c>
      <c r="F985" s="3" t="s">
        <v>1154</v>
      </c>
      <c r="G985" s="3" t="s">
        <v>1156</v>
      </c>
    </row>
    <row r="986" spans="1:7">
      <c r="A986" s="6">
        <v>42913</v>
      </c>
      <c r="B986" s="3" t="s">
        <v>13</v>
      </c>
      <c r="C986" s="3" t="s">
        <v>14</v>
      </c>
      <c r="D986" s="8" t="str">
        <f>HYPERLINK("http://npthd.inbcu.com/ViewContent.aspx?filename=NPMR_ABC_2017-06-27_E.MP4$7388$7393","Downward Dog")</f>
        <v>Downward Dog</v>
      </c>
      <c r="E986" s="3" t="s">
        <v>54</v>
      </c>
      <c r="F986" s="3" t="s">
        <v>1156</v>
      </c>
      <c r="G986" s="3" t="s">
        <v>1157</v>
      </c>
    </row>
    <row r="987" spans="1:7">
      <c r="A987" s="6">
        <v>42913</v>
      </c>
      <c r="B987" s="3" t="s">
        <v>13</v>
      </c>
      <c r="C987" s="3" t="s">
        <v>18</v>
      </c>
      <c r="D987" s="8" t="str">
        <f>HYPERLINK("http://npthd.inbcu.com/ViewContent.aspx?filename=NPMR_ABC_2017-06-27_E.MP4$7393$7815","DOWNWARD DOG: getting what you always wanted")</f>
        <v>DOWNWARD DOG: getting what you always wanted</v>
      </c>
      <c r="E987" s="3" t="s">
        <v>1087</v>
      </c>
      <c r="F987" s="3" t="s">
        <v>1157</v>
      </c>
      <c r="G987" s="3" t="s">
        <v>1158</v>
      </c>
    </row>
    <row r="988" spans="1:7">
      <c r="A988" s="6">
        <v>42913</v>
      </c>
      <c r="B988" s="3" t="s">
        <v>13</v>
      </c>
      <c r="C988" s="3" t="s">
        <v>21</v>
      </c>
      <c r="D988" s="8" t="str">
        <f>HYPERLINK("http://npthd.inbcu.com/ViewContent.aspx?filename=NPMR_ABC_2017-06-27_E.MP4$7815$7965","COMMERCIAL")</f>
        <v>COMMERCIAL</v>
      </c>
      <c r="E988" s="3" t="s">
        <v>28</v>
      </c>
      <c r="F988" s="3" t="s">
        <v>1158</v>
      </c>
      <c r="G988" s="3" t="s">
        <v>1159</v>
      </c>
    </row>
    <row r="989" spans="1:7">
      <c r="A989" s="6">
        <v>42913</v>
      </c>
      <c r="B989" s="3" t="s">
        <v>13</v>
      </c>
      <c r="C989" s="3" t="s">
        <v>14</v>
      </c>
      <c r="D989" s="8" t="str">
        <f>HYPERLINK("http://npthd.inbcu.com/ViewContent.aspx?filename=NPMR_ABC_2017-06-27_E.MP4$7965$7980","Battle of the Network Stars")</f>
        <v>Battle of the Network Stars</v>
      </c>
      <c r="E989" s="3" t="s">
        <v>30</v>
      </c>
      <c r="F989" s="3" t="s">
        <v>1159</v>
      </c>
      <c r="G989" s="3" t="s">
        <v>1012</v>
      </c>
    </row>
    <row r="990" spans="1:7">
      <c r="A990" s="6">
        <v>42913</v>
      </c>
      <c r="B990" s="3" t="s">
        <v>13</v>
      </c>
      <c r="C990" s="3" t="s">
        <v>18</v>
      </c>
      <c r="D990" s="8" t="str">
        <f>HYPERLINK("http://npthd.inbcu.com/ViewContent.aspx?filename=NPMR_ABC_2017-06-27_E.MP4$7980$8326","DOWNWARD DOG: getting what you always wanted")</f>
        <v>DOWNWARD DOG: getting what you always wanted</v>
      </c>
      <c r="E990" s="3" t="s">
        <v>578</v>
      </c>
      <c r="F990" s="3" t="s">
        <v>1012</v>
      </c>
      <c r="G990" s="3" t="s">
        <v>1160</v>
      </c>
    </row>
    <row r="991" spans="1:7">
      <c r="A991" s="6">
        <v>42913</v>
      </c>
      <c r="B991" s="3" t="s">
        <v>13</v>
      </c>
      <c r="C991" s="3" t="s">
        <v>21</v>
      </c>
      <c r="D991" s="8" t="str">
        <f>HYPERLINK("http://npthd.inbcu.com/ViewContent.aspx?filename=NPMR_ABC_2017-06-27_E.MP4$8326$8448","COMMERCIAL")</f>
        <v>COMMERCIAL</v>
      </c>
      <c r="E991" s="3" t="s">
        <v>252</v>
      </c>
      <c r="F991" s="3" t="s">
        <v>1160</v>
      </c>
      <c r="G991" s="3" t="s">
        <v>1161</v>
      </c>
    </row>
    <row r="992" spans="1:7">
      <c r="A992" s="6">
        <v>42913</v>
      </c>
      <c r="B992" s="3" t="s">
        <v>13</v>
      </c>
      <c r="C992" s="3" t="s">
        <v>14</v>
      </c>
      <c r="D992" s="8" t="str">
        <f>HYPERLINK("http://npthd.inbcu.com/ViewContent.aspx?filename=NPMR_ABC_2017-06-27_E.MP4$8448$8463","To Tell the Truth")</f>
        <v>To Tell the Truth</v>
      </c>
      <c r="E992" s="3" t="s">
        <v>30</v>
      </c>
      <c r="F992" s="3" t="s">
        <v>1161</v>
      </c>
      <c r="G992" s="3" t="s">
        <v>1162</v>
      </c>
    </row>
    <row r="993" spans="1:7">
      <c r="A993" s="6">
        <v>42913</v>
      </c>
      <c r="B993" s="3" t="s">
        <v>13</v>
      </c>
      <c r="C993" s="3" t="s">
        <v>18</v>
      </c>
      <c r="D993" s="8" t="str">
        <f>HYPERLINK("http://npthd.inbcu.com/ViewContent.aspx?filename=NPMR_ABC_2017-06-27_E.MP4$8463$8912","DOWNWARD DOG: getting what you always wanted")</f>
        <v>DOWNWARD DOG: getting what you always wanted</v>
      </c>
      <c r="E993" s="3" t="s">
        <v>820</v>
      </c>
      <c r="F993" s="3" t="s">
        <v>1162</v>
      </c>
      <c r="G993" s="3" t="s">
        <v>1163</v>
      </c>
    </row>
    <row r="994" spans="1:7">
      <c r="A994" s="6">
        <v>42913</v>
      </c>
      <c r="B994" s="3" t="s">
        <v>13</v>
      </c>
      <c r="C994" s="3" t="s">
        <v>21</v>
      </c>
      <c r="D994" s="8" t="str">
        <f>HYPERLINK("http://npthd.inbcu.com/ViewContent.aspx?filename=NPMR_ABC_2017-06-27_E.MP4$8912$8959","COMMERCIAL")</f>
        <v>COMMERCIAL</v>
      </c>
      <c r="E994" s="3" t="s">
        <v>473</v>
      </c>
      <c r="F994" s="3" t="s">
        <v>1163</v>
      </c>
      <c r="G994" s="3" t="s">
        <v>1164</v>
      </c>
    </row>
    <row r="995" spans="1:7">
      <c r="A995" s="6">
        <v>42913</v>
      </c>
      <c r="B995" s="3" t="s">
        <v>13</v>
      </c>
      <c r="C995" s="3" t="s">
        <v>14</v>
      </c>
      <c r="D995" s="8" t="str">
        <f>HYPERLINK("http://npthd.inbcu.com/ViewContent.aspx?filename=NPMR_ABC_2017-06-27_E.MP4$8959$8974","Gong Show, The")</f>
        <v>Gong Show, The</v>
      </c>
      <c r="E995" s="3" t="s">
        <v>30</v>
      </c>
      <c r="F995" s="3" t="s">
        <v>1164</v>
      </c>
      <c r="G995" s="3" t="s">
        <v>1165</v>
      </c>
    </row>
    <row r="996" spans="1:7">
      <c r="A996" s="6">
        <v>42913</v>
      </c>
      <c r="B996" s="3" t="s">
        <v>13</v>
      </c>
      <c r="C996" s="3" t="s">
        <v>32</v>
      </c>
      <c r="D996" s="8" t="str">
        <f>HYPERLINK("http://npthd.inbcu.com/ViewContent.aspx?filename=NPMR_ABC_2017-06-27_E.MP4$8974$9079","LOCAL")</f>
        <v>LOCAL</v>
      </c>
      <c r="E996" s="3" t="s">
        <v>199</v>
      </c>
      <c r="F996" s="3" t="s">
        <v>1165</v>
      </c>
      <c r="G996" s="3" t="s">
        <v>1166</v>
      </c>
    </row>
    <row r="997" spans="1:7">
      <c r="A997" s="6">
        <v>42913</v>
      </c>
      <c r="B997" s="3" t="s">
        <v>13</v>
      </c>
      <c r="C997" s="3" t="s">
        <v>18</v>
      </c>
      <c r="D997" s="8" t="str">
        <f>HYPERLINK("http://npthd.inbcu.com/ViewContent.aspx?filename=NPMR_ABC_2017-06-27_E.MP4$9079$9127","DOWNWARD DOG: getting what you always wanted")</f>
        <v>DOWNWARD DOG: getting what you always wanted</v>
      </c>
      <c r="E997" s="3" t="s">
        <v>1167</v>
      </c>
      <c r="F997" s="3" t="s">
        <v>1166</v>
      </c>
      <c r="G997" s="3" t="s">
        <v>1168</v>
      </c>
    </row>
    <row r="998" spans="1:7">
      <c r="A998" s="6">
        <v>42913</v>
      </c>
      <c r="B998" s="3" t="s">
        <v>13</v>
      </c>
      <c r="C998" s="3" t="s">
        <v>14</v>
      </c>
      <c r="D998" s="8" t="str">
        <f>HYPERLINK("http://npthd.inbcu.com/ViewContent.aspx?filename=NPMR_ABC_2017-06-27_E.MP4$9127$9133","Downward Dog")</f>
        <v>Downward Dog</v>
      </c>
      <c r="E998" s="3" t="s">
        <v>15</v>
      </c>
      <c r="F998" s="3" t="s">
        <v>1168</v>
      </c>
      <c r="G998" s="3" t="s">
        <v>1169</v>
      </c>
    </row>
    <row r="999" spans="1:7">
      <c r="A999" s="6">
        <v>42913</v>
      </c>
      <c r="B999" s="3" t="s">
        <v>13</v>
      </c>
      <c r="C999" s="3" t="s">
        <v>18</v>
      </c>
      <c r="D999" s="8" t="str">
        <f>HYPERLINK("http://npthd.inbcu.com/ViewContent.aspx?filename=NPMR_ABC_2017-06-27_E.MP4$9133$9476","DOWNWARD DOG: lost")</f>
        <v>DOWNWARD DOG: lost</v>
      </c>
      <c r="E999" s="3" t="s">
        <v>1170</v>
      </c>
      <c r="F999" s="3" t="s">
        <v>1169</v>
      </c>
      <c r="G999" s="3" t="s">
        <v>1171</v>
      </c>
    </row>
    <row r="1000" spans="1:7">
      <c r="A1000" s="6">
        <v>42913</v>
      </c>
      <c r="B1000" s="3" t="s">
        <v>13</v>
      </c>
      <c r="C1000" s="3" t="s">
        <v>21</v>
      </c>
      <c r="D1000" s="8" t="str">
        <f>HYPERLINK("http://npthd.inbcu.com/ViewContent.aspx?filename=NPMR_ABC_2017-06-27_E.MP4$9476$9626","COMMERCIAL")</f>
        <v>COMMERCIAL</v>
      </c>
      <c r="E1000" s="3" t="s">
        <v>28</v>
      </c>
      <c r="F1000" s="3" t="s">
        <v>1171</v>
      </c>
      <c r="G1000" s="3" t="s">
        <v>1172</v>
      </c>
    </row>
    <row r="1001" spans="1:7">
      <c r="A1001" s="6">
        <v>42913</v>
      </c>
      <c r="B1001" s="3" t="s">
        <v>13</v>
      </c>
      <c r="C1001" s="3" t="s">
        <v>14</v>
      </c>
      <c r="D1001" s="8" t="str">
        <f>HYPERLINK("http://npthd.inbcu.com/ViewContent.aspx?filename=NPMR_ABC_2017-06-27_E.MP4$9626$9658","Battle of the Network Stars")</f>
        <v>Battle of the Network Stars</v>
      </c>
      <c r="E1001" s="3" t="s">
        <v>213</v>
      </c>
      <c r="F1001" s="3" t="s">
        <v>1172</v>
      </c>
      <c r="G1001" s="3" t="s">
        <v>1173</v>
      </c>
    </row>
    <row r="1002" spans="1:7">
      <c r="A1002" s="6">
        <v>42913</v>
      </c>
      <c r="B1002" s="3" t="s">
        <v>13</v>
      </c>
      <c r="C1002" s="3" t="s">
        <v>18</v>
      </c>
      <c r="D1002" s="8" t="str">
        <f>HYPERLINK("http://npthd.inbcu.com/ViewContent.aspx?filename=NPMR_ABC_2017-06-27_E.MP4$9658$10037","DOWNWARD DOG: lost")</f>
        <v>DOWNWARD DOG: lost</v>
      </c>
      <c r="E1002" s="3" t="s">
        <v>1174</v>
      </c>
      <c r="F1002" s="3" t="s">
        <v>1173</v>
      </c>
      <c r="G1002" s="3" t="s">
        <v>1175</v>
      </c>
    </row>
    <row r="1003" spans="1:7">
      <c r="A1003" s="6">
        <v>42913</v>
      </c>
      <c r="B1003" s="3" t="s">
        <v>13</v>
      </c>
      <c r="C1003" s="3" t="s">
        <v>21</v>
      </c>
      <c r="D1003" s="8" t="str">
        <f>HYPERLINK("http://npthd.inbcu.com/ViewContent.aspx?filename=NPMR_ABC_2017-06-27_E.MP4$10037$10112","COMMERCIAL")</f>
        <v>COMMERCIAL</v>
      </c>
      <c r="E1003" s="3" t="s">
        <v>531</v>
      </c>
      <c r="F1003" s="3" t="s">
        <v>1175</v>
      </c>
      <c r="G1003" s="3" t="s">
        <v>1099</v>
      </c>
    </row>
    <row r="1004" spans="1:7">
      <c r="A1004" s="6">
        <v>42913</v>
      </c>
      <c r="B1004" s="3" t="s">
        <v>13</v>
      </c>
      <c r="C1004" s="3" t="s">
        <v>14</v>
      </c>
      <c r="D1004" s="8" t="str">
        <f>HYPERLINK("http://npthd.inbcu.com/ViewContent.aspx?filename=NPMR_ABC_2017-06-27_E.MP4$10112$10143","Boy Band")</f>
        <v>Boy Band</v>
      </c>
      <c r="E1004" s="3" t="s">
        <v>98</v>
      </c>
      <c r="F1004" s="3" t="s">
        <v>1099</v>
      </c>
      <c r="G1004" s="3" t="s">
        <v>1176</v>
      </c>
    </row>
    <row r="1005" spans="1:7">
      <c r="A1005" s="6">
        <v>42913</v>
      </c>
      <c r="B1005" s="3" t="s">
        <v>13</v>
      </c>
      <c r="C1005" s="3" t="s">
        <v>32</v>
      </c>
      <c r="D1005" s="8" t="str">
        <f>HYPERLINK("http://npthd.inbcu.com/ViewContent.aspx?filename=NPMR_ABC_2017-06-27_E.MP4$10143$10233","LOCAL")</f>
        <v>LOCAL</v>
      </c>
      <c r="E1005" s="3" t="s">
        <v>46</v>
      </c>
      <c r="F1005" s="3" t="s">
        <v>1176</v>
      </c>
      <c r="G1005" s="3" t="s">
        <v>496</v>
      </c>
    </row>
    <row r="1006" spans="1:7">
      <c r="A1006" s="6">
        <v>42913</v>
      </c>
      <c r="B1006" s="3" t="s">
        <v>13</v>
      </c>
      <c r="C1006" s="3" t="s">
        <v>18</v>
      </c>
      <c r="D1006" s="8" t="str">
        <f>HYPERLINK("http://npthd.inbcu.com/ViewContent.aspx?filename=NPMR_ABC_2017-06-27_E.MP4$10233$10733","DOWNWARD DOG: lost")</f>
        <v>DOWNWARD DOG: lost</v>
      </c>
      <c r="E1006" s="3" t="s">
        <v>889</v>
      </c>
      <c r="F1006" s="3" t="s">
        <v>496</v>
      </c>
      <c r="G1006" s="3" t="s">
        <v>1177</v>
      </c>
    </row>
    <row r="1007" spans="1:7">
      <c r="A1007" s="6">
        <v>42913</v>
      </c>
      <c r="B1007" s="3" t="s">
        <v>13</v>
      </c>
      <c r="C1007" s="3" t="s">
        <v>32</v>
      </c>
      <c r="D1007" s="8" t="str">
        <f>HYPERLINK("http://npthd.inbcu.com/ViewContent.aspx?filename=NPMR_ABC_2017-06-27_E.MP4$10733$10750","LOCAL")</f>
        <v>LOCAL</v>
      </c>
      <c r="E1007" s="3" t="s">
        <v>576</v>
      </c>
      <c r="F1007" s="3" t="s">
        <v>1177</v>
      </c>
      <c r="G1007" s="3" t="s">
        <v>1178</v>
      </c>
    </row>
    <row r="1008" spans="1:7">
      <c r="A1008" s="6">
        <v>42913</v>
      </c>
      <c r="B1008" s="3" t="s">
        <v>13</v>
      </c>
      <c r="C1008" s="3" t="s">
        <v>21</v>
      </c>
      <c r="D1008" s="8" t="str">
        <f>HYPERLINK("http://npthd.inbcu.com/ViewContent.aspx?filename=NPMR_ABC_2017-06-27_E.MP4$10750$10842","COMMERCIAL")</f>
        <v>COMMERCIAL</v>
      </c>
      <c r="E1008" s="3" t="s">
        <v>267</v>
      </c>
      <c r="F1008" s="3" t="s">
        <v>1178</v>
      </c>
      <c r="G1008" s="3" t="s">
        <v>1179</v>
      </c>
    </row>
    <row r="1009" spans="1:7">
      <c r="A1009" s="6">
        <v>42913</v>
      </c>
      <c r="B1009" s="3" t="s">
        <v>13</v>
      </c>
      <c r="C1009" s="3" t="s">
        <v>14</v>
      </c>
      <c r="D1009" s="8" t="str">
        <f>HYPERLINK("http://npthd.inbcu.com/ViewContent.aspx?filename=NPMR_ABC_2017-06-27_E.MP4$10842$10871","Gong Show, The")</f>
        <v>Gong Show, The</v>
      </c>
      <c r="E1009" s="3" t="s">
        <v>24</v>
      </c>
      <c r="F1009" s="3" t="s">
        <v>1179</v>
      </c>
      <c r="G1009" s="3" t="s">
        <v>1180</v>
      </c>
    </row>
    <row r="1010" spans="1:7">
      <c r="A1010" s="6">
        <v>42913</v>
      </c>
      <c r="B1010" s="3" t="s">
        <v>13</v>
      </c>
      <c r="C1010" s="3" t="s">
        <v>18</v>
      </c>
      <c r="D1010" s="8" t="str">
        <f>HYPERLINK("http://npthd.inbcu.com/ViewContent.aspx?filename=NPMR_ABC_2017-06-27_E.MP4$10871$10913","DOWNWARD DOG: lost")</f>
        <v>DOWNWARD DOG: lost</v>
      </c>
      <c r="E1010" s="3" t="s">
        <v>512</v>
      </c>
      <c r="F1010" s="3" t="s">
        <v>1180</v>
      </c>
      <c r="G1010" s="3" t="s">
        <v>1181</v>
      </c>
    </row>
    <row r="1011" spans="1:7">
      <c r="A1011" s="6">
        <v>42913</v>
      </c>
      <c r="B1011" s="3" t="s">
        <v>13</v>
      </c>
      <c r="C1011" s="3" t="s">
        <v>32</v>
      </c>
      <c r="D1011" s="8" t="str">
        <f>HYPERLINK("http://npthd.inbcu.com/ViewContent.aspx?filename=NPMR_ABC_2017-06-27_E.MP4$10913$10929","LOCAL")</f>
        <v>LOCAL</v>
      </c>
      <c r="E1011" s="3" t="s">
        <v>64</v>
      </c>
      <c r="F1011" s="3" t="s">
        <v>1181</v>
      </c>
      <c r="G1011" s="3" t="s">
        <v>124</v>
      </c>
    </row>
    <row r="1012" spans="1:7">
      <c r="A1012" s="6">
        <v>42914</v>
      </c>
      <c r="B1012" s="3" t="s">
        <v>13</v>
      </c>
      <c r="C1012" s="3" t="s">
        <v>14</v>
      </c>
      <c r="D1012" s="8" t="str">
        <f>HYPERLINK("http://npthd.inbcu.com/ViewContent.aspx?filename=NPMR_ABC_2017-06-28_E.MP4$127$132","ABC Open")</f>
        <v>ABC Open</v>
      </c>
      <c r="E1012" s="3" t="s">
        <v>54</v>
      </c>
      <c r="F1012" s="3" t="s">
        <v>16</v>
      </c>
      <c r="G1012" s="3" t="s">
        <v>125</v>
      </c>
    </row>
    <row r="1013" spans="1:7">
      <c r="A1013" s="6">
        <v>42914</v>
      </c>
      <c r="B1013" s="3" t="s">
        <v>13</v>
      </c>
      <c r="C1013" s="3" t="s">
        <v>18</v>
      </c>
      <c r="D1013" s="8" t="str">
        <f>HYPERLINK("http://npthd.inbcu.com/ViewContent.aspx?filename=NPMR_ABC_2017-06-28_E.MP4$132$763","THE GOLDBERGS: fonzie scheme")</f>
        <v>THE GOLDBERGS: fonzie scheme</v>
      </c>
      <c r="E1013" s="3" t="s">
        <v>1182</v>
      </c>
      <c r="F1013" s="3" t="s">
        <v>125</v>
      </c>
      <c r="G1013" s="3" t="s">
        <v>1183</v>
      </c>
    </row>
    <row r="1014" spans="1:7">
      <c r="A1014" s="6">
        <v>42914</v>
      </c>
      <c r="B1014" s="3" t="s">
        <v>13</v>
      </c>
      <c r="C1014" s="3" t="s">
        <v>21</v>
      </c>
      <c r="D1014" s="8" t="str">
        <f>HYPERLINK("http://npthd.inbcu.com/ViewContent.aspx?filename=NPMR_ABC_2017-06-28_E.MP4$763$883","COMMERCIAL")</f>
        <v>COMMERCIAL</v>
      </c>
      <c r="E1014" s="3" t="s">
        <v>43</v>
      </c>
      <c r="F1014" s="3" t="s">
        <v>1183</v>
      </c>
      <c r="G1014" s="3" t="s">
        <v>1184</v>
      </c>
    </row>
    <row r="1015" spans="1:7">
      <c r="A1015" s="6">
        <v>42914</v>
      </c>
      <c r="B1015" s="3" t="s">
        <v>13</v>
      </c>
      <c r="C1015" s="3" t="s">
        <v>14</v>
      </c>
      <c r="D1015" s="8" t="str">
        <f>HYPERLINK("http://npthd.inbcu.com/ViewContent.aspx?filename=NPMR_ABC_2017-06-28_E.MP4$883$898","To Tell the Truth")</f>
        <v>To Tell the Truth</v>
      </c>
      <c r="E1015" s="3" t="s">
        <v>30</v>
      </c>
      <c r="F1015" s="3" t="s">
        <v>1184</v>
      </c>
      <c r="G1015" s="3" t="s">
        <v>1185</v>
      </c>
    </row>
    <row r="1016" spans="1:7">
      <c r="A1016" s="6">
        <v>42914</v>
      </c>
      <c r="B1016" s="3" t="s">
        <v>13</v>
      </c>
      <c r="C1016" s="3" t="s">
        <v>14</v>
      </c>
      <c r="D1016" s="8" t="str">
        <f>HYPERLINK("http://npthd.inbcu.com/ViewContent.aspx?filename=NPMR_ABC_2017-06-28_E.MP4$898$928","Battle of the Network Stars")</f>
        <v>Battle of the Network Stars</v>
      </c>
      <c r="E1016" s="3" t="s">
        <v>38</v>
      </c>
      <c r="F1016" s="3" t="s">
        <v>1185</v>
      </c>
      <c r="G1016" s="3" t="s">
        <v>1043</v>
      </c>
    </row>
    <row r="1017" spans="1:7">
      <c r="A1017" s="6">
        <v>42914</v>
      </c>
      <c r="B1017" s="3" t="s">
        <v>13</v>
      </c>
      <c r="C1017" s="3" t="s">
        <v>18</v>
      </c>
      <c r="D1017" s="8" t="str">
        <f>HYPERLINK("http://npthd.inbcu.com/ViewContent.aspx?filename=NPMR_ABC_2017-06-28_E.MP4$928$1281","THE GOLDBERGS: fonzie scheme")</f>
        <v>THE GOLDBERGS: fonzie scheme</v>
      </c>
      <c r="E1017" s="3" t="s">
        <v>1186</v>
      </c>
      <c r="F1017" s="3" t="s">
        <v>1043</v>
      </c>
      <c r="G1017" s="3" t="s">
        <v>1187</v>
      </c>
    </row>
    <row r="1018" spans="1:7">
      <c r="A1018" s="6">
        <v>42914</v>
      </c>
      <c r="B1018" s="3" t="s">
        <v>13</v>
      </c>
      <c r="C1018" s="3" t="s">
        <v>21</v>
      </c>
      <c r="D1018" s="8" t="str">
        <f>HYPERLINK("http://npthd.inbcu.com/ViewContent.aspx?filename=NPMR_ABC_2017-06-28_E.MP4$1281$1385","COMMERCIAL")</f>
        <v>COMMERCIAL</v>
      </c>
      <c r="E1018" s="3" t="s">
        <v>1188</v>
      </c>
      <c r="F1018" s="3" t="s">
        <v>1187</v>
      </c>
      <c r="G1018" s="3" t="s">
        <v>612</v>
      </c>
    </row>
    <row r="1019" spans="1:7">
      <c r="A1019" s="6">
        <v>42914</v>
      </c>
      <c r="B1019" s="3" t="s">
        <v>13</v>
      </c>
      <c r="C1019" s="3" t="s">
        <v>14</v>
      </c>
      <c r="D1019" s="8" t="str">
        <f>HYPERLINK("http://npthd.inbcu.com/ViewContent.aspx?filename=NPMR_ABC_2017-06-28_E.MP4$1385$1416","Boy Band")</f>
        <v>Boy Band</v>
      </c>
      <c r="E1019" s="3" t="s">
        <v>98</v>
      </c>
      <c r="F1019" s="3" t="s">
        <v>612</v>
      </c>
      <c r="G1019" s="3" t="s">
        <v>1189</v>
      </c>
    </row>
    <row r="1020" spans="1:7">
      <c r="A1020" s="6">
        <v>42914</v>
      </c>
      <c r="B1020" s="3" t="s">
        <v>13</v>
      </c>
      <c r="C1020" s="3" t="s">
        <v>32</v>
      </c>
      <c r="D1020" s="8" t="str">
        <f>HYPERLINK("http://npthd.inbcu.com/ViewContent.aspx?filename=NPMR_ABC_2017-06-28_E.MP4$1416$1477","LOCAL")</f>
        <v>LOCAL</v>
      </c>
      <c r="E1020" s="3" t="s">
        <v>33</v>
      </c>
      <c r="F1020" s="3" t="s">
        <v>1189</v>
      </c>
      <c r="G1020" s="3" t="s">
        <v>1190</v>
      </c>
    </row>
    <row r="1021" spans="1:7">
      <c r="A1021" s="6">
        <v>42914</v>
      </c>
      <c r="B1021" s="3" t="s">
        <v>13</v>
      </c>
      <c r="C1021" s="3" t="s">
        <v>18</v>
      </c>
      <c r="D1021" s="8" t="str">
        <f>HYPERLINK("http://npthd.inbcu.com/ViewContent.aspx?filename=NPMR_ABC_2017-06-28_E.MP4$1477$1723","THE GOLDBERGS: fonzie scheme")</f>
        <v>THE GOLDBERGS: fonzie scheme</v>
      </c>
      <c r="E1021" s="3" t="s">
        <v>1191</v>
      </c>
      <c r="F1021" s="3" t="s">
        <v>1190</v>
      </c>
      <c r="G1021" s="3" t="s">
        <v>1192</v>
      </c>
    </row>
    <row r="1022" spans="1:7">
      <c r="A1022" s="6">
        <v>42914</v>
      </c>
      <c r="B1022" s="3" t="s">
        <v>13</v>
      </c>
      <c r="C1022" s="3" t="s">
        <v>21</v>
      </c>
      <c r="D1022" s="8" t="str">
        <f>HYPERLINK("http://npthd.inbcu.com/ViewContent.aspx?filename=NPMR_ABC_2017-06-28_E.MP4$1723$1873","COMMERCIAL")</f>
        <v>COMMERCIAL</v>
      </c>
      <c r="E1022" s="3" t="s">
        <v>28</v>
      </c>
      <c r="F1022" s="3" t="s">
        <v>1192</v>
      </c>
      <c r="G1022" s="3" t="s">
        <v>1193</v>
      </c>
    </row>
    <row r="1023" spans="1:7">
      <c r="A1023" s="6">
        <v>42914</v>
      </c>
      <c r="B1023" s="3" t="s">
        <v>13</v>
      </c>
      <c r="C1023" s="3" t="s">
        <v>14</v>
      </c>
      <c r="D1023" s="8" t="str">
        <f>HYPERLINK("http://npthd.inbcu.com/ViewContent.aspx?filename=NPMR_ABC_2017-06-28_E.MP4$1873$1888","Gong Show, The")</f>
        <v>Gong Show, The</v>
      </c>
      <c r="E1023" s="3" t="s">
        <v>30</v>
      </c>
      <c r="F1023" s="3" t="s">
        <v>1193</v>
      </c>
      <c r="G1023" s="3" t="s">
        <v>1194</v>
      </c>
    </row>
    <row r="1024" spans="1:7">
      <c r="A1024" s="6">
        <v>42914</v>
      </c>
      <c r="B1024" s="3" t="s">
        <v>13</v>
      </c>
      <c r="C1024" s="3" t="s">
        <v>18</v>
      </c>
      <c r="D1024" s="8" t="str">
        <f>HYPERLINK("http://npthd.inbcu.com/ViewContent.aspx?filename=NPMR_ABC_2017-06-28_E.MP4$1888$1927","THE GOLDBERGS: fonzie scheme")</f>
        <v>THE GOLDBERGS: fonzie scheme</v>
      </c>
      <c r="E1024" s="3" t="s">
        <v>603</v>
      </c>
      <c r="F1024" s="3" t="s">
        <v>1194</v>
      </c>
      <c r="G1024" s="3" t="s">
        <v>513</v>
      </c>
    </row>
    <row r="1025" spans="1:7">
      <c r="A1025" s="6">
        <v>42914</v>
      </c>
      <c r="B1025" s="3" t="s">
        <v>13</v>
      </c>
      <c r="C1025" s="3" t="s">
        <v>14</v>
      </c>
      <c r="D1025" s="8" t="str">
        <f>HYPERLINK("http://npthd.inbcu.com/ViewContent.aspx?filename=NPMR_ABC_2017-06-28_E.MP4$1927$1932","Speechless")</f>
        <v>Speechless</v>
      </c>
      <c r="E1025" s="3" t="s">
        <v>54</v>
      </c>
      <c r="F1025" s="3" t="s">
        <v>513</v>
      </c>
      <c r="G1025" s="3" t="s">
        <v>620</v>
      </c>
    </row>
    <row r="1026" spans="1:7">
      <c r="A1026" s="6">
        <v>42914</v>
      </c>
      <c r="B1026" s="3" t="s">
        <v>13</v>
      </c>
      <c r="C1026" s="3" t="s">
        <v>18</v>
      </c>
      <c r="D1026" s="8" t="str">
        <f>HYPERLINK("http://npthd.inbcu.com/ViewContent.aspx?filename=NPMR_ABC_2017-06-28_E.MP4$1932$2428","SPEECHLESS: d-a-t-e--date?")</f>
        <v>SPEECHLESS: d-a-t-e--date?</v>
      </c>
      <c r="E1026" s="3" t="s">
        <v>784</v>
      </c>
      <c r="F1026" s="3" t="s">
        <v>620</v>
      </c>
      <c r="G1026" s="3" t="s">
        <v>1195</v>
      </c>
    </row>
    <row r="1027" spans="1:7">
      <c r="A1027" s="6">
        <v>42914</v>
      </c>
      <c r="B1027" s="3" t="s">
        <v>13</v>
      </c>
      <c r="C1027" s="3" t="s">
        <v>21</v>
      </c>
      <c r="D1027" s="8" t="str">
        <f>HYPERLINK("http://npthd.inbcu.com/ViewContent.aspx?filename=NPMR_ABC_2017-06-28_E.MP4$2428$2578","COMMERCIAL")</f>
        <v>COMMERCIAL</v>
      </c>
      <c r="E1027" s="3" t="s">
        <v>28</v>
      </c>
      <c r="F1027" s="3" t="s">
        <v>1195</v>
      </c>
      <c r="G1027" s="3" t="s">
        <v>1196</v>
      </c>
    </row>
    <row r="1028" spans="1:7">
      <c r="A1028" s="6">
        <v>42914</v>
      </c>
      <c r="B1028" s="3" t="s">
        <v>13</v>
      </c>
      <c r="C1028" s="3" t="s">
        <v>14</v>
      </c>
      <c r="D1028" s="8" t="str">
        <f>HYPERLINK("http://npthd.inbcu.com/ViewContent.aspx?filename=NPMR_ABC_2017-06-28_E.MP4$2578$2608","Battle of the Network Stars")</f>
        <v>Battle of the Network Stars</v>
      </c>
      <c r="E1028" s="3" t="s">
        <v>38</v>
      </c>
      <c r="F1028" s="3" t="s">
        <v>1196</v>
      </c>
      <c r="G1028" s="3" t="s">
        <v>1197</v>
      </c>
    </row>
    <row r="1029" spans="1:7">
      <c r="A1029" s="6">
        <v>42914</v>
      </c>
      <c r="B1029" s="3" t="s">
        <v>13</v>
      </c>
      <c r="C1029" s="3" t="s">
        <v>18</v>
      </c>
      <c r="D1029" s="8" t="str">
        <f>HYPERLINK("http://npthd.inbcu.com/ViewContent.aspx?filename=NPMR_ABC_2017-06-28_E.MP4$2608$2902","SPEECHLESS: d-a-t-e--date?")</f>
        <v>SPEECHLESS: d-a-t-e--date?</v>
      </c>
      <c r="E1029" s="3" t="s">
        <v>1198</v>
      </c>
      <c r="F1029" s="3" t="s">
        <v>1197</v>
      </c>
      <c r="G1029" s="3" t="s">
        <v>1199</v>
      </c>
    </row>
    <row r="1030" spans="1:7">
      <c r="A1030" s="6">
        <v>42914</v>
      </c>
      <c r="B1030" s="3" t="s">
        <v>13</v>
      </c>
      <c r="C1030" s="3" t="s">
        <v>14</v>
      </c>
      <c r="D1030" s="8" t="str">
        <f>HYPERLINK("http://npthd.inbcu.com/ViewContent.aspx?filename=NPMR_ABC_2017-06-28_E.MP4$2902$2908","Gong Show, The")</f>
        <v>Gong Show, The</v>
      </c>
      <c r="E1030" s="3" t="s">
        <v>15</v>
      </c>
      <c r="F1030" s="3" t="s">
        <v>1199</v>
      </c>
      <c r="G1030" s="3" t="s">
        <v>1200</v>
      </c>
    </row>
    <row r="1031" spans="1:7">
      <c r="A1031" s="6">
        <v>42914</v>
      </c>
      <c r="B1031" s="3" t="s">
        <v>13</v>
      </c>
      <c r="C1031" s="3" t="s">
        <v>21</v>
      </c>
      <c r="D1031" s="8" t="str">
        <f>HYPERLINK("http://npthd.inbcu.com/ViewContent.aspx?filename=NPMR_ABC_2017-06-28_E.MP4$2908$3027","COMMERCIAL")</f>
        <v>COMMERCIAL</v>
      </c>
      <c r="E1031" s="3" t="s">
        <v>119</v>
      </c>
      <c r="F1031" s="3" t="s">
        <v>1200</v>
      </c>
      <c r="G1031" s="3" t="s">
        <v>1201</v>
      </c>
    </row>
    <row r="1032" spans="1:7">
      <c r="A1032" s="6">
        <v>42914</v>
      </c>
      <c r="B1032" s="3" t="s">
        <v>13</v>
      </c>
      <c r="C1032" s="3" t="s">
        <v>14</v>
      </c>
      <c r="D1032" s="8" t="str">
        <f>HYPERLINK("http://npthd.inbcu.com/ViewContent.aspx?filename=NPMR_ABC_2017-06-28_E.MP4$3027$3033","Espys")</f>
        <v>Espys</v>
      </c>
      <c r="E1032" s="3" t="s">
        <v>15</v>
      </c>
      <c r="F1032" s="3" t="s">
        <v>1201</v>
      </c>
      <c r="G1032" s="3" t="s">
        <v>1202</v>
      </c>
    </row>
    <row r="1033" spans="1:7">
      <c r="A1033" s="6">
        <v>42914</v>
      </c>
      <c r="B1033" s="3" t="s">
        <v>13</v>
      </c>
      <c r="C1033" s="3" t="s">
        <v>32</v>
      </c>
      <c r="D1033" s="8" t="str">
        <f>HYPERLINK("http://npthd.inbcu.com/ViewContent.aspx?filename=NPMR_ABC_2017-06-28_E.MP4$3033$3094","LOCAL")</f>
        <v>LOCAL</v>
      </c>
      <c r="E1033" s="3" t="s">
        <v>33</v>
      </c>
      <c r="F1033" s="3" t="s">
        <v>1202</v>
      </c>
      <c r="G1033" s="3" t="s">
        <v>1203</v>
      </c>
    </row>
    <row r="1034" spans="1:7">
      <c r="A1034" s="6">
        <v>42914</v>
      </c>
      <c r="B1034" s="3" t="s">
        <v>13</v>
      </c>
      <c r="C1034" s="3" t="s">
        <v>18</v>
      </c>
      <c r="D1034" s="8" t="str">
        <f>HYPERLINK("http://npthd.inbcu.com/ViewContent.aspx?filename=NPMR_ABC_2017-06-28_E.MP4$3094$3274","SPEECHLESS: d-a-t-e--date?")</f>
        <v>SPEECHLESS: d-a-t-e--date?</v>
      </c>
      <c r="E1034" s="3" t="s">
        <v>22</v>
      </c>
      <c r="F1034" s="3" t="s">
        <v>1203</v>
      </c>
      <c r="G1034" s="3" t="s">
        <v>875</v>
      </c>
    </row>
    <row r="1035" spans="1:7">
      <c r="A1035" s="6">
        <v>42914</v>
      </c>
      <c r="B1035" s="3" t="s">
        <v>13</v>
      </c>
      <c r="C1035" s="3" t="s">
        <v>21</v>
      </c>
      <c r="D1035" s="8" t="str">
        <f>HYPERLINK("http://npthd.inbcu.com/ViewContent.aspx?filename=NPMR_ABC_2017-06-28_E.MP4$3274$3394","COMMERCIAL")</f>
        <v>COMMERCIAL</v>
      </c>
      <c r="E1035" s="3" t="s">
        <v>43</v>
      </c>
      <c r="F1035" s="3" t="s">
        <v>875</v>
      </c>
      <c r="G1035" s="3" t="s">
        <v>1204</v>
      </c>
    </row>
    <row r="1036" spans="1:7">
      <c r="A1036" s="6">
        <v>42914</v>
      </c>
      <c r="B1036" s="3" t="s">
        <v>13</v>
      </c>
      <c r="C1036" s="3" t="s">
        <v>14</v>
      </c>
      <c r="D1036" s="8" t="str">
        <f>HYPERLINK("http://npthd.inbcu.com/ViewContent.aspx?filename=NPMR_ABC_2017-06-28_E.MP4$3394$3424","Boy Band")</f>
        <v>Boy Band</v>
      </c>
      <c r="E1036" s="3" t="s">
        <v>38</v>
      </c>
      <c r="F1036" s="3" t="s">
        <v>1204</v>
      </c>
      <c r="G1036" s="3" t="s">
        <v>1205</v>
      </c>
    </row>
    <row r="1037" spans="1:7">
      <c r="A1037" s="6">
        <v>42914</v>
      </c>
      <c r="B1037" s="3" t="s">
        <v>13</v>
      </c>
      <c r="C1037" s="3" t="s">
        <v>32</v>
      </c>
      <c r="D1037" s="8" t="str">
        <f>HYPERLINK("http://npthd.inbcu.com/ViewContent.aspx?filename=NPMR_ABC_2017-06-28_E.MP4$3424$3429","LOCAL")</f>
        <v>LOCAL</v>
      </c>
      <c r="E1037" s="3" t="s">
        <v>54</v>
      </c>
      <c r="F1037" s="3" t="s">
        <v>1205</v>
      </c>
      <c r="G1037" s="3" t="s">
        <v>1206</v>
      </c>
    </row>
    <row r="1038" spans="1:7">
      <c r="A1038" s="6">
        <v>42914</v>
      </c>
      <c r="B1038" s="3" t="s">
        <v>13</v>
      </c>
      <c r="C1038" s="3" t="s">
        <v>18</v>
      </c>
      <c r="D1038" s="8" t="str">
        <f>HYPERLINK("http://npthd.inbcu.com/ViewContent.aspx?filename=NPMR_ABC_2017-06-28_E.MP4$3429$3727","SPEECHLESS: d-a-t-e--date?")</f>
        <v>SPEECHLESS: d-a-t-e--date?</v>
      </c>
      <c r="E1038" s="3" t="s">
        <v>1207</v>
      </c>
      <c r="F1038" s="3" t="s">
        <v>1206</v>
      </c>
      <c r="G1038" s="3" t="s">
        <v>242</v>
      </c>
    </row>
    <row r="1039" spans="1:7">
      <c r="A1039" s="6">
        <v>42914</v>
      </c>
      <c r="B1039" s="3" t="s">
        <v>13</v>
      </c>
      <c r="C1039" s="3" t="s">
        <v>14</v>
      </c>
      <c r="D1039" s="8" t="str">
        <f>HYPERLINK("http://npthd.inbcu.com/ViewContent.aspx?filename=NPMR_ABC_2017-06-28_E.MP4$3727$3732","Modern Family")</f>
        <v>Modern Family</v>
      </c>
      <c r="E1039" s="3" t="s">
        <v>54</v>
      </c>
      <c r="F1039" s="3" t="s">
        <v>242</v>
      </c>
      <c r="G1039" s="3" t="s">
        <v>243</v>
      </c>
    </row>
    <row r="1040" spans="1:7">
      <c r="A1040" s="6">
        <v>42914</v>
      </c>
      <c r="B1040" s="3" t="s">
        <v>13</v>
      </c>
      <c r="C1040" s="3" t="s">
        <v>18</v>
      </c>
      <c r="D1040" s="8" t="str">
        <f>HYPERLINK("http://npthd.inbcu.com/ViewContent.aspx?filename=NPMR_ABC_2017-06-28_E.MP4$3732$4146","MODERN FAMILY: blindsided")</f>
        <v>MODERN FAMILY: blindsided</v>
      </c>
      <c r="E1040" s="3" t="s">
        <v>1208</v>
      </c>
      <c r="F1040" s="3" t="s">
        <v>243</v>
      </c>
      <c r="G1040" s="3" t="s">
        <v>1209</v>
      </c>
    </row>
    <row r="1041" spans="1:7">
      <c r="A1041" s="6">
        <v>42914</v>
      </c>
      <c r="B1041" s="3" t="s">
        <v>13</v>
      </c>
      <c r="C1041" s="3" t="s">
        <v>21</v>
      </c>
      <c r="D1041" s="8" t="str">
        <f>HYPERLINK("http://npthd.inbcu.com/ViewContent.aspx?filename=NPMR_ABC_2017-06-28_E.MP4$4146$4297","COMMERCIAL")</f>
        <v>COMMERCIAL</v>
      </c>
      <c r="E1041" s="3" t="s">
        <v>91</v>
      </c>
      <c r="F1041" s="3" t="s">
        <v>1209</v>
      </c>
      <c r="G1041" s="3" t="s">
        <v>1210</v>
      </c>
    </row>
    <row r="1042" spans="1:7">
      <c r="A1042" s="6">
        <v>42914</v>
      </c>
      <c r="B1042" s="3" t="s">
        <v>13</v>
      </c>
      <c r="C1042" s="3" t="s">
        <v>14</v>
      </c>
      <c r="D1042" s="8" t="str">
        <f>HYPERLINK("http://npthd.inbcu.com/ViewContent.aspx?filename=NPMR_ABC_2017-06-28_E.MP4$4297$4327","Battle of the Network Stars")</f>
        <v>Battle of the Network Stars</v>
      </c>
      <c r="E1042" s="3" t="s">
        <v>38</v>
      </c>
      <c r="F1042" s="3" t="s">
        <v>1210</v>
      </c>
      <c r="G1042" s="3" t="s">
        <v>1211</v>
      </c>
    </row>
    <row r="1043" spans="1:7">
      <c r="A1043" s="6">
        <v>42914</v>
      </c>
      <c r="B1043" s="3" t="s">
        <v>13</v>
      </c>
      <c r="C1043" s="3" t="s">
        <v>14</v>
      </c>
      <c r="D1043" s="8" t="str">
        <f>HYPERLINK("http://npthd.inbcu.com/ViewContent.aspx?filename=NPMR_ABC_2017-06-28_E.MP4$4327$4342","Gong Show, The")</f>
        <v>Gong Show, The</v>
      </c>
      <c r="E1043" s="3" t="s">
        <v>30</v>
      </c>
      <c r="F1043" s="3" t="s">
        <v>1211</v>
      </c>
      <c r="G1043" s="3" t="s">
        <v>1212</v>
      </c>
    </row>
    <row r="1044" spans="1:7">
      <c r="A1044" s="6">
        <v>42914</v>
      </c>
      <c r="B1044" s="3" t="s">
        <v>13</v>
      </c>
      <c r="C1044" s="3" t="s">
        <v>18</v>
      </c>
      <c r="D1044" s="8" t="str">
        <f>HYPERLINK("http://npthd.inbcu.com/ViewContent.aspx?filename=NPMR_ABC_2017-06-28_E.MP4$4342$4826","MODERN FAMILY: blindsided")</f>
        <v>MODERN FAMILY: blindsided</v>
      </c>
      <c r="E1044" s="3" t="s">
        <v>73</v>
      </c>
      <c r="F1044" s="3" t="s">
        <v>1212</v>
      </c>
      <c r="G1044" s="3" t="s">
        <v>1213</v>
      </c>
    </row>
    <row r="1045" spans="1:7">
      <c r="A1045" s="6">
        <v>42914</v>
      </c>
      <c r="B1045" s="3" t="s">
        <v>13</v>
      </c>
      <c r="C1045" s="3" t="s">
        <v>21</v>
      </c>
      <c r="D1045" s="8" t="str">
        <f>HYPERLINK("http://npthd.inbcu.com/ViewContent.aspx?filename=NPMR_ABC_2017-06-28_E.MP4$4826$4947","COMMERCIAL")</f>
        <v>COMMERCIAL</v>
      </c>
      <c r="E1045" s="3" t="s">
        <v>175</v>
      </c>
      <c r="F1045" s="3" t="s">
        <v>1213</v>
      </c>
      <c r="G1045" s="3" t="s">
        <v>542</v>
      </c>
    </row>
    <row r="1046" spans="1:7">
      <c r="A1046" s="6">
        <v>42914</v>
      </c>
      <c r="B1046" s="3" t="s">
        <v>13</v>
      </c>
      <c r="C1046" s="3" t="s">
        <v>14</v>
      </c>
      <c r="D1046" s="8" t="str">
        <f>HYPERLINK("http://npthd.inbcu.com/ViewContent.aspx?filename=NPMR_ABC_2017-06-28_E.MP4$4947$4977","Boy Band")</f>
        <v>Boy Band</v>
      </c>
      <c r="E1046" s="3" t="s">
        <v>38</v>
      </c>
      <c r="F1046" s="3" t="s">
        <v>542</v>
      </c>
      <c r="G1046" s="3" t="s">
        <v>643</v>
      </c>
    </row>
    <row r="1047" spans="1:7">
      <c r="A1047" s="6">
        <v>42914</v>
      </c>
      <c r="B1047" s="3" t="s">
        <v>13</v>
      </c>
      <c r="C1047" s="3" t="s">
        <v>32</v>
      </c>
      <c r="D1047" s="8" t="str">
        <f>HYPERLINK("http://npthd.inbcu.com/ViewContent.aspx?filename=NPMR_ABC_2017-06-28_E.MP4$4977$5037","LOCAL")</f>
        <v>LOCAL</v>
      </c>
      <c r="E1047" s="3" t="s">
        <v>66</v>
      </c>
      <c r="F1047" s="3" t="s">
        <v>643</v>
      </c>
      <c r="G1047" s="3" t="s">
        <v>1214</v>
      </c>
    </row>
    <row r="1048" spans="1:7">
      <c r="A1048" s="6">
        <v>42914</v>
      </c>
      <c r="B1048" s="3" t="s">
        <v>13</v>
      </c>
      <c r="C1048" s="3" t="s">
        <v>18</v>
      </c>
      <c r="D1048" s="8" t="str">
        <f>HYPERLINK("http://npthd.inbcu.com/ViewContent.aspx?filename=NPMR_ABC_2017-06-28_E.MP4$5037$5363","MODERN FAMILY: blindsided")</f>
        <v>MODERN FAMILY: blindsided</v>
      </c>
      <c r="E1048" s="3" t="s">
        <v>1215</v>
      </c>
      <c r="F1048" s="3" t="s">
        <v>1214</v>
      </c>
      <c r="G1048" s="3" t="s">
        <v>1216</v>
      </c>
    </row>
    <row r="1049" spans="1:7">
      <c r="A1049" s="6">
        <v>42914</v>
      </c>
      <c r="B1049" s="3" t="s">
        <v>13</v>
      </c>
      <c r="C1049" s="3" t="s">
        <v>21</v>
      </c>
      <c r="D1049" s="8" t="str">
        <f>HYPERLINK("http://npthd.inbcu.com/ViewContent.aspx?filename=NPMR_ABC_2017-06-28_E.MP4$5363$5530","COMMERCIAL")</f>
        <v>COMMERCIAL</v>
      </c>
      <c r="E1049" s="3" t="s">
        <v>1217</v>
      </c>
      <c r="F1049" s="3" t="s">
        <v>1216</v>
      </c>
      <c r="G1049" s="3" t="s">
        <v>1218</v>
      </c>
    </row>
    <row r="1050" spans="1:7">
      <c r="A1050" s="6">
        <v>42914</v>
      </c>
      <c r="B1050" s="3" t="s">
        <v>13</v>
      </c>
      <c r="C1050" s="3" t="s">
        <v>14</v>
      </c>
      <c r="D1050" s="8" t="str">
        <f>HYPERLINK("http://npthd.inbcu.com/ViewContent.aspx?filename=NPMR_ABC_2017-06-28_E.MP4$5530$5545","To Tell the Truth")</f>
        <v>To Tell the Truth</v>
      </c>
      <c r="E1050" s="3" t="s">
        <v>30</v>
      </c>
      <c r="F1050" s="3" t="s">
        <v>1218</v>
      </c>
      <c r="G1050" s="3" t="s">
        <v>1219</v>
      </c>
    </row>
    <row r="1051" spans="1:7">
      <c r="A1051" s="6">
        <v>42914</v>
      </c>
      <c r="B1051" s="3" t="s">
        <v>13</v>
      </c>
      <c r="C1051" s="3" t="s">
        <v>18</v>
      </c>
      <c r="D1051" s="8" t="str">
        <f>HYPERLINK("http://npthd.inbcu.com/ViewContent.aspx?filename=NPMR_ABC_2017-06-28_E.MP4$5545$5588","MODERN FAMILY: blindsided")</f>
        <v>MODERN FAMILY: blindsided</v>
      </c>
      <c r="E1051" s="3" t="s">
        <v>1220</v>
      </c>
      <c r="F1051" s="3" t="s">
        <v>1219</v>
      </c>
      <c r="G1051" s="3" t="s">
        <v>1221</v>
      </c>
    </row>
    <row r="1052" spans="1:7">
      <c r="A1052" s="6">
        <v>42914</v>
      </c>
      <c r="B1052" s="3" t="s">
        <v>13</v>
      </c>
      <c r="C1052" s="3" t="s">
        <v>14</v>
      </c>
      <c r="D1052" s="8" t="str">
        <f>HYPERLINK("http://npthd.inbcu.com/ViewContent.aspx?filename=NPMR_ABC_2017-06-28_E.MP4$5588$5592","American Housewife")</f>
        <v>American Housewife</v>
      </c>
      <c r="E1052" s="3" t="s">
        <v>84</v>
      </c>
      <c r="F1052" s="3" t="s">
        <v>1221</v>
      </c>
      <c r="G1052" s="3" t="s">
        <v>69</v>
      </c>
    </row>
    <row r="1053" spans="1:7">
      <c r="A1053" s="6">
        <v>42914</v>
      </c>
      <c r="B1053" s="3" t="s">
        <v>13</v>
      </c>
      <c r="C1053" s="3" t="s">
        <v>18</v>
      </c>
      <c r="D1053" s="8" t="str">
        <f>HYPERLINK("http://npthd.inbcu.com/ViewContent.aspx?filename=NPMR_ABC_2017-06-28_E.MP4$5592$5984","AMERICAN HOUSEWIFE: surprise")</f>
        <v>AMERICAN HOUSEWIFE: surprise</v>
      </c>
      <c r="E1053" s="3" t="s">
        <v>1222</v>
      </c>
      <c r="F1053" s="3" t="s">
        <v>69</v>
      </c>
      <c r="G1053" s="3" t="s">
        <v>1223</v>
      </c>
    </row>
    <row r="1054" spans="1:7">
      <c r="A1054" s="6">
        <v>42914</v>
      </c>
      <c r="B1054" s="3" t="s">
        <v>13</v>
      </c>
      <c r="C1054" s="3" t="s">
        <v>21</v>
      </c>
      <c r="D1054" s="8" t="str">
        <f>HYPERLINK("http://npthd.inbcu.com/ViewContent.aspx?filename=NPMR_ABC_2017-06-28_E.MP4$5984$6104","COMMERCIAL")</f>
        <v>COMMERCIAL</v>
      </c>
      <c r="E1054" s="3" t="s">
        <v>43</v>
      </c>
      <c r="F1054" s="3" t="s">
        <v>1223</v>
      </c>
      <c r="G1054" s="3" t="s">
        <v>553</v>
      </c>
    </row>
    <row r="1055" spans="1:7">
      <c r="A1055" s="6">
        <v>42914</v>
      </c>
      <c r="B1055" s="3" t="s">
        <v>13</v>
      </c>
      <c r="C1055" s="3" t="s">
        <v>14</v>
      </c>
      <c r="D1055" s="8" t="str">
        <f>HYPERLINK("http://npthd.inbcu.com/ViewContent.aspx?filename=NPMR_ABC_2017-06-28_E.MP4$6104$6120","Boy Band")</f>
        <v>Boy Band</v>
      </c>
      <c r="E1055" s="3" t="s">
        <v>64</v>
      </c>
      <c r="F1055" s="3" t="s">
        <v>553</v>
      </c>
      <c r="G1055" s="3" t="s">
        <v>1224</v>
      </c>
    </row>
    <row r="1056" spans="1:7">
      <c r="A1056" s="6">
        <v>42914</v>
      </c>
      <c r="B1056" s="3" t="s">
        <v>13</v>
      </c>
      <c r="C1056" s="3" t="s">
        <v>14</v>
      </c>
      <c r="D1056" s="8" t="str">
        <f>HYPERLINK("http://npthd.inbcu.com/ViewContent.aspx?filename=NPMR_ABC_2017-06-28_E.MP4$6120$6135","Battle of the Network Stars")</f>
        <v>Battle of the Network Stars</v>
      </c>
      <c r="E1056" s="3" t="s">
        <v>30</v>
      </c>
      <c r="F1056" s="3" t="s">
        <v>1224</v>
      </c>
      <c r="G1056" s="3" t="s">
        <v>1225</v>
      </c>
    </row>
    <row r="1057" spans="1:7">
      <c r="A1057" s="6">
        <v>42914</v>
      </c>
      <c r="B1057" s="3" t="s">
        <v>13</v>
      </c>
      <c r="C1057" s="3" t="s">
        <v>18</v>
      </c>
      <c r="D1057" s="8" t="str">
        <f>HYPERLINK("http://npthd.inbcu.com/ViewContent.aspx?filename=NPMR_ABC_2017-06-28_E.MP4$6135$6603","AMERICAN HOUSEWIFE: surprise")</f>
        <v>AMERICAN HOUSEWIFE: surprise</v>
      </c>
      <c r="E1057" s="3" t="s">
        <v>678</v>
      </c>
      <c r="F1057" s="3" t="s">
        <v>1225</v>
      </c>
      <c r="G1057" s="3" t="s">
        <v>1226</v>
      </c>
    </row>
    <row r="1058" spans="1:7">
      <c r="A1058" s="6">
        <v>42914</v>
      </c>
      <c r="B1058" s="3" t="s">
        <v>13</v>
      </c>
      <c r="C1058" s="3" t="s">
        <v>21</v>
      </c>
      <c r="D1058" s="8" t="str">
        <f>HYPERLINK("http://npthd.inbcu.com/ViewContent.aspx?filename=NPMR_ABC_2017-06-28_E.MP4$6603$6679","COMMERCIAL")</f>
        <v>COMMERCIAL</v>
      </c>
      <c r="E1058" s="3" t="s">
        <v>594</v>
      </c>
      <c r="F1058" s="3" t="s">
        <v>1226</v>
      </c>
      <c r="G1058" s="3" t="s">
        <v>1227</v>
      </c>
    </row>
    <row r="1059" spans="1:7">
      <c r="A1059" s="6">
        <v>42914</v>
      </c>
      <c r="B1059" s="3" t="s">
        <v>13</v>
      </c>
      <c r="C1059" s="3" t="s">
        <v>14</v>
      </c>
      <c r="D1059" s="8" t="str">
        <f>HYPERLINK("http://npthd.inbcu.com/ViewContent.aspx?filename=NPMR_ABC_2017-06-28_E.MP4$6679$6684","Espys")</f>
        <v>Espys</v>
      </c>
      <c r="E1059" s="3" t="s">
        <v>54</v>
      </c>
      <c r="F1059" s="3" t="s">
        <v>1227</v>
      </c>
      <c r="G1059" s="3" t="s">
        <v>1228</v>
      </c>
    </row>
    <row r="1060" spans="1:7">
      <c r="A1060" s="6">
        <v>42914</v>
      </c>
      <c r="B1060" s="3" t="s">
        <v>13</v>
      </c>
      <c r="C1060" s="3" t="s">
        <v>32</v>
      </c>
      <c r="D1060" s="8" t="str">
        <f>HYPERLINK("http://npthd.inbcu.com/ViewContent.aspx?filename=NPMR_ABC_2017-06-28_E.MP4$6684$6775","LOCAL")</f>
        <v>LOCAL</v>
      </c>
      <c r="E1060" s="3" t="s">
        <v>77</v>
      </c>
      <c r="F1060" s="3" t="s">
        <v>1228</v>
      </c>
      <c r="G1060" s="3" t="s">
        <v>662</v>
      </c>
    </row>
    <row r="1061" spans="1:7">
      <c r="A1061" s="6">
        <v>42914</v>
      </c>
      <c r="B1061" s="3" t="s">
        <v>13</v>
      </c>
      <c r="C1061" s="3" t="s">
        <v>18</v>
      </c>
      <c r="D1061" s="8" t="str">
        <f>HYPERLINK("http://npthd.inbcu.com/ViewContent.aspx?filename=NPMR_ABC_2017-06-28_E.MP4$6775$7143","AMERICAN HOUSEWIFE: surprise")</f>
        <v>AMERICAN HOUSEWIFE: surprise</v>
      </c>
      <c r="E1061" s="3" t="s">
        <v>1229</v>
      </c>
      <c r="F1061" s="3" t="s">
        <v>662</v>
      </c>
      <c r="G1061" s="3" t="s">
        <v>1230</v>
      </c>
    </row>
    <row r="1062" spans="1:7">
      <c r="A1062" s="6">
        <v>42914</v>
      </c>
      <c r="B1062" s="3" t="s">
        <v>13</v>
      </c>
      <c r="C1062" s="3" t="s">
        <v>14</v>
      </c>
      <c r="D1062" s="8" t="str">
        <f>HYPERLINK("http://npthd.inbcu.com/ViewContent.aspx?filename=NPMR_ABC_2017-06-28_E.MP4$7143$7150","Battle of the Network Stars")</f>
        <v>Battle of the Network Stars</v>
      </c>
      <c r="E1062" s="3" t="s">
        <v>567</v>
      </c>
      <c r="F1062" s="3" t="s">
        <v>1230</v>
      </c>
      <c r="G1062" s="3" t="s">
        <v>1231</v>
      </c>
    </row>
    <row r="1063" spans="1:7">
      <c r="A1063" s="6">
        <v>42914</v>
      </c>
      <c r="B1063" s="3" t="s">
        <v>13</v>
      </c>
      <c r="C1063" s="3" t="s">
        <v>21</v>
      </c>
      <c r="D1063" s="8" t="str">
        <f>HYPERLINK("http://npthd.inbcu.com/ViewContent.aspx?filename=NPMR_ABC_2017-06-28_E.MP4$7150$7270","COMMERCIAL")</f>
        <v>COMMERCIAL</v>
      </c>
      <c r="E1063" s="3" t="s">
        <v>43</v>
      </c>
      <c r="F1063" s="3" t="s">
        <v>1231</v>
      </c>
      <c r="G1063" s="3" t="s">
        <v>1232</v>
      </c>
    </row>
    <row r="1064" spans="1:7">
      <c r="A1064" s="6">
        <v>42914</v>
      </c>
      <c r="B1064" s="3" t="s">
        <v>13</v>
      </c>
      <c r="C1064" s="3" t="s">
        <v>14</v>
      </c>
      <c r="D1064" s="8" t="str">
        <f>HYPERLINK("http://npthd.inbcu.com/ViewContent.aspx?filename=NPMR_ABC_2017-06-28_E.MP4$7270$7285","To Tell the Truth")</f>
        <v>To Tell the Truth</v>
      </c>
      <c r="E1064" s="3" t="s">
        <v>30</v>
      </c>
      <c r="F1064" s="3" t="s">
        <v>1232</v>
      </c>
      <c r="G1064" s="3" t="s">
        <v>1233</v>
      </c>
    </row>
    <row r="1065" spans="1:7">
      <c r="A1065" s="6">
        <v>42914</v>
      </c>
      <c r="B1065" s="3" t="s">
        <v>13</v>
      </c>
      <c r="C1065" s="3" t="s">
        <v>32</v>
      </c>
      <c r="D1065" s="8" t="str">
        <f>HYPERLINK("http://npthd.inbcu.com/ViewContent.aspx?filename=NPMR_ABC_2017-06-28_E.MP4$7285$7289","LOCAL")</f>
        <v>LOCAL</v>
      </c>
      <c r="E1065" s="3" t="s">
        <v>84</v>
      </c>
      <c r="F1065" s="3" t="s">
        <v>1233</v>
      </c>
      <c r="G1065" s="3" t="s">
        <v>1234</v>
      </c>
    </row>
    <row r="1066" spans="1:7">
      <c r="A1066" s="6">
        <v>42914</v>
      </c>
      <c r="B1066" s="3" t="s">
        <v>13</v>
      </c>
      <c r="C1066" s="3" t="s">
        <v>18</v>
      </c>
      <c r="D1066" s="8" t="str">
        <f>HYPERLINK("http://npthd.inbcu.com/ViewContent.aspx?filename=NPMR_ABC_2017-06-28_E.MP4$7289$7327","AMERICAN HOUSEWIFE: surprise")</f>
        <v>AMERICAN HOUSEWIFE: surprise</v>
      </c>
      <c r="E1066" s="3" t="s">
        <v>1235</v>
      </c>
      <c r="F1066" s="3" t="s">
        <v>1234</v>
      </c>
      <c r="G1066" s="3" t="s">
        <v>394</v>
      </c>
    </row>
    <row r="1067" spans="1:7">
      <c r="A1067" s="6">
        <v>42914</v>
      </c>
      <c r="B1067" s="3" t="s">
        <v>13</v>
      </c>
      <c r="C1067" s="3" t="s">
        <v>14</v>
      </c>
      <c r="D1067" s="8" t="str">
        <f>HYPERLINK("http://npthd.inbcu.com/ViewContent.aspx?filename=NPMR_ABC_2017-06-28_E.MP4$7327$7332","To Tell the Truth")</f>
        <v>To Tell the Truth</v>
      </c>
      <c r="E1067" s="3" t="s">
        <v>54</v>
      </c>
      <c r="F1067" s="3" t="s">
        <v>394</v>
      </c>
      <c r="G1067" s="3" t="s">
        <v>395</v>
      </c>
    </row>
    <row r="1068" spans="1:7">
      <c r="A1068" s="6">
        <v>42914</v>
      </c>
      <c r="B1068" s="3" t="s">
        <v>13</v>
      </c>
      <c r="C1068" s="3" t="s">
        <v>18</v>
      </c>
      <c r="D1068" s="8" t="str">
        <f>HYPERLINK("http://npthd.inbcu.com/ViewContent.aspx?filename=NPMR_ABC_2017-06-28_E.MP4$7332$7837","TO TELL THE TRUTH: morris, burke, rachel")</f>
        <v>TO TELL THE TRUTH: morris, burke, rachel</v>
      </c>
      <c r="E1068" s="3" t="s">
        <v>1236</v>
      </c>
      <c r="F1068" s="3" t="s">
        <v>395</v>
      </c>
      <c r="G1068" s="3" t="s">
        <v>1237</v>
      </c>
    </row>
    <row r="1069" spans="1:7">
      <c r="A1069" s="6">
        <v>42914</v>
      </c>
      <c r="B1069" s="3" t="s">
        <v>13</v>
      </c>
      <c r="C1069" s="3" t="s">
        <v>21</v>
      </c>
      <c r="D1069" s="8" t="str">
        <f>HYPERLINK("http://npthd.inbcu.com/ViewContent.aspx?filename=NPMR_ABC_2017-06-28_E.MP4$7837$8002","COMMERCIAL")</f>
        <v>COMMERCIAL</v>
      </c>
      <c r="E1069" s="3" t="s">
        <v>428</v>
      </c>
      <c r="F1069" s="3" t="s">
        <v>1237</v>
      </c>
      <c r="G1069" s="3" t="s">
        <v>1238</v>
      </c>
    </row>
    <row r="1070" spans="1:7">
      <c r="A1070" s="6">
        <v>42914</v>
      </c>
      <c r="B1070" s="3" t="s">
        <v>13</v>
      </c>
      <c r="C1070" s="3" t="s">
        <v>14</v>
      </c>
      <c r="D1070" s="8" t="str">
        <f>HYPERLINK("http://npthd.inbcu.com/ViewContent.aspx?filename=NPMR_ABC_2017-06-28_E.MP4$8002$8017","Boy Band")</f>
        <v>Boy Band</v>
      </c>
      <c r="E1070" s="3" t="s">
        <v>30</v>
      </c>
      <c r="F1070" s="3" t="s">
        <v>1238</v>
      </c>
      <c r="G1070" s="3" t="s">
        <v>1239</v>
      </c>
    </row>
    <row r="1071" spans="1:7">
      <c r="A1071" s="6">
        <v>42914</v>
      </c>
      <c r="B1071" s="3" t="s">
        <v>13</v>
      </c>
      <c r="C1071" s="3" t="s">
        <v>14</v>
      </c>
      <c r="D1071" s="8" t="str">
        <f>HYPERLINK("http://npthd.inbcu.com/ViewContent.aspx?filename=NPMR_ABC_2017-06-28_E.MP4$8017$8047","Battle of the Network Stars")</f>
        <v>Battle of the Network Stars</v>
      </c>
      <c r="E1071" s="3" t="s">
        <v>38</v>
      </c>
      <c r="F1071" s="3" t="s">
        <v>1239</v>
      </c>
      <c r="G1071" s="3" t="s">
        <v>1240</v>
      </c>
    </row>
    <row r="1072" spans="1:7">
      <c r="A1072" s="6">
        <v>42914</v>
      </c>
      <c r="B1072" s="3" t="s">
        <v>13</v>
      </c>
      <c r="C1072" s="3" t="s">
        <v>18</v>
      </c>
      <c r="D1072" s="8" t="str">
        <f>HYPERLINK("http://npthd.inbcu.com/ViewContent.aspx?filename=NPMR_ABC_2017-06-28_E.MP4$8047$8566","TO TELL THE TRUTH: morris, burke, rachel")</f>
        <v>TO TELL THE TRUTH: morris, burke, rachel</v>
      </c>
      <c r="E1072" s="3" t="s">
        <v>915</v>
      </c>
      <c r="F1072" s="3" t="s">
        <v>1240</v>
      </c>
      <c r="G1072" s="3" t="s">
        <v>1241</v>
      </c>
    </row>
    <row r="1073" spans="1:7">
      <c r="A1073" s="6">
        <v>42914</v>
      </c>
      <c r="B1073" s="3" t="s">
        <v>13</v>
      </c>
      <c r="C1073" s="3" t="s">
        <v>14</v>
      </c>
      <c r="D1073" s="8" t="str">
        <f>HYPERLINK("http://npthd.inbcu.com/ViewContent.aspx?filename=NPMR_ABC_2017-06-28_E.MP4$8566$8571","Espys")</f>
        <v>Espys</v>
      </c>
      <c r="E1073" s="3" t="s">
        <v>54</v>
      </c>
      <c r="F1073" s="3" t="s">
        <v>1241</v>
      </c>
      <c r="G1073" s="3" t="s">
        <v>1242</v>
      </c>
    </row>
    <row r="1074" spans="1:7">
      <c r="A1074" s="6">
        <v>42914</v>
      </c>
      <c r="B1074" s="3" t="s">
        <v>13</v>
      </c>
      <c r="C1074" s="3" t="s">
        <v>32</v>
      </c>
      <c r="D1074" s="8" t="str">
        <f>HYPERLINK("http://npthd.inbcu.com/ViewContent.aspx?filename=NPMR_ABC_2017-06-28_E.MP4$8571$8751","LOCAL")</f>
        <v>LOCAL</v>
      </c>
      <c r="E1074" s="3" t="s">
        <v>22</v>
      </c>
      <c r="F1074" s="3" t="s">
        <v>1242</v>
      </c>
      <c r="G1074" s="3" t="s">
        <v>1243</v>
      </c>
    </row>
    <row r="1075" spans="1:7">
      <c r="A1075" s="6">
        <v>42914</v>
      </c>
      <c r="B1075" s="3" t="s">
        <v>13</v>
      </c>
      <c r="C1075" s="3" t="s">
        <v>14</v>
      </c>
      <c r="D1075" s="8" t="str">
        <f>HYPERLINK("http://npthd.inbcu.com/ViewContent.aspx?filename=NPMR_ABC_2017-06-28_E.MP4$8751$8781","Gong Show, The")</f>
        <v>Gong Show, The</v>
      </c>
      <c r="E1075" s="3" t="s">
        <v>38</v>
      </c>
      <c r="F1075" s="3" t="s">
        <v>1243</v>
      </c>
      <c r="G1075" s="3" t="s">
        <v>1244</v>
      </c>
    </row>
    <row r="1076" spans="1:7">
      <c r="A1076" s="6">
        <v>42914</v>
      </c>
      <c r="B1076" s="3" t="s">
        <v>13</v>
      </c>
      <c r="C1076" s="3" t="s">
        <v>18</v>
      </c>
      <c r="D1076" s="8" t="str">
        <f>HYPERLINK("http://npthd.inbcu.com/ViewContent.aspx?filename=NPMR_ABC_2017-06-28_E.MP4$8781$9236","TO TELL THE TRUTH: morris, burke, rachel")</f>
        <v>TO TELL THE TRUTH: morris, burke, rachel</v>
      </c>
      <c r="E1076" s="3" t="s">
        <v>1245</v>
      </c>
      <c r="F1076" s="3" t="s">
        <v>1244</v>
      </c>
      <c r="G1076" s="3" t="s">
        <v>1246</v>
      </c>
    </row>
    <row r="1077" spans="1:7">
      <c r="A1077" s="6">
        <v>42914</v>
      </c>
      <c r="B1077" s="3" t="s">
        <v>13</v>
      </c>
      <c r="C1077" s="3" t="s">
        <v>21</v>
      </c>
      <c r="D1077" s="8" t="str">
        <f>HYPERLINK("http://npthd.inbcu.com/ViewContent.aspx?filename=NPMR_ABC_2017-06-28_E.MP4$9236$9342","COMMERCIAL")</f>
        <v>COMMERCIAL</v>
      </c>
      <c r="E1077" s="3" t="s">
        <v>293</v>
      </c>
      <c r="F1077" s="3" t="s">
        <v>1246</v>
      </c>
      <c r="G1077" s="3" t="s">
        <v>1247</v>
      </c>
    </row>
    <row r="1078" spans="1:7">
      <c r="A1078" s="6">
        <v>42914</v>
      </c>
      <c r="B1078" s="3" t="s">
        <v>13</v>
      </c>
      <c r="C1078" s="3" t="s">
        <v>14</v>
      </c>
      <c r="D1078" s="8" t="str">
        <f>HYPERLINK("http://npthd.inbcu.com/ViewContent.aspx?filename=NPMR_ABC_2017-06-28_E.MP4$9342$9357","Celebrity Family Feud")</f>
        <v>Celebrity Family Feud</v>
      </c>
      <c r="E1078" s="3" t="s">
        <v>30</v>
      </c>
      <c r="F1078" s="3" t="s">
        <v>1247</v>
      </c>
      <c r="G1078" s="3" t="s">
        <v>1248</v>
      </c>
    </row>
    <row r="1079" spans="1:7">
      <c r="A1079" s="6">
        <v>42914</v>
      </c>
      <c r="B1079" s="3" t="s">
        <v>13</v>
      </c>
      <c r="C1079" s="3" t="s">
        <v>32</v>
      </c>
      <c r="D1079" s="8" t="str">
        <f>HYPERLINK("http://npthd.inbcu.com/ViewContent.aspx?filename=NPMR_ABC_2017-06-28_E.MP4$9357$9462","LOCAL")</f>
        <v>LOCAL</v>
      </c>
      <c r="E1079" s="3" t="s">
        <v>199</v>
      </c>
      <c r="F1079" s="3" t="s">
        <v>1248</v>
      </c>
      <c r="G1079" s="3" t="s">
        <v>1249</v>
      </c>
    </row>
    <row r="1080" spans="1:7">
      <c r="A1080" s="6">
        <v>42914</v>
      </c>
      <c r="B1080" s="3" t="s">
        <v>13</v>
      </c>
      <c r="C1080" s="3" t="s">
        <v>18</v>
      </c>
      <c r="D1080" s="8" t="str">
        <f>HYPERLINK("http://npthd.inbcu.com/ViewContent.aspx?filename=NPMR_ABC_2017-06-28_E.MP4$9462$9874","TO TELL THE TRUTH: morris, burke, rachel")</f>
        <v>TO TELL THE TRUTH: morris, burke, rachel</v>
      </c>
      <c r="E1080" s="3" t="s">
        <v>1125</v>
      </c>
      <c r="F1080" s="3" t="s">
        <v>1249</v>
      </c>
      <c r="G1080" s="3" t="s">
        <v>1250</v>
      </c>
    </row>
    <row r="1081" spans="1:7">
      <c r="A1081" s="6">
        <v>42914</v>
      </c>
      <c r="B1081" s="3" t="s">
        <v>13</v>
      </c>
      <c r="C1081" s="3" t="s">
        <v>21</v>
      </c>
      <c r="D1081" s="8" t="str">
        <f>HYPERLINK("http://npthd.inbcu.com/ViewContent.aspx?filename=NPMR_ABC_2017-06-28_E.MP4$9874$9994","COMMERCIAL")</f>
        <v>COMMERCIAL</v>
      </c>
      <c r="E1081" s="3" t="s">
        <v>43</v>
      </c>
      <c r="F1081" s="3" t="s">
        <v>1250</v>
      </c>
      <c r="G1081" s="3" t="s">
        <v>1251</v>
      </c>
    </row>
    <row r="1082" spans="1:7">
      <c r="A1082" s="6">
        <v>42914</v>
      </c>
      <c r="B1082" s="3" t="s">
        <v>13</v>
      </c>
      <c r="C1082" s="3" t="s">
        <v>14</v>
      </c>
      <c r="D1082" s="8" t="str">
        <f>HYPERLINK("http://npthd.inbcu.com/ViewContent.aspx?filename=NPMR_ABC_2017-06-28_E.MP4$9994$10008","Good Morning America")</f>
        <v>Good Morning America</v>
      </c>
      <c r="E1082" s="3" t="s">
        <v>342</v>
      </c>
      <c r="F1082" s="3" t="s">
        <v>1251</v>
      </c>
      <c r="G1082" s="3" t="s">
        <v>1252</v>
      </c>
    </row>
    <row r="1083" spans="1:7">
      <c r="A1083" s="6">
        <v>42914</v>
      </c>
      <c r="B1083" s="3" t="s">
        <v>13</v>
      </c>
      <c r="C1083" s="3" t="s">
        <v>14</v>
      </c>
      <c r="D1083" s="8" t="str">
        <f>HYPERLINK("http://npthd.inbcu.com/ViewContent.aspx?filename=NPMR_ABC_2017-06-28_E.MP4$10008$10024","Boy Band")</f>
        <v>Boy Band</v>
      </c>
      <c r="E1083" s="3" t="s">
        <v>64</v>
      </c>
      <c r="F1083" s="3" t="s">
        <v>1252</v>
      </c>
      <c r="G1083" s="3" t="s">
        <v>1253</v>
      </c>
    </row>
    <row r="1084" spans="1:7">
      <c r="A1084" s="6">
        <v>42914</v>
      </c>
      <c r="B1084" s="3" t="s">
        <v>13</v>
      </c>
      <c r="C1084" s="3" t="s">
        <v>32</v>
      </c>
      <c r="D1084" s="8" t="str">
        <f>HYPERLINK("http://npthd.inbcu.com/ViewContent.aspx?filename=NPMR_ABC_2017-06-28_E.MP4$10024$10114","LOCAL")</f>
        <v>LOCAL</v>
      </c>
      <c r="E1084" s="3" t="s">
        <v>46</v>
      </c>
      <c r="F1084" s="3" t="s">
        <v>1253</v>
      </c>
      <c r="G1084" s="3" t="s">
        <v>1254</v>
      </c>
    </row>
    <row r="1085" spans="1:7">
      <c r="A1085" s="6">
        <v>42914</v>
      </c>
      <c r="B1085" s="3" t="s">
        <v>13</v>
      </c>
      <c r="C1085" s="3" t="s">
        <v>18</v>
      </c>
      <c r="D1085" s="8" t="str">
        <f>HYPERLINK("http://npthd.inbcu.com/ViewContent.aspx?filename=NPMR_ABC_2017-06-28_E.MP4$10114$10488","TO TELL THE TRUTH: morris, burke, rachel")</f>
        <v>TO TELL THE TRUTH: morris, burke, rachel</v>
      </c>
      <c r="E1085" s="3" t="s">
        <v>1255</v>
      </c>
      <c r="F1085" s="3" t="s">
        <v>1254</v>
      </c>
      <c r="G1085" s="3" t="s">
        <v>1256</v>
      </c>
    </row>
    <row r="1086" spans="1:7">
      <c r="A1086" s="6">
        <v>42914</v>
      </c>
      <c r="B1086" s="3" t="s">
        <v>13</v>
      </c>
      <c r="C1086" s="3" t="s">
        <v>32</v>
      </c>
      <c r="D1086" s="8" t="str">
        <f>HYPERLINK("http://npthd.inbcu.com/ViewContent.aspx?filename=NPMR_ABC_2017-06-28_E.MP4$10488$10503","LOCAL")</f>
        <v>LOCAL</v>
      </c>
      <c r="E1086" s="3" t="s">
        <v>30</v>
      </c>
      <c r="F1086" s="3" t="s">
        <v>1256</v>
      </c>
      <c r="G1086" s="3" t="s">
        <v>1257</v>
      </c>
    </row>
    <row r="1087" spans="1:7">
      <c r="A1087" s="6">
        <v>42914</v>
      </c>
      <c r="B1087" s="3" t="s">
        <v>13</v>
      </c>
      <c r="C1087" s="3" t="s">
        <v>21</v>
      </c>
      <c r="D1087" s="8" t="str">
        <f>HYPERLINK("http://npthd.inbcu.com/ViewContent.aspx?filename=NPMR_ABC_2017-06-28_E.MP4$10503$10655","COMMERCIAL")</f>
        <v>COMMERCIAL</v>
      </c>
      <c r="E1087" s="3" t="s">
        <v>128</v>
      </c>
      <c r="F1087" s="3" t="s">
        <v>1257</v>
      </c>
      <c r="G1087" s="3" t="s">
        <v>1258</v>
      </c>
    </row>
    <row r="1088" spans="1:7">
      <c r="A1088" s="6">
        <v>42914</v>
      </c>
      <c r="B1088" s="3" t="s">
        <v>13</v>
      </c>
      <c r="C1088" s="3" t="s">
        <v>14</v>
      </c>
      <c r="D1088" s="8" t="str">
        <f>HYPERLINK("http://npthd.inbcu.com/ViewContent.aspx?filename=NPMR_ABC_2017-06-28_E.MP4$10655$10670","Battle of the Network Stars")</f>
        <v>Battle of the Network Stars</v>
      </c>
      <c r="E1088" s="3" t="s">
        <v>30</v>
      </c>
      <c r="F1088" s="3" t="s">
        <v>1258</v>
      </c>
      <c r="G1088" s="3" t="s">
        <v>1259</v>
      </c>
    </row>
    <row r="1089" spans="1:7">
      <c r="A1089" s="6">
        <v>42914</v>
      </c>
      <c r="B1089" s="3" t="s">
        <v>13</v>
      </c>
      <c r="C1089" s="3" t="s">
        <v>18</v>
      </c>
      <c r="D1089" s="8" t="str">
        <f>HYPERLINK("http://npthd.inbcu.com/ViewContent.aspx?filename=NPMR_ABC_2017-06-28_E.MP4$10670$10913","TO TELL THE TRUTH: morris, burke, rachel")</f>
        <v>TO TELL THE TRUTH: morris, burke, rachel</v>
      </c>
      <c r="E1089" s="3" t="s">
        <v>1260</v>
      </c>
      <c r="F1089" s="3" t="s">
        <v>1259</v>
      </c>
      <c r="G1089" s="3" t="s">
        <v>698</v>
      </c>
    </row>
    <row r="1090" spans="1:7">
      <c r="A1090" s="6">
        <v>42914</v>
      </c>
      <c r="B1090" s="3" t="s">
        <v>13</v>
      </c>
      <c r="C1090" s="3" t="s">
        <v>32</v>
      </c>
      <c r="D1090" s="8" t="str">
        <f>HYPERLINK("http://npthd.inbcu.com/ViewContent.aspx?filename=NPMR_ABC_2017-06-28_E.MP4$10913$10927","LOCAL")</f>
        <v>LOCAL</v>
      </c>
      <c r="E1090" s="3" t="s">
        <v>342</v>
      </c>
      <c r="F1090" s="3" t="s">
        <v>698</v>
      </c>
      <c r="G1090" s="3" t="s">
        <v>124</v>
      </c>
    </row>
    <row r="1091" spans="1:7">
      <c r="A1091" s="6">
        <v>42919</v>
      </c>
      <c r="B1091" s="3" t="s">
        <v>13</v>
      </c>
      <c r="C1091" s="3" t="s">
        <v>14</v>
      </c>
      <c r="D1091" s="8" t="str">
        <f>HYPERLINK("http://npthd.inbcu.com/ViewContent.aspx?filename=NPMR_ABC_2017-07-03_E.MP4$124$130","ABC Open")</f>
        <v>ABC Open</v>
      </c>
      <c r="E1091" s="3" t="s">
        <v>15</v>
      </c>
      <c r="F1091" s="3" t="s">
        <v>16</v>
      </c>
      <c r="G1091" s="3" t="s">
        <v>17</v>
      </c>
    </row>
    <row r="1092" spans="1:7">
      <c r="A1092" s="6">
        <v>42919</v>
      </c>
      <c r="B1092" s="3" t="s">
        <v>13</v>
      </c>
      <c r="C1092" s="3" t="s">
        <v>18</v>
      </c>
      <c r="D1092" s="8" t="str">
        <f>HYPERLINK("http://npthd.inbcu.com/ViewContent.aspx?filename=NPMR_ABC_2017-07-03_E.MP4$130$575","THE BACHELORETTE: 1306")</f>
        <v>THE BACHELORETTE: 1306</v>
      </c>
      <c r="E1092" s="3" t="s">
        <v>426</v>
      </c>
      <c r="F1092" s="3" t="s">
        <v>17</v>
      </c>
      <c r="G1092" s="3" t="s">
        <v>1261</v>
      </c>
    </row>
    <row r="1093" spans="1:7">
      <c r="A1093" s="6">
        <v>42919</v>
      </c>
      <c r="B1093" s="3" t="s">
        <v>13</v>
      </c>
      <c r="C1093" s="3" t="s">
        <v>21</v>
      </c>
      <c r="D1093" s="8" t="str">
        <f>HYPERLINK("http://npthd.inbcu.com/ViewContent.aspx?filename=NPMR_ABC_2017-07-03_E.MP4$575$725","COMMERCIAL")</f>
        <v>COMMERCIAL</v>
      </c>
      <c r="E1093" s="3" t="s">
        <v>28</v>
      </c>
      <c r="F1093" s="3" t="s">
        <v>1261</v>
      </c>
      <c r="G1093" s="3" t="s">
        <v>423</v>
      </c>
    </row>
    <row r="1094" spans="1:7">
      <c r="A1094" s="6">
        <v>42919</v>
      </c>
      <c r="B1094" s="3" t="s">
        <v>13</v>
      </c>
      <c r="C1094" s="3" t="s">
        <v>14</v>
      </c>
      <c r="D1094" s="8" t="str">
        <f>HYPERLINK("http://npthd.inbcu.com/ViewContent.aspx?filename=NPMR_ABC_2017-07-03_E.MP4$725$770","Battle of the Network Stars")</f>
        <v>Battle of the Network Stars</v>
      </c>
      <c r="E1094" s="3" t="s">
        <v>1143</v>
      </c>
      <c r="F1094" s="3" t="s">
        <v>423</v>
      </c>
      <c r="G1094" s="3" t="s">
        <v>1262</v>
      </c>
    </row>
    <row r="1095" spans="1:7">
      <c r="A1095" s="6">
        <v>42919</v>
      </c>
      <c r="B1095" s="3" t="s">
        <v>13</v>
      </c>
      <c r="C1095" s="3" t="s">
        <v>18</v>
      </c>
      <c r="D1095" s="8" t="str">
        <f>HYPERLINK("http://npthd.inbcu.com/ViewContent.aspx?filename=NPMR_ABC_2017-07-03_E.MP4$770$1218","THE BACHELORETTE: 1306")</f>
        <v>THE BACHELORETTE: 1306</v>
      </c>
      <c r="E1095" s="3" t="s">
        <v>163</v>
      </c>
      <c r="F1095" s="3" t="s">
        <v>1262</v>
      </c>
      <c r="G1095" s="3" t="s">
        <v>1263</v>
      </c>
    </row>
    <row r="1096" spans="1:7">
      <c r="A1096" s="6">
        <v>42919</v>
      </c>
      <c r="B1096" s="3" t="s">
        <v>13</v>
      </c>
      <c r="C1096" s="3" t="s">
        <v>21</v>
      </c>
      <c r="D1096" s="8" t="str">
        <f>HYPERLINK("http://npthd.inbcu.com/ViewContent.aspx?filename=NPMR_ABC_2017-07-03_E.MP4$1218$1337","COMMERCIAL")</f>
        <v>COMMERCIAL</v>
      </c>
      <c r="E1096" s="3" t="s">
        <v>119</v>
      </c>
      <c r="F1096" s="3" t="s">
        <v>1263</v>
      </c>
      <c r="G1096" s="3" t="s">
        <v>1264</v>
      </c>
    </row>
    <row r="1097" spans="1:7">
      <c r="A1097" s="6">
        <v>42919</v>
      </c>
      <c r="B1097" s="3" t="s">
        <v>13</v>
      </c>
      <c r="C1097" s="3" t="s">
        <v>14</v>
      </c>
      <c r="D1097" s="8" t="str">
        <f>HYPERLINK("http://npthd.inbcu.com/ViewContent.aspx?filename=NPMR_ABC_2017-07-03_E.MP4$1337$1367","The Bold Type (FreeForm)")</f>
        <v>The Bold Type (FreeForm)</v>
      </c>
      <c r="E1097" s="3" t="s">
        <v>38</v>
      </c>
      <c r="F1097" s="3" t="s">
        <v>1264</v>
      </c>
      <c r="G1097" s="3" t="s">
        <v>1265</v>
      </c>
    </row>
    <row r="1098" spans="1:7">
      <c r="A1098" s="6">
        <v>42919</v>
      </c>
      <c r="B1098" s="3" t="s">
        <v>13</v>
      </c>
      <c r="C1098" s="3" t="s">
        <v>14</v>
      </c>
      <c r="D1098" s="8" t="str">
        <f>HYPERLINK("http://npthd.inbcu.com/ViewContent.aspx?filename=NPMR_ABC_2017-07-03_E.MP4$1367$1382","Good Morning America")</f>
        <v>Good Morning America</v>
      </c>
      <c r="E1098" s="3" t="s">
        <v>30</v>
      </c>
      <c r="F1098" s="3" t="s">
        <v>1265</v>
      </c>
      <c r="G1098" s="3" t="s">
        <v>612</v>
      </c>
    </row>
    <row r="1099" spans="1:7">
      <c r="A1099" s="6">
        <v>42919</v>
      </c>
      <c r="B1099" s="3" t="s">
        <v>13</v>
      </c>
      <c r="C1099" s="3" t="s">
        <v>32</v>
      </c>
      <c r="D1099" s="8" t="str">
        <f>HYPERLINK("http://npthd.inbcu.com/ViewContent.aspx?filename=NPMR_ABC_2017-07-03_E.MP4$1382$1442","LOCAL")</f>
        <v>LOCAL</v>
      </c>
      <c r="E1099" s="3" t="s">
        <v>66</v>
      </c>
      <c r="F1099" s="3" t="s">
        <v>612</v>
      </c>
      <c r="G1099" s="3" t="s">
        <v>613</v>
      </c>
    </row>
    <row r="1100" spans="1:7">
      <c r="A1100" s="6">
        <v>42919</v>
      </c>
      <c r="B1100" s="3" t="s">
        <v>13</v>
      </c>
      <c r="C1100" s="3" t="s">
        <v>18</v>
      </c>
      <c r="D1100" s="8" t="str">
        <f>HYPERLINK("http://npthd.inbcu.com/ViewContent.aspx?filename=NPMR_ABC_2017-07-03_E.MP4$1442$1883","THE BACHELORETTE: 1306")</f>
        <v>THE BACHELORETTE: 1306</v>
      </c>
      <c r="E1100" s="3" t="s">
        <v>318</v>
      </c>
      <c r="F1100" s="3" t="s">
        <v>613</v>
      </c>
      <c r="G1100" s="3" t="s">
        <v>1266</v>
      </c>
    </row>
    <row r="1101" spans="1:7">
      <c r="A1101" s="6">
        <v>42919</v>
      </c>
      <c r="B1101" s="3" t="s">
        <v>13</v>
      </c>
      <c r="C1101" s="3" t="s">
        <v>21</v>
      </c>
      <c r="D1101" s="8" t="str">
        <f>HYPERLINK("http://npthd.inbcu.com/ViewContent.aspx?filename=NPMR_ABC_2017-07-03_E.MP4$1883$2064","COMMERCIAL")</f>
        <v>COMMERCIAL</v>
      </c>
      <c r="E1101" s="3" t="s">
        <v>108</v>
      </c>
      <c r="F1101" s="3" t="s">
        <v>1266</v>
      </c>
      <c r="G1101" s="3" t="s">
        <v>1267</v>
      </c>
    </row>
    <row r="1102" spans="1:7">
      <c r="A1102" s="6">
        <v>42919</v>
      </c>
      <c r="B1102" s="3" t="s">
        <v>13</v>
      </c>
      <c r="C1102" s="3" t="s">
        <v>14</v>
      </c>
      <c r="D1102" s="8" t="str">
        <f>HYPERLINK("http://npthd.inbcu.com/ViewContent.aspx?filename=NPMR_ABC_2017-07-03_E.MP4$2064$2094","Gong Show, The")</f>
        <v>Gong Show, The</v>
      </c>
      <c r="E1102" s="3" t="s">
        <v>38</v>
      </c>
      <c r="F1102" s="3" t="s">
        <v>1267</v>
      </c>
      <c r="G1102" s="3" t="s">
        <v>1268</v>
      </c>
    </row>
    <row r="1103" spans="1:7">
      <c r="A1103" s="6">
        <v>42919</v>
      </c>
      <c r="B1103" s="3" t="s">
        <v>13</v>
      </c>
      <c r="C1103" s="3" t="s">
        <v>18</v>
      </c>
      <c r="D1103" s="8" t="str">
        <f>HYPERLINK("http://npthd.inbcu.com/ViewContent.aspx?filename=NPMR_ABC_2017-07-03_E.MP4$2094$2515","THE BACHELORETTE: 1306")</f>
        <v>THE BACHELORETTE: 1306</v>
      </c>
      <c r="E1103" s="3" t="s">
        <v>281</v>
      </c>
      <c r="F1103" s="3" t="s">
        <v>1268</v>
      </c>
      <c r="G1103" s="3" t="s">
        <v>1269</v>
      </c>
    </row>
    <row r="1104" spans="1:7">
      <c r="A1104" s="6">
        <v>42919</v>
      </c>
      <c r="B1104" s="3" t="s">
        <v>13</v>
      </c>
      <c r="C1104" s="3" t="s">
        <v>21</v>
      </c>
      <c r="D1104" s="8" t="str">
        <f>HYPERLINK("http://npthd.inbcu.com/ViewContent.aspx?filename=NPMR_ABC_2017-07-03_E.MP4$2515$2635","COMMERCIAL")</f>
        <v>COMMERCIAL</v>
      </c>
      <c r="E1104" s="3" t="s">
        <v>43</v>
      </c>
      <c r="F1104" s="3" t="s">
        <v>1269</v>
      </c>
      <c r="G1104" s="3" t="s">
        <v>1270</v>
      </c>
    </row>
    <row r="1105" spans="1:7">
      <c r="A1105" s="6">
        <v>42919</v>
      </c>
      <c r="B1105" s="3" t="s">
        <v>13</v>
      </c>
      <c r="C1105" s="3" t="s">
        <v>14</v>
      </c>
      <c r="D1105" s="8" t="str">
        <f>HYPERLINK("http://npthd.inbcu.com/ViewContent.aspx?filename=NPMR_ABC_2017-07-03_E.MP4$2635$2665","General Hospital")</f>
        <v>General Hospital</v>
      </c>
      <c r="E1105" s="3" t="s">
        <v>38</v>
      </c>
      <c r="F1105" s="3" t="s">
        <v>1270</v>
      </c>
      <c r="G1105" s="3" t="s">
        <v>42</v>
      </c>
    </row>
    <row r="1106" spans="1:7">
      <c r="A1106" s="6">
        <v>42919</v>
      </c>
      <c r="B1106" s="3" t="s">
        <v>13</v>
      </c>
      <c r="C1106" s="3" t="s">
        <v>32</v>
      </c>
      <c r="D1106" s="8" t="str">
        <f>HYPERLINK("http://npthd.inbcu.com/ViewContent.aspx?filename=NPMR_ABC_2017-07-03_E.MP4$2665$2756","LOCAL")</f>
        <v>LOCAL</v>
      </c>
      <c r="E1106" s="3" t="s">
        <v>77</v>
      </c>
      <c r="F1106" s="3" t="s">
        <v>42</v>
      </c>
      <c r="G1106" s="3" t="s">
        <v>1271</v>
      </c>
    </row>
    <row r="1107" spans="1:7">
      <c r="A1107" s="6">
        <v>42919</v>
      </c>
      <c r="B1107" s="3" t="s">
        <v>13</v>
      </c>
      <c r="C1107" s="3" t="s">
        <v>18</v>
      </c>
      <c r="D1107" s="8" t="str">
        <f>HYPERLINK("http://npthd.inbcu.com/ViewContent.aspx?filename=NPMR_ABC_2017-07-03_E.MP4$2756$3168","THE BACHELORETTE: 1306")</f>
        <v>THE BACHELORETTE: 1306</v>
      </c>
      <c r="E1107" s="3" t="s">
        <v>1125</v>
      </c>
      <c r="F1107" s="3" t="s">
        <v>1271</v>
      </c>
      <c r="G1107" s="3" t="s">
        <v>1272</v>
      </c>
    </row>
    <row r="1108" spans="1:7">
      <c r="A1108" s="6">
        <v>42919</v>
      </c>
      <c r="B1108" s="3" t="s">
        <v>13</v>
      </c>
      <c r="C1108" s="3" t="s">
        <v>21</v>
      </c>
      <c r="D1108" s="8" t="str">
        <f>HYPERLINK("http://npthd.inbcu.com/ViewContent.aspx?filename=NPMR_ABC_2017-07-03_E.MP4$3168$3348","COMMERCIAL")</f>
        <v>COMMERCIAL</v>
      </c>
      <c r="E1108" s="3" t="s">
        <v>22</v>
      </c>
      <c r="F1108" s="3" t="s">
        <v>1272</v>
      </c>
      <c r="G1108" s="3" t="s">
        <v>1273</v>
      </c>
    </row>
    <row r="1109" spans="1:7">
      <c r="A1109" s="6">
        <v>42919</v>
      </c>
      <c r="B1109" s="3" t="s">
        <v>13</v>
      </c>
      <c r="C1109" s="3" t="s">
        <v>14</v>
      </c>
      <c r="D1109" s="8" t="str">
        <f>HYPERLINK("http://npthd.inbcu.com/ViewContent.aspx?filename=NPMR_ABC_2017-07-03_E.MP4$3348$3379","ABC Summer Fun &amp; Games")</f>
        <v>ABC Summer Fun &amp; Games</v>
      </c>
      <c r="E1109" s="3" t="s">
        <v>98</v>
      </c>
      <c r="F1109" s="3" t="s">
        <v>1273</v>
      </c>
      <c r="G1109" s="3" t="s">
        <v>1274</v>
      </c>
    </row>
    <row r="1110" spans="1:7">
      <c r="A1110" s="6">
        <v>42919</v>
      </c>
      <c r="B1110" s="3" t="s">
        <v>13</v>
      </c>
      <c r="C1110" s="3" t="s">
        <v>18</v>
      </c>
      <c r="D1110" s="8" t="str">
        <f>HYPERLINK("http://npthd.inbcu.com/ViewContent.aspx?filename=NPMR_ABC_2017-07-03_E.MP4$3379$3858","THE BACHELORETTE: 1306")</f>
        <v>THE BACHELORETTE: 1306</v>
      </c>
      <c r="E1110" s="3" t="s">
        <v>1129</v>
      </c>
      <c r="F1110" s="3" t="s">
        <v>1274</v>
      </c>
      <c r="G1110" s="3" t="s">
        <v>1275</v>
      </c>
    </row>
    <row r="1111" spans="1:7">
      <c r="A1111" s="6">
        <v>42919</v>
      </c>
      <c r="B1111" s="3" t="s">
        <v>13</v>
      </c>
      <c r="C1111" s="3" t="s">
        <v>21</v>
      </c>
      <c r="D1111" s="8" t="str">
        <f>HYPERLINK("http://npthd.inbcu.com/ViewContent.aspx?filename=NPMR_ABC_2017-07-03_E.MP4$3858$4038","COMMERCIAL")</f>
        <v>COMMERCIAL</v>
      </c>
      <c r="E1111" s="3" t="s">
        <v>22</v>
      </c>
      <c r="F1111" s="3" t="s">
        <v>1275</v>
      </c>
      <c r="G1111" s="3" t="s">
        <v>1276</v>
      </c>
    </row>
    <row r="1112" spans="1:7">
      <c r="A1112" s="6">
        <v>42919</v>
      </c>
      <c r="B1112" s="3" t="s">
        <v>13</v>
      </c>
      <c r="C1112" s="3" t="s">
        <v>14</v>
      </c>
      <c r="D1112" s="8" t="str">
        <f>HYPERLINK("http://npthd.inbcu.com/ViewContent.aspx?filename=NPMR_ABC_2017-07-03_E.MP4$4038$4068","Espys")</f>
        <v>Espys</v>
      </c>
      <c r="E1112" s="3" t="s">
        <v>38</v>
      </c>
      <c r="F1112" s="3" t="s">
        <v>1276</v>
      </c>
      <c r="G1112" s="3" t="s">
        <v>1277</v>
      </c>
    </row>
    <row r="1113" spans="1:7">
      <c r="A1113" s="6">
        <v>42919</v>
      </c>
      <c r="B1113" s="3" t="s">
        <v>13</v>
      </c>
      <c r="C1113" s="3" t="s">
        <v>32</v>
      </c>
      <c r="D1113" s="8" t="str">
        <f>HYPERLINK("http://npthd.inbcu.com/ViewContent.aspx?filename=NPMR_ABC_2017-07-03_E.MP4$4068$4072","LOCAL")</f>
        <v>LOCAL</v>
      </c>
      <c r="E1113" s="3" t="s">
        <v>84</v>
      </c>
      <c r="F1113" s="3" t="s">
        <v>1277</v>
      </c>
      <c r="G1113" s="3" t="s">
        <v>1278</v>
      </c>
    </row>
    <row r="1114" spans="1:7">
      <c r="A1114" s="6">
        <v>42919</v>
      </c>
      <c r="B1114" s="3" t="s">
        <v>13</v>
      </c>
      <c r="C1114" s="3" t="s">
        <v>18</v>
      </c>
      <c r="D1114" s="8" t="str">
        <f>HYPERLINK("http://npthd.inbcu.com/ViewContent.aspx?filename=NPMR_ABC_2017-07-03_E.MP4$4072$4460","THE BACHELORETTE: 1306")</f>
        <v>THE BACHELORETTE: 1306</v>
      </c>
      <c r="E1114" s="3" t="s">
        <v>1135</v>
      </c>
      <c r="F1114" s="3" t="s">
        <v>1278</v>
      </c>
      <c r="G1114" s="3" t="s">
        <v>1279</v>
      </c>
    </row>
    <row r="1115" spans="1:7">
      <c r="A1115" s="6">
        <v>42919</v>
      </c>
      <c r="B1115" s="3" t="s">
        <v>13</v>
      </c>
      <c r="C1115" s="3" t="s">
        <v>21</v>
      </c>
      <c r="D1115" s="8" t="str">
        <f>HYPERLINK("http://npthd.inbcu.com/ViewContent.aspx?filename=NPMR_ABC_2017-07-03_E.MP4$4460$4611","COMMERCIAL")</f>
        <v>COMMERCIAL</v>
      </c>
      <c r="E1115" s="3" t="s">
        <v>91</v>
      </c>
      <c r="F1115" s="3" t="s">
        <v>1279</v>
      </c>
      <c r="G1115" s="3" t="s">
        <v>1280</v>
      </c>
    </row>
    <row r="1116" spans="1:7">
      <c r="A1116" s="6">
        <v>42919</v>
      </c>
      <c r="B1116" s="3" t="s">
        <v>13</v>
      </c>
      <c r="C1116" s="3" t="s">
        <v>14</v>
      </c>
      <c r="D1116" s="8" t="str">
        <f>HYPERLINK("http://npthd.inbcu.com/ViewContent.aspx?filename=NPMR_ABC_2017-07-03_E.MP4$4611$4626","Battle of the Network Stars")</f>
        <v>Battle of the Network Stars</v>
      </c>
      <c r="E1116" s="3" t="s">
        <v>30</v>
      </c>
      <c r="F1116" s="3" t="s">
        <v>1280</v>
      </c>
      <c r="G1116" s="3" t="s">
        <v>1281</v>
      </c>
    </row>
    <row r="1117" spans="1:7">
      <c r="A1117" s="6">
        <v>42919</v>
      </c>
      <c r="B1117" s="3" t="s">
        <v>13</v>
      </c>
      <c r="C1117" s="3" t="s">
        <v>32</v>
      </c>
      <c r="D1117" s="8" t="str">
        <f>HYPERLINK("http://npthd.inbcu.com/ViewContent.aspx?filename=NPMR_ABC_2017-07-03_E.MP4$4626$4686","LOCAL")</f>
        <v>LOCAL</v>
      </c>
      <c r="E1117" s="3" t="s">
        <v>66</v>
      </c>
      <c r="F1117" s="3" t="s">
        <v>1281</v>
      </c>
      <c r="G1117" s="3" t="s">
        <v>1282</v>
      </c>
    </row>
    <row r="1118" spans="1:7">
      <c r="A1118" s="6">
        <v>42919</v>
      </c>
      <c r="B1118" s="3" t="s">
        <v>13</v>
      </c>
      <c r="C1118" s="3" t="s">
        <v>18</v>
      </c>
      <c r="D1118" s="8" t="str">
        <f>HYPERLINK("http://npthd.inbcu.com/ViewContent.aspx?filename=NPMR_ABC_2017-07-03_E.MP4$4686$5210","THE BACHELORETTE: 1306")</f>
        <v>THE BACHELORETTE: 1306</v>
      </c>
      <c r="E1118" s="3" t="s">
        <v>1139</v>
      </c>
      <c r="F1118" s="3" t="s">
        <v>1282</v>
      </c>
      <c r="G1118" s="3" t="s">
        <v>1283</v>
      </c>
    </row>
    <row r="1119" spans="1:7">
      <c r="A1119" s="6">
        <v>42919</v>
      </c>
      <c r="B1119" s="3" t="s">
        <v>13</v>
      </c>
      <c r="C1119" s="3" t="s">
        <v>21</v>
      </c>
      <c r="D1119" s="8" t="str">
        <f>HYPERLINK("http://npthd.inbcu.com/ViewContent.aspx?filename=NPMR_ABC_2017-07-03_E.MP4$5210$5390","COMMERCIAL")</f>
        <v>COMMERCIAL</v>
      </c>
      <c r="E1119" s="3" t="s">
        <v>22</v>
      </c>
      <c r="F1119" s="3" t="s">
        <v>1283</v>
      </c>
      <c r="G1119" s="3" t="s">
        <v>1284</v>
      </c>
    </row>
    <row r="1120" spans="1:7">
      <c r="A1120" s="6">
        <v>42919</v>
      </c>
      <c r="B1120" s="3" t="s">
        <v>13</v>
      </c>
      <c r="C1120" s="3" t="s">
        <v>14</v>
      </c>
      <c r="D1120" s="8" t="str">
        <f>HYPERLINK("http://npthd.inbcu.com/ViewContent.aspx?filename=NPMR_ABC_2017-07-03_E.MP4$5390$5420","Gong Show, The")</f>
        <v>Gong Show, The</v>
      </c>
      <c r="E1120" s="3" t="s">
        <v>38</v>
      </c>
      <c r="F1120" s="3" t="s">
        <v>1284</v>
      </c>
      <c r="G1120" s="3" t="s">
        <v>1285</v>
      </c>
    </row>
    <row r="1121" spans="1:7">
      <c r="A1121" s="6">
        <v>42919</v>
      </c>
      <c r="B1121" s="3" t="s">
        <v>13</v>
      </c>
      <c r="C1121" s="3" t="s">
        <v>18</v>
      </c>
      <c r="D1121" s="8" t="str">
        <f>HYPERLINK("http://npthd.inbcu.com/ViewContent.aspx?filename=NPMR_ABC_2017-07-03_E.MP4$5420$5736","THE BACHELORETTE: 1306")</f>
        <v>THE BACHELORETTE: 1306</v>
      </c>
      <c r="E1121" s="3" t="s">
        <v>1145</v>
      </c>
      <c r="F1121" s="3" t="s">
        <v>1285</v>
      </c>
      <c r="G1121" s="3" t="s">
        <v>1286</v>
      </c>
    </row>
    <row r="1122" spans="1:7">
      <c r="A1122" s="6">
        <v>42919</v>
      </c>
      <c r="B1122" s="3" t="s">
        <v>13</v>
      </c>
      <c r="C1122" s="3" t="s">
        <v>21</v>
      </c>
      <c r="D1122" s="8" t="str">
        <f>HYPERLINK("http://npthd.inbcu.com/ViewContent.aspx?filename=NPMR_ABC_2017-07-03_E.MP4$5736$5856","COMMERCIAL")</f>
        <v>COMMERCIAL</v>
      </c>
      <c r="E1122" s="3" t="s">
        <v>43</v>
      </c>
      <c r="F1122" s="3" t="s">
        <v>1286</v>
      </c>
      <c r="G1122" s="3" t="s">
        <v>1287</v>
      </c>
    </row>
    <row r="1123" spans="1:7">
      <c r="A1123" s="6">
        <v>42919</v>
      </c>
      <c r="B1123" s="3" t="s">
        <v>13</v>
      </c>
      <c r="C1123" s="3" t="s">
        <v>14</v>
      </c>
      <c r="D1123" s="8" t="str">
        <f>HYPERLINK("http://npthd.inbcu.com/ViewContent.aspx?filename=NPMR_ABC_2017-07-03_E.MP4$5856$5886","ABC Summer Fun &amp; Games")</f>
        <v>ABC Summer Fun &amp; Games</v>
      </c>
      <c r="E1123" s="3" t="s">
        <v>38</v>
      </c>
      <c r="F1123" s="3" t="s">
        <v>1287</v>
      </c>
      <c r="G1123" s="3" t="s">
        <v>1288</v>
      </c>
    </row>
    <row r="1124" spans="1:7">
      <c r="A1124" s="6">
        <v>42919</v>
      </c>
      <c r="B1124" s="3" t="s">
        <v>13</v>
      </c>
      <c r="C1124" s="3" t="s">
        <v>32</v>
      </c>
      <c r="D1124" s="8" t="str">
        <f>HYPERLINK("http://npthd.inbcu.com/ViewContent.aspx?filename=NPMR_ABC_2017-07-03_E.MP4$5886$5977","LOCAL")</f>
        <v>LOCAL</v>
      </c>
      <c r="E1124" s="3" t="s">
        <v>77</v>
      </c>
      <c r="F1124" s="3" t="s">
        <v>1288</v>
      </c>
      <c r="G1124" s="3" t="s">
        <v>1289</v>
      </c>
    </row>
    <row r="1125" spans="1:7">
      <c r="A1125" s="6">
        <v>42919</v>
      </c>
      <c r="B1125" s="3" t="s">
        <v>13</v>
      </c>
      <c r="C1125" s="3" t="s">
        <v>18</v>
      </c>
      <c r="D1125" s="8" t="str">
        <f>HYPERLINK("http://npthd.inbcu.com/ViewContent.aspx?filename=NPMR_ABC_2017-07-03_E.MP4$5977$6538","THE BACHELORETTE: 1306")</f>
        <v>THE BACHELORETTE: 1306</v>
      </c>
      <c r="E1125" s="3" t="s">
        <v>1290</v>
      </c>
      <c r="F1125" s="3" t="s">
        <v>1289</v>
      </c>
      <c r="G1125" s="3" t="s">
        <v>1151</v>
      </c>
    </row>
    <row r="1126" spans="1:7">
      <c r="A1126" s="6">
        <v>42919</v>
      </c>
      <c r="B1126" s="3" t="s">
        <v>13</v>
      </c>
      <c r="C1126" s="3" t="s">
        <v>21</v>
      </c>
      <c r="D1126" s="8" t="str">
        <f>HYPERLINK("http://npthd.inbcu.com/ViewContent.aspx?filename=NPMR_ABC_2017-07-03_E.MP4$6538$6719","COMMERCIAL")</f>
        <v>COMMERCIAL</v>
      </c>
      <c r="E1126" s="3" t="s">
        <v>108</v>
      </c>
      <c r="F1126" s="3" t="s">
        <v>1151</v>
      </c>
      <c r="G1126" s="3" t="s">
        <v>1152</v>
      </c>
    </row>
    <row r="1127" spans="1:7">
      <c r="A1127" s="6">
        <v>42919</v>
      </c>
      <c r="B1127" s="3" t="s">
        <v>13</v>
      </c>
      <c r="C1127" s="3" t="s">
        <v>14</v>
      </c>
      <c r="D1127" s="8" t="str">
        <f>HYPERLINK("http://npthd.inbcu.com/ViewContent.aspx?filename=NPMR_ABC_2017-07-03_E.MP4$6719$6749","Boy Band")</f>
        <v>Boy Band</v>
      </c>
      <c r="E1127" s="3" t="s">
        <v>38</v>
      </c>
      <c r="F1127" s="3" t="s">
        <v>1152</v>
      </c>
      <c r="G1127" s="3" t="s">
        <v>1153</v>
      </c>
    </row>
    <row r="1128" spans="1:7">
      <c r="A1128" s="6">
        <v>42919</v>
      </c>
      <c r="B1128" s="3" t="s">
        <v>13</v>
      </c>
      <c r="C1128" s="3" t="s">
        <v>14</v>
      </c>
      <c r="D1128" s="8" t="str">
        <f>HYPERLINK("http://npthd.inbcu.com/ViewContent.aspx?filename=NPMR_ABC_2017-07-03_E.MP4$6749$6779","Battle of the Network Stars")</f>
        <v>Battle of the Network Stars</v>
      </c>
      <c r="E1128" s="3" t="s">
        <v>38</v>
      </c>
      <c r="F1128" s="3" t="s">
        <v>1153</v>
      </c>
      <c r="G1128" s="3" t="s">
        <v>1003</v>
      </c>
    </row>
    <row r="1129" spans="1:7">
      <c r="A1129" s="6">
        <v>42919</v>
      </c>
      <c r="B1129" s="3" t="s">
        <v>13</v>
      </c>
      <c r="C1129" s="3" t="s">
        <v>32</v>
      </c>
      <c r="D1129" s="8" t="str">
        <f>HYPERLINK("http://npthd.inbcu.com/ViewContent.aspx?filename=NPMR_ABC_2017-07-03_E.MP4$6779$6783","LOCAL")</f>
        <v>LOCAL</v>
      </c>
      <c r="E1129" s="3" t="s">
        <v>84</v>
      </c>
      <c r="F1129" s="3" t="s">
        <v>1003</v>
      </c>
      <c r="G1129" s="3" t="s">
        <v>1154</v>
      </c>
    </row>
    <row r="1130" spans="1:7">
      <c r="A1130" s="6">
        <v>42919</v>
      </c>
      <c r="B1130" s="3" t="s">
        <v>13</v>
      </c>
      <c r="C1130" s="3" t="s">
        <v>18</v>
      </c>
      <c r="D1130" s="8" t="str">
        <f>HYPERLINK("http://npthd.inbcu.com/ViewContent.aspx?filename=NPMR_ABC_2017-07-03_E.MP4$6783$7384","THE BACHELORETTE: 1306")</f>
        <v>THE BACHELORETTE: 1306</v>
      </c>
      <c r="E1130" s="3" t="s">
        <v>1291</v>
      </c>
      <c r="F1130" s="3" t="s">
        <v>1154</v>
      </c>
      <c r="G1130" s="3" t="s">
        <v>474</v>
      </c>
    </row>
    <row r="1131" spans="1:7">
      <c r="A1131" s="6">
        <v>42919</v>
      </c>
      <c r="B1131" s="3" t="s">
        <v>13</v>
      </c>
      <c r="C1131" s="3" t="s">
        <v>18</v>
      </c>
      <c r="D1131" s="8" t="str">
        <f>HYPERLINK("http://npthd.inbcu.com/ViewContent.aspx?filename=NPMR_ABC_2017-07-03_E.MP4$7384$8127","BATTLE OF THE NETWORK STARS: tv sitcoms vs tv kids")</f>
        <v>BATTLE OF THE NETWORK STARS: tv sitcoms vs tv kids</v>
      </c>
      <c r="E1131" s="3" t="s">
        <v>1292</v>
      </c>
      <c r="F1131" s="3" t="s">
        <v>474</v>
      </c>
      <c r="G1131" s="3" t="s">
        <v>1293</v>
      </c>
    </row>
    <row r="1132" spans="1:7">
      <c r="A1132" s="6">
        <v>42919</v>
      </c>
      <c r="B1132" s="3" t="s">
        <v>13</v>
      </c>
      <c r="C1132" s="3" t="s">
        <v>21</v>
      </c>
      <c r="D1132" s="8" t="str">
        <f>HYPERLINK("http://npthd.inbcu.com/ViewContent.aspx?filename=NPMR_ABC_2017-07-03_E.MP4$8127$8307","COMMERCIAL")</f>
        <v>COMMERCIAL</v>
      </c>
      <c r="E1132" s="3" t="s">
        <v>22</v>
      </c>
      <c r="F1132" s="3" t="s">
        <v>1293</v>
      </c>
      <c r="G1132" s="3" t="s">
        <v>1294</v>
      </c>
    </row>
    <row r="1133" spans="1:7">
      <c r="A1133" s="6">
        <v>42919</v>
      </c>
      <c r="B1133" s="3" t="s">
        <v>13</v>
      </c>
      <c r="C1133" s="3" t="s">
        <v>14</v>
      </c>
      <c r="D1133" s="8" t="str">
        <f>HYPERLINK("http://npthd.inbcu.com/ViewContent.aspx?filename=NPMR_ABC_2017-07-03_E.MP4$8307$8338","Battle of the Network Stars")</f>
        <v>Battle of the Network Stars</v>
      </c>
      <c r="E1133" s="3" t="s">
        <v>98</v>
      </c>
      <c r="F1133" s="3" t="s">
        <v>1294</v>
      </c>
      <c r="G1133" s="3" t="s">
        <v>1295</v>
      </c>
    </row>
    <row r="1134" spans="1:7">
      <c r="A1134" s="6">
        <v>42919</v>
      </c>
      <c r="B1134" s="3" t="s">
        <v>13</v>
      </c>
      <c r="C1134" s="3" t="s">
        <v>18</v>
      </c>
      <c r="D1134" s="8" t="str">
        <f>HYPERLINK("http://npthd.inbcu.com/ViewContent.aspx?filename=NPMR_ABC_2017-07-03_E.MP4$8338$8887","BATTLE OF THE NETWORK STARS: tv sitcoms vs tv kids")</f>
        <v>BATTLE OF THE NETWORK STARS: tv sitcoms vs tv kids</v>
      </c>
      <c r="E1134" s="3" t="s">
        <v>41</v>
      </c>
      <c r="F1134" s="3" t="s">
        <v>1295</v>
      </c>
      <c r="G1134" s="3" t="s">
        <v>102</v>
      </c>
    </row>
    <row r="1135" spans="1:7">
      <c r="A1135" s="6">
        <v>42919</v>
      </c>
      <c r="B1135" s="3" t="s">
        <v>13</v>
      </c>
      <c r="C1135" s="3" t="s">
        <v>21</v>
      </c>
      <c r="D1135" s="8" t="str">
        <f>HYPERLINK("http://npthd.inbcu.com/ViewContent.aspx?filename=NPMR_ABC_2017-07-03_E.MP4$8887$9067","COMMERCIAL")</f>
        <v>COMMERCIAL</v>
      </c>
      <c r="E1135" s="3" t="s">
        <v>22</v>
      </c>
      <c r="F1135" s="3" t="s">
        <v>102</v>
      </c>
      <c r="G1135" s="3" t="s">
        <v>1296</v>
      </c>
    </row>
    <row r="1136" spans="1:7">
      <c r="A1136" s="6">
        <v>42919</v>
      </c>
      <c r="B1136" s="3" t="s">
        <v>13</v>
      </c>
      <c r="C1136" s="3" t="s">
        <v>14</v>
      </c>
      <c r="D1136" s="8" t="str">
        <f>HYPERLINK("http://npthd.inbcu.com/ViewContent.aspx?filename=NPMR_ABC_2017-07-03_E.MP4$9067$9097","Boy Band")</f>
        <v>Boy Band</v>
      </c>
      <c r="E1136" s="3" t="s">
        <v>38</v>
      </c>
      <c r="F1136" s="3" t="s">
        <v>1296</v>
      </c>
      <c r="G1136" s="3" t="s">
        <v>1297</v>
      </c>
    </row>
    <row r="1137" spans="1:7">
      <c r="A1137" s="6">
        <v>42919</v>
      </c>
      <c r="B1137" s="3" t="s">
        <v>13</v>
      </c>
      <c r="C1137" s="3" t="s">
        <v>18</v>
      </c>
      <c r="D1137" s="8" t="str">
        <f>HYPERLINK("http://npthd.inbcu.com/ViewContent.aspx?filename=NPMR_ABC_2017-07-03_E.MP4$9097$9463","BATTLE OF THE NETWORK STARS: tv sitcoms vs tv kids")</f>
        <v>BATTLE OF THE NETWORK STARS: tv sitcoms vs tv kids</v>
      </c>
      <c r="E1137" s="3" t="s">
        <v>957</v>
      </c>
      <c r="F1137" s="3" t="s">
        <v>1297</v>
      </c>
      <c r="G1137" s="3" t="s">
        <v>1298</v>
      </c>
    </row>
    <row r="1138" spans="1:7">
      <c r="A1138" s="6">
        <v>42919</v>
      </c>
      <c r="B1138" s="3" t="s">
        <v>13</v>
      </c>
      <c r="C1138" s="3" t="s">
        <v>21</v>
      </c>
      <c r="D1138" s="8" t="str">
        <f>HYPERLINK("http://npthd.inbcu.com/ViewContent.aspx?filename=NPMR_ABC_2017-07-03_E.MP4$9463$9523","COMMERCIAL")</f>
        <v>COMMERCIAL</v>
      </c>
      <c r="E1138" s="3" t="s">
        <v>66</v>
      </c>
      <c r="F1138" s="3" t="s">
        <v>1298</v>
      </c>
      <c r="G1138" s="3" t="s">
        <v>1299</v>
      </c>
    </row>
    <row r="1139" spans="1:7">
      <c r="A1139" s="6">
        <v>42919</v>
      </c>
      <c r="B1139" s="3" t="s">
        <v>13</v>
      </c>
      <c r="C1139" s="3" t="s">
        <v>14</v>
      </c>
      <c r="D1139" s="8" t="str">
        <f>HYPERLINK("http://npthd.inbcu.com/ViewContent.aspx?filename=NPMR_ABC_2017-07-03_E.MP4$9523$9553","Gong Show, The")</f>
        <v>Gong Show, The</v>
      </c>
      <c r="E1139" s="3" t="s">
        <v>38</v>
      </c>
      <c r="F1139" s="3" t="s">
        <v>1299</v>
      </c>
      <c r="G1139" s="3" t="s">
        <v>1300</v>
      </c>
    </row>
    <row r="1140" spans="1:7">
      <c r="A1140" s="6">
        <v>42919</v>
      </c>
      <c r="B1140" s="3" t="s">
        <v>13</v>
      </c>
      <c r="C1140" s="3" t="s">
        <v>32</v>
      </c>
      <c r="D1140" s="8" t="str">
        <f>HYPERLINK("http://npthd.inbcu.com/ViewContent.aspx?filename=NPMR_ABC_2017-07-03_E.MP4$9553$9689","LOCAL")</f>
        <v>LOCAL</v>
      </c>
      <c r="E1140" s="3" t="s">
        <v>668</v>
      </c>
      <c r="F1140" s="3" t="s">
        <v>1300</v>
      </c>
      <c r="G1140" s="3" t="s">
        <v>1301</v>
      </c>
    </row>
    <row r="1141" spans="1:7">
      <c r="A1141" s="6">
        <v>42919</v>
      </c>
      <c r="B1141" s="3" t="s">
        <v>13</v>
      </c>
      <c r="C1141" s="3" t="s">
        <v>18</v>
      </c>
      <c r="D1141" s="8" t="str">
        <f>HYPERLINK("http://npthd.inbcu.com/ViewContent.aspx?filename=NPMR_ABC_2017-07-03_E.MP4$9689$9905","BATTLE OF THE NETWORK STARS: tv sitcoms vs tv kids")</f>
        <v>BATTLE OF THE NETWORK STARS: tv sitcoms vs tv kids</v>
      </c>
      <c r="E1141" s="3" t="s">
        <v>1302</v>
      </c>
      <c r="F1141" s="3" t="s">
        <v>1301</v>
      </c>
      <c r="G1141" s="3" t="s">
        <v>1303</v>
      </c>
    </row>
    <row r="1142" spans="1:7">
      <c r="A1142" s="6">
        <v>42919</v>
      </c>
      <c r="B1142" s="3" t="s">
        <v>13</v>
      </c>
      <c r="C1142" s="3" t="s">
        <v>21</v>
      </c>
      <c r="D1142" s="8" t="str">
        <f>HYPERLINK("http://npthd.inbcu.com/ViewContent.aspx?filename=NPMR_ABC_2017-07-03_E.MP4$9905$10025","COMMERCIAL")</f>
        <v>COMMERCIAL</v>
      </c>
      <c r="E1142" s="3" t="s">
        <v>43</v>
      </c>
      <c r="F1142" s="3" t="s">
        <v>1303</v>
      </c>
      <c r="G1142" s="3" t="s">
        <v>1304</v>
      </c>
    </row>
    <row r="1143" spans="1:7">
      <c r="A1143" s="6">
        <v>42919</v>
      </c>
      <c r="B1143" s="3" t="s">
        <v>13</v>
      </c>
      <c r="C1143" s="3" t="s">
        <v>14</v>
      </c>
      <c r="D1143" s="8" t="str">
        <f>HYPERLINK("http://npthd.inbcu.com/ViewContent.aspx?filename=NPMR_ABC_2017-07-03_E.MP4$10025$10030","Boy Band")</f>
        <v>Boy Band</v>
      </c>
      <c r="E1143" s="3" t="s">
        <v>54</v>
      </c>
      <c r="F1143" s="3" t="s">
        <v>1304</v>
      </c>
      <c r="G1143" s="3" t="s">
        <v>1305</v>
      </c>
    </row>
    <row r="1144" spans="1:7">
      <c r="A1144" s="6">
        <v>42919</v>
      </c>
      <c r="B1144" s="3" t="s">
        <v>13</v>
      </c>
      <c r="C1144" s="3" t="s">
        <v>32</v>
      </c>
      <c r="D1144" s="8" t="str">
        <f>HYPERLINK("http://npthd.inbcu.com/ViewContent.aspx?filename=NPMR_ABC_2017-07-03_E.MP4$10030$10091","LOCAL")</f>
        <v>LOCAL</v>
      </c>
      <c r="E1144" s="3" t="s">
        <v>33</v>
      </c>
      <c r="F1144" s="3" t="s">
        <v>1305</v>
      </c>
      <c r="G1144" s="3" t="s">
        <v>1306</v>
      </c>
    </row>
    <row r="1145" spans="1:7">
      <c r="A1145" s="6">
        <v>42919</v>
      </c>
      <c r="B1145" s="3" t="s">
        <v>13</v>
      </c>
      <c r="C1145" s="3" t="s">
        <v>18</v>
      </c>
      <c r="D1145" s="8" t="str">
        <f>HYPERLINK("http://npthd.inbcu.com/ViewContent.aspx?filename=NPMR_ABC_2017-07-03_E.MP4$10091$10342","BATTLE OF THE NETWORK STARS: tv sitcoms vs tv kids")</f>
        <v>BATTLE OF THE NETWORK STARS: tv sitcoms vs tv kids</v>
      </c>
      <c r="E1145" s="3" t="s">
        <v>1307</v>
      </c>
      <c r="F1145" s="3" t="s">
        <v>1306</v>
      </c>
      <c r="G1145" s="3" t="s">
        <v>1308</v>
      </c>
    </row>
    <row r="1146" spans="1:7">
      <c r="A1146" s="6">
        <v>42919</v>
      </c>
      <c r="B1146" s="3" t="s">
        <v>13</v>
      </c>
      <c r="C1146" s="3" t="s">
        <v>32</v>
      </c>
      <c r="D1146" s="8" t="str">
        <f>HYPERLINK("http://npthd.inbcu.com/ViewContent.aspx?filename=NPMR_ABC_2017-07-03_E.MP4$10342$10360","LOCAL")</f>
        <v>LOCAL</v>
      </c>
      <c r="E1146" s="3" t="s">
        <v>932</v>
      </c>
      <c r="F1146" s="3" t="s">
        <v>1308</v>
      </c>
      <c r="G1146" s="3" t="s">
        <v>1309</v>
      </c>
    </row>
    <row r="1147" spans="1:7">
      <c r="A1147" s="6">
        <v>42919</v>
      </c>
      <c r="B1147" s="3" t="s">
        <v>13</v>
      </c>
      <c r="C1147" s="3" t="s">
        <v>21</v>
      </c>
      <c r="D1147" s="8" t="str">
        <f>HYPERLINK("http://npthd.inbcu.com/ViewContent.aspx?filename=NPMR_ABC_2017-07-03_E.MP4$10360$10480","COMMERCIAL")</f>
        <v>COMMERCIAL</v>
      </c>
      <c r="E1147" s="3" t="s">
        <v>43</v>
      </c>
      <c r="F1147" s="3" t="s">
        <v>1309</v>
      </c>
      <c r="G1147" s="3" t="s">
        <v>1310</v>
      </c>
    </row>
    <row r="1148" spans="1:7">
      <c r="A1148" s="6">
        <v>42919</v>
      </c>
      <c r="B1148" s="3" t="s">
        <v>13</v>
      </c>
      <c r="C1148" s="3" t="s">
        <v>14</v>
      </c>
      <c r="D1148" s="8" t="str">
        <f>HYPERLINK("http://npthd.inbcu.com/ViewContent.aspx?filename=NPMR_ABC_2017-07-03_E.MP4$10480$10495","Espys")</f>
        <v>Espys</v>
      </c>
      <c r="E1148" s="3" t="s">
        <v>30</v>
      </c>
      <c r="F1148" s="3" t="s">
        <v>1310</v>
      </c>
      <c r="G1148" s="3" t="s">
        <v>1311</v>
      </c>
    </row>
    <row r="1149" spans="1:7">
      <c r="A1149" s="6">
        <v>42919</v>
      </c>
      <c r="B1149" s="3" t="s">
        <v>13</v>
      </c>
      <c r="C1149" s="3" t="s">
        <v>18</v>
      </c>
      <c r="D1149" s="8" t="str">
        <f>HYPERLINK("http://npthd.inbcu.com/ViewContent.aspx?filename=NPMR_ABC_2017-07-03_E.MP4$10495$10909","BATTLE OF THE NETWORK STARS: tv sitcoms vs tv kids")</f>
        <v>BATTLE OF THE NETWORK STARS: tv sitcoms vs tv kids</v>
      </c>
      <c r="E1149" s="3" t="s">
        <v>1208</v>
      </c>
      <c r="F1149" s="3" t="s">
        <v>1311</v>
      </c>
      <c r="G1149" s="3" t="s">
        <v>123</v>
      </c>
    </row>
    <row r="1150" spans="1:7">
      <c r="A1150" s="6">
        <v>42919</v>
      </c>
      <c r="B1150" s="3" t="s">
        <v>13</v>
      </c>
      <c r="C1150" s="3" t="s">
        <v>32</v>
      </c>
      <c r="D1150" s="8" t="str">
        <f>HYPERLINK("http://npthd.inbcu.com/ViewContent.aspx?filename=NPMR_ABC_2017-07-03_E.MP4$10909$10924","LOCAL")</f>
        <v>LOCAL</v>
      </c>
      <c r="E1150" s="3" t="s">
        <v>30</v>
      </c>
      <c r="F1150" s="3" t="s">
        <v>123</v>
      </c>
      <c r="G1150" s="3" t="s">
        <v>124</v>
      </c>
    </row>
    <row r="1151" spans="1:7">
      <c r="A1151" s="6">
        <v>42920</v>
      </c>
      <c r="B1151" s="3" t="s">
        <v>13</v>
      </c>
      <c r="C1151" s="3" t="s">
        <v>14</v>
      </c>
      <c r="D1151" s="8" t="str">
        <f>HYPERLINK("http://npthd.inbcu.com/ViewContent.aspx?filename=NPMR_ABC_2017-07-04_E.MP4$130$135","ABC Open")</f>
        <v>ABC Open</v>
      </c>
      <c r="E1151" s="3" t="s">
        <v>54</v>
      </c>
      <c r="F1151" s="3" t="s">
        <v>16</v>
      </c>
      <c r="G1151" s="3" t="s">
        <v>125</v>
      </c>
    </row>
    <row r="1152" spans="1:7">
      <c r="A1152" s="6">
        <v>42920</v>
      </c>
      <c r="B1152" s="3" t="s">
        <v>13</v>
      </c>
      <c r="C1152" s="3" t="s">
        <v>18</v>
      </c>
      <c r="D1152" s="8" t="str">
        <f>HYPERLINK("http://npthd.inbcu.com/ViewContent.aspx?filename=NPMR_ABC_2017-07-04_E.MP4$135$630","THE MIDDLE: sorry not sorry")</f>
        <v>THE MIDDLE: sorry not sorry</v>
      </c>
      <c r="E1152" s="3" t="s">
        <v>1312</v>
      </c>
      <c r="F1152" s="3" t="s">
        <v>125</v>
      </c>
      <c r="G1152" s="3" t="s">
        <v>1313</v>
      </c>
    </row>
    <row r="1153" spans="1:7">
      <c r="A1153" s="6">
        <v>42920</v>
      </c>
      <c r="B1153" s="3" t="s">
        <v>13</v>
      </c>
      <c r="C1153" s="3" t="s">
        <v>21</v>
      </c>
      <c r="D1153" s="8" t="str">
        <f>HYPERLINK("http://npthd.inbcu.com/ViewContent.aspx?filename=NPMR_ABC_2017-07-04_E.MP4$630$750","COMMERCIAL")</f>
        <v>COMMERCIAL</v>
      </c>
      <c r="E1153" s="3" t="s">
        <v>43</v>
      </c>
      <c r="F1153" s="3" t="s">
        <v>1313</v>
      </c>
      <c r="G1153" s="3" t="s">
        <v>1314</v>
      </c>
    </row>
    <row r="1154" spans="1:7">
      <c r="A1154" s="6">
        <v>42920</v>
      </c>
      <c r="B1154" s="3" t="s">
        <v>13</v>
      </c>
      <c r="C1154" s="3" t="s">
        <v>14</v>
      </c>
      <c r="D1154" s="8" t="str">
        <f>HYPERLINK("http://npthd.inbcu.com/ViewContent.aspx?filename=NPMR_ABC_2017-07-04_E.MP4$750$765","Boy Band")</f>
        <v>Boy Band</v>
      </c>
      <c r="E1154" s="3" t="s">
        <v>30</v>
      </c>
      <c r="F1154" s="3" t="s">
        <v>1314</v>
      </c>
      <c r="G1154" s="3" t="s">
        <v>700</v>
      </c>
    </row>
    <row r="1155" spans="1:7">
      <c r="A1155" s="6">
        <v>42920</v>
      </c>
      <c r="B1155" s="3" t="s">
        <v>13</v>
      </c>
      <c r="C1155" s="3" t="s">
        <v>14</v>
      </c>
      <c r="D1155" s="8" t="str">
        <f>HYPERLINK("http://npthd.inbcu.com/ViewContent.aspx?filename=NPMR_ABC_2017-07-04_E.MP4$765$780","Gong Show, The")</f>
        <v>Gong Show, The</v>
      </c>
      <c r="E1155" s="3" t="s">
        <v>30</v>
      </c>
      <c r="F1155" s="3" t="s">
        <v>700</v>
      </c>
      <c r="G1155" s="3" t="s">
        <v>1315</v>
      </c>
    </row>
    <row r="1156" spans="1:7">
      <c r="A1156" s="6">
        <v>42920</v>
      </c>
      <c r="B1156" s="3" t="s">
        <v>13</v>
      </c>
      <c r="C1156" s="3" t="s">
        <v>18</v>
      </c>
      <c r="D1156" s="8" t="str">
        <f>HYPERLINK("http://npthd.inbcu.com/ViewContent.aspx?filename=NPMR_ABC_2017-07-04_E.MP4$780$1070","THE MIDDLE: sorry not sorry")</f>
        <v>THE MIDDLE: sorry not sorry</v>
      </c>
      <c r="E1156" s="3" t="s">
        <v>963</v>
      </c>
      <c r="F1156" s="3" t="s">
        <v>1315</v>
      </c>
      <c r="G1156" s="3" t="s">
        <v>1316</v>
      </c>
    </row>
    <row r="1157" spans="1:7">
      <c r="A1157" s="6">
        <v>42920</v>
      </c>
      <c r="B1157" s="3" t="s">
        <v>13</v>
      </c>
      <c r="C1157" s="3" t="s">
        <v>21</v>
      </c>
      <c r="D1157" s="8" t="str">
        <f>HYPERLINK("http://npthd.inbcu.com/ViewContent.aspx?filename=NPMR_ABC_2017-07-04_E.MP4$1070$1160","COMMERCIAL")</f>
        <v>COMMERCIAL</v>
      </c>
      <c r="E1157" s="3" t="s">
        <v>46</v>
      </c>
      <c r="F1157" s="3" t="s">
        <v>1316</v>
      </c>
      <c r="G1157" s="3" t="s">
        <v>1317</v>
      </c>
    </row>
    <row r="1158" spans="1:7">
      <c r="A1158" s="6">
        <v>42920</v>
      </c>
      <c r="B1158" s="3" t="s">
        <v>13</v>
      </c>
      <c r="C1158" s="3" t="s">
        <v>14</v>
      </c>
      <c r="D1158" s="8" t="str">
        <f>HYPERLINK("http://npthd.inbcu.com/ViewContent.aspx?filename=NPMR_ABC_2017-07-04_E.MP4$1160$1190","Bold Type (Freeform)")</f>
        <v>Bold Type (Freeform)</v>
      </c>
      <c r="E1158" s="3" t="s">
        <v>38</v>
      </c>
      <c r="F1158" s="3" t="s">
        <v>1317</v>
      </c>
      <c r="G1158" s="3" t="s">
        <v>1318</v>
      </c>
    </row>
    <row r="1159" spans="1:7">
      <c r="A1159" s="6">
        <v>42920</v>
      </c>
      <c r="B1159" s="3" t="s">
        <v>13</v>
      </c>
      <c r="C1159" s="3" t="s">
        <v>32</v>
      </c>
      <c r="D1159" s="8" t="str">
        <f>HYPERLINK("http://npthd.inbcu.com/ViewContent.aspx?filename=NPMR_ABC_2017-07-04_E.MP4$1190$1251","LOCAL")</f>
        <v>LOCAL</v>
      </c>
      <c r="E1159" s="3" t="s">
        <v>33</v>
      </c>
      <c r="F1159" s="3" t="s">
        <v>1318</v>
      </c>
      <c r="G1159" s="3" t="s">
        <v>1319</v>
      </c>
    </row>
    <row r="1160" spans="1:7">
      <c r="A1160" s="6">
        <v>42920</v>
      </c>
      <c r="B1160" s="3" t="s">
        <v>13</v>
      </c>
      <c r="C1160" s="3" t="s">
        <v>18</v>
      </c>
      <c r="D1160" s="8" t="str">
        <f>HYPERLINK("http://npthd.inbcu.com/ViewContent.aspx?filename=NPMR_ABC_2017-07-04_E.MP4$1251$1619","THE MIDDLE: sorry not sorry")</f>
        <v>THE MIDDLE: sorry not sorry</v>
      </c>
      <c r="E1160" s="3" t="s">
        <v>1229</v>
      </c>
      <c r="F1160" s="3" t="s">
        <v>1319</v>
      </c>
      <c r="G1160" s="3" t="s">
        <v>1320</v>
      </c>
    </row>
    <row r="1161" spans="1:7">
      <c r="A1161" s="6">
        <v>42920</v>
      </c>
      <c r="B1161" s="3" t="s">
        <v>13</v>
      </c>
      <c r="C1161" s="3" t="s">
        <v>21</v>
      </c>
      <c r="D1161" s="8" t="str">
        <f>HYPERLINK("http://npthd.inbcu.com/ViewContent.aspx?filename=NPMR_ABC_2017-07-04_E.MP4$1619$1785","COMMERCIAL")</f>
        <v>COMMERCIAL</v>
      </c>
      <c r="E1161" s="3" t="s">
        <v>144</v>
      </c>
      <c r="F1161" s="3" t="s">
        <v>1320</v>
      </c>
      <c r="G1161" s="3" t="s">
        <v>1321</v>
      </c>
    </row>
    <row r="1162" spans="1:7">
      <c r="A1162" s="6">
        <v>42920</v>
      </c>
      <c r="B1162" s="3" t="s">
        <v>13</v>
      </c>
      <c r="C1162" s="3" t="s">
        <v>14</v>
      </c>
      <c r="D1162" s="8" t="str">
        <f>HYPERLINK("http://npthd.inbcu.com/ViewContent.aspx?filename=NPMR_ABC_2017-07-04_E.MP4$1785$1800","Good Morning America")</f>
        <v>Good Morning America</v>
      </c>
      <c r="E1162" s="3" t="s">
        <v>30</v>
      </c>
      <c r="F1162" s="3" t="s">
        <v>1321</v>
      </c>
      <c r="G1162" s="3" t="s">
        <v>1322</v>
      </c>
    </row>
    <row r="1163" spans="1:7">
      <c r="A1163" s="6">
        <v>42920</v>
      </c>
      <c r="B1163" s="3" t="s">
        <v>13</v>
      </c>
      <c r="C1163" s="3" t="s">
        <v>14</v>
      </c>
      <c r="D1163" s="8" t="str">
        <f>HYPERLINK("http://npthd.inbcu.com/ViewContent.aspx?filename=NPMR_ABC_2017-07-04_E.MP4$1800$1815","Battle of the Network Stars")</f>
        <v>Battle of the Network Stars</v>
      </c>
      <c r="E1163" s="3" t="s">
        <v>30</v>
      </c>
      <c r="F1163" s="3" t="s">
        <v>1322</v>
      </c>
      <c r="G1163" s="3" t="s">
        <v>1323</v>
      </c>
    </row>
    <row r="1164" spans="1:7">
      <c r="A1164" s="6">
        <v>42920</v>
      </c>
      <c r="B1164" s="3" t="s">
        <v>13</v>
      </c>
      <c r="C1164" s="3" t="s">
        <v>18</v>
      </c>
      <c r="D1164" s="8" t="str">
        <f>HYPERLINK("http://npthd.inbcu.com/ViewContent.aspx?filename=NPMR_ABC_2017-07-04_E.MP4$1815$1930","THE MIDDLE: sorry not sorry")</f>
        <v>THE MIDDLE: sorry not sorry</v>
      </c>
      <c r="E1164" s="3" t="s">
        <v>1324</v>
      </c>
      <c r="F1164" s="3" t="s">
        <v>1323</v>
      </c>
      <c r="G1164" s="3" t="s">
        <v>513</v>
      </c>
    </row>
    <row r="1165" spans="1:7">
      <c r="A1165" s="6">
        <v>42920</v>
      </c>
      <c r="B1165" s="3" t="s">
        <v>13</v>
      </c>
      <c r="C1165" s="3" t="s">
        <v>14</v>
      </c>
      <c r="D1165" s="8" t="str">
        <f>HYPERLINK("http://npthd.inbcu.com/ViewContent.aspx?filename=NPMR_ABC_2017-07-04_E.MP4$1930$1935","Fresh Off The Boat")</f>
        <v>Fresh Off The Boat</v>
      </c>
      <c r="E1165" s="3" t="s">
        <v>54</v>
      </c>
      <c r="F1165" s="3" t="s">
        <v>513</v>
      </c>
      <c r="G1165" s="3" t="s">
        <v>620</v>
      </c>
    </row>
    <row r="1166" spans="1:7">
      <c r="A1166" s="6">
        <v>42920</v>
      </c>
      <c r="B1166" s="3" t="s">
        <v>13</v>
      </c>
      <c r="C1166" s="3" t="s">
        <v>18</v>
      </c>
      <c r="D1166" s="8" t="str">
        <f>HYPERLINK("http://npthd.inbcu.com/ViewContent.aspx?filename=NPMR_ABC_2017-07-04_E.MP4$1935$2379","FRESH OFF THE BOAT: neighbors with attitudes")</f>
        <v>FRESH OFF THE BOAT: neighbors with attitudes</v>
      </c>
      <c r="E1166" s="3" t="s">
        <v>244</v>
      </c>
      <c r="F1166" s="3" t="s">
        <v>620</v>
      </c>
      <c r="G1166" s="3" t="s">
        <v>1325</v>
      </c>
    </row>
    <row r="1167" spans="1:7">
      <c r="A1167" s="6">
        <v>42920</v>
      </c>
      <c r="B1167" s="3" t="s">
        <v>13</v>
      </c>
      <c r="C1167" s="3" t="s">
        <v>21</v>
      </c>
      <c r="D1167" s="8" t="str">
        <f>HYPERLINK("http://npthd.inbcu.com/ViewContent.aspx?filename=NPMR_ABC_2017-07-04_E.MP4$2379$2499","COMMERCIAL")</f>
        <v>COMMERCIAL</v>
      </c>
      <c r="E1167" s="3" t="s">
        <v>43</v>
      </c>
      <c r="F1167" s="3" t="s">
        <v>1325</v>
      </c>
      <c r="G1167" s="3" t="s">
        <v>1326</v>
      </c>
    </row>
    <row r="1168" spans="1:7">
      <c r="A1168" s="6">
        <v>42920</v>
      </c>
      <c r="B1168" s="3" t="s">
        <v>13</v>
      </c>
      <c r="C1168" s="3" t="s">
        <v>14</v>
      </c>
      <c r="D1168" s="8" t="str">
        <f>HYPERLINK("http://npthd.inbcu.com/ViewContent.aspx?filename=NPMR_ABC_2017-07-04_E.MP4$2499$2530","Boy Band")</f>
        <v>Boy Band</v>
      </c>
      <c r="E1168" s="3" t="s">
        <v>98</v>
      </c>
      <c r="F1168" s="3" t="s">
        <v>1326</v>
      </c>
      <c r="G1168" s="3" t="s">
        <v>1327</v>
      </c>
    </row>
    <row r="1169" spans="1:7">
      <c r="A1169" s="6">
        <v>42920</v>
      </c>
      <c r="B1169" s="3" t="s">
        <v>13</v>
      </c>
      <c r="C1169" s="3" t="s">
        <v>18</v>
      </c>
      <c r="D1169" s="8" t="str">
        <f>HYPERLINK("http://npthd.inbcu.com/ViewContent.aspx?filename=NPMR_ABC_2017-07-04_E.MP4$2530$2950","FRESH OFF THE BOAT: neighbors with attitudes")</f>
        <v>FRESH OFF THE BOAT: neighbors with attitudes</v>
      </c>
      <c r="E1169" s="3" t="s">
        <v>26</v>
      </c>
      <c r="F1169" s="3" t="s">
        <v>1327</v>
      </c>
      <c r="G1169" s="3" t="s">
        <v>1328</v>
      </c>
    </row>
    <row r="1170" spans="1:7">
      <c r="A1170" s="6">
        <v>42920</v>
      </c>
      <c r="B1170" s="3" t="s">
        <v>13</v>
      </c>
      <c r="C1170" s="3" t="s">
        <v>14</v>
      </c>
      <c r="D1170" s="8" t="str">
        <f>HYPERLINK("http://npthd.inbcu.com/ViewContent.aspx?filename=NPMR_ABC_2017-07-04_E.MP4$2950$2955","Gong Show, The")</f>
        <v>Gong Show, The</v>
      </c>
      <c r="E1170" s="3" t="s">
        <v>54</v>
      </c>
      <c r="F1170" s="3" t="s">
        <v>1328</v>
      </c>
      <c r="G1170" s="3" t="s">
        <v>1329</v>
      </c>
    </row>
    <row r="1171" spans="1:7">
      <c r="A1171" s="6">
        <v>42920</v>
      </c>
      <c r="B1171" s="3" t="s">
        <v>13</v>
      </c>
      <c r="C1171" s="3" t="s">
        <v>21</v>
      </c>
      <c r="D1171" s="8" t="str">
        <f>HYPERLINK("http://npthd.inbcu.com/ViewContent.aspx?filename=NPMR_ABC_2017-07-04_E.MP4$2955$3045","COMMERCIAL")</f>
        <v>COMMERCIAL</v>
      </c>
      <c r="E1171" s="3" t="s">
        <v>46</v>
      </c>
      <c r="F1171" s="3" t="s">
        <v>1329</v>
      </c>
      <c r="G1171" s="3" t="s">
        <v>1330</v>
      </c>
    </row>
    <row r="1172" spans="1:7">
      <c r="A1172" s="6">
        <v>42920</v>
      </c>
      <c r="B1172" s="3" t="s">
        <v>13</v>
      </c>
      <c r="C1172" s="3" t="s">
        <v>14</v>
      </c>
      <c r="D1172" s="8" t="str">
        <f>HYPERLINK("http://npthd.inbcu.com/ViewContent.aspx?filename=NPMR_ABC_2017-07-04_E.MP4$3045$3050","Funderdome")</f>
        <v>Funderdome</v>
      </c>
      <c r="E1172" s="3" t="s">
        <v>54</v>
      </c>
      <c r="F1172" s="3" t="s">
        <v>1330</v>
      </c>
      <c r="G1172" s="3" t="s">
        <v>1331</v>
      </c>
    </row>
    <row r="1173" spans="1:7">
      <c r="A1173" s="6">
        <v>42920</v>
      </c>
      <c r="B1173" s="3" t="s">
        <v>13</v>
      </c>
      <c r="C1173" s="3" t="s">
        <v>14</v>
      </c>
      <c r="D1173" s="8" t="str">
        <f>HYPERLINK("http://npthd.inbcu.com/ViewContent.aspx?filename=NPMR_ABC_2017-07-04_E.MP4$3050$3065","Espys")</f>
        <v>Espys</v>
      </c>
      <c r="E1173" s="3" t="s">
        <v>30</v>
      </c>
      <c r="F1173" s="3" t="s">
        <v>1331</v>
      </c>
      <c r="G1173" s="3" t="s">
        <v>717</v>
      </c>
    </row>
    <row r="1174" spans="1:7">
      <c r="A1174" s="6">
        <v>42920</v>
      </c>
      <c r="B1174" s="3" t="s">
        <v>13</v>
      </c>
      <c r="C1174" s="3" t="s">
        <v>32</v>
      </c>
      <c r="D1174" s="8" t="str">
        <f>HYPERLINK("http://npthd.inbcu.com/ViewContent.aspx?filename=NPMR_ABC_2017-07-04_E.MP4$3065$3155","LOCAL")</f>
        <v>LOCAL</v>
      </c>
      <c r="E1174" s="3" t="s">
        <v>46</v>
      </c>
      <c r="F1174" s="3" t="s">
        <v>717</v>
      </c>
      <c r="G1174" s="3" t="s">
        <v>1332</v>
      </c>
    </row>
    <row r="1175" spans="1:7">
      <c r="A1175" s="6">
        <v>42920</v>
      </c>
      <c r="B1175" s="3" t="s">
        <v>13</v>
      </c>
      <c r="C1175" s="3" t="s">
        <v>18</v>
      </c>
      <c r="D1175" s="8" t="str">
        <f>HYPERLINK("http://npthd.inbcu.com/ViewContent.aspx?filename=NPMR_ABC_2017-07-04_E.MP4$3155$3482","FRESH OFF THE BOAT: neighbors with attitudes")</f>
        <v>FRESH OFF THE BOAT: neighbors with attitudes</v>
      </c>
      <c r="E1175" s="3" t="s">
        <v>1333</v>
      </c>
      <c r="F1175" s="3" t="s">
        <v>1332</v>
      </c>
      <c r="G1175" s="3" t="s">
        <v>799</v>
      </c>
    </row>
    <row r="1176" spans="1:7">
      <c r="A1176" s="6">
        <v>42920</v>
      </c>
      <c r="B1176" s="3" t="s">
        <v>13</v>
      </c>
      <c r="C1176" s="3" t="s">
        <v>21</v>
      </c>
      <c r="D1176" s="8" t="str">
        <f>HYPERLINK("http://npthd.inbcu.com/ViewContent.aspx?filename=NPMR_ABC_2017-07-04_E.MP4$3482$3631","COMMERCIAL")</f>
        <v>COMMERCIAL</v>
      </c>
      <c r="E1176" s="3" t="s">
        <v>952</v>
      </c>
      <c r="F1176" s="3" t="s">
        <v>799</v>
      </c>
      <c r="G1176" s="3" t="s">
        <v>1334</v>
      </c>
    </row>
    <row r="1177" spans="1:7">
      <c r="A1177" s="6">
        <v>42920</v>
      </c>
      <c r="B1177" s="3" t="s">
        <v>13</v>
      </c>
      <c r="C1177" s="3" t="s">
        <v>14</v>
      </c>
      <c r="D1177" s="8" t="str">
        <f>HYPERLINK("http://npthd.inbcu.com/ViewContent.aspx?filename=NPMR_ABC_2017-07-04_E.MP4$3631$3647","Battle of the Network Stars")</f>
        <v>Battle of the Network Stars</v>
      </c>
      <c r="E1177" s="3" t="s">
        <v>64</v>
      </c>
      <c r="F1177" s="3" t="s">
        <v>1334</v>
      </c>
      <c r="G1177" s="3" t="s">
        <v>1335</v>
      </c>
    </row>
    <row r="1178" spans="1:7">
      <c r="A1178" s="6">
        <v>42920</v>
      </c>
      <c r="B1178" s="3" t="s">
        <v>13</v>
      </c>
      <c r="C1178" s="3" t="s">
        <v>32</v>
      </c>
      <c r="D1178" s="8" t="str">
        <f>HYPERLINK("http://npthd.inbcu.com/ViewContent.aspx?filename=NPMR_ABC_2017-07-04_E.MP4$3647$3651","LOCAL")</f>
        <v>LOCAL</v>
      </c>
      <c r="E1178" s="3" t="s">
        <v>84</v>
      </c>
      <c r="F1178" s="3" t="s">
        <v>1335</v>
      </c>
      <c r="G1178" s="3" t="s">
        <v>1336</v>
      </c>
    </row>
    <row r="1179" spans="1:7">
      <c r="A1179" s="6">
        <v>42920</v>
      </c>
      <c r="B1179" s="3" t="s">
        <v>13</v>
      </c>
      <c r="C1179" s="3" t="s">
        <v>18</v>
      </c>
      <c r="D1179" s="8" t="str">
        <f>HYPERLINK("http://npthd.inbcu.com/ViewContent.aspx?filename=NPMR_ABC_2017-07-04_E.MP4$3651$3730","FRESH OFF THE BOAT: neighbors with attitudes")</f>
        <v>FRESH OFF THE BOAT: neighbors with attitudes</v>
      </c>
      <c r="E1179" s="3" t="s">
        <v>1337</v>
      </c>
      <c r="F1179" s="3" t="s">
        <v>1336</v>
      </c>
      <c r="G1179" s="3" t="s">
        <v>242</v>
      </c>
    </row>
    <row r="1180" spans="1:7">
      <c r="A1180" s="6">
        <v>42920</v>
      </c>
      <c r="B1180" s="3" t="s">
        <v>13</v>
      </c>
      <c r="C1180" s="3" t="s">
        <v>14</v>
      </c>
      <c r="D1180" s="8" t="str">
        <f>HYPERLINK("http://npthd.inbcu.com/ViewContent.aspx?filename=NPMR_ABC_2017-07-04_E.MP4$3730$3735","Black-ish")</f>
        <v>Black-ish</v>
      </c>
      <c r="E1180" s="3" t="s">
        <v>54</v>
      </c>
      <c r="F1180" s="3" t="s">
        <v>242</v>
      </c>
      <c r="G1180" s="3" t="s">
        <v>243</v>
      </c>
    </row>
    <row r="1181" spans="1:7">
      <c r="A1181" s="6">
        <v>42920</v>
      </c>
      <c r="B1181" s="3" t="s">
        <v>13</v>
      </c>
      <c r="C1181" s="3" t="s">
        <v>18</v>
      </c>
      <c r="D1181" s="8" t="str">
        <f>HYPERLINK("http://npthd.inbcu.com/ViewContent.aspx?filename=NPMR_ABC_2017-07-04_E.MP4$3735$4301","BLACK-ISH: just christmas, baby")</f>
        <v>BLACK-ISH: just christmas, baby</v>
      </c>
      <c r="E1181" s="3" t="s">
        <v>1150</v>
      </c>
      <c r="F1181" s="3" t="s">
        <v>243</v>
      </c>
      <c r="G1181" s="3" t="s">
        <v>1338</v>
      </c>
    </row>
    <row r="1182" spans="1:7">
      <c r="A1182" s="6">
        <v>42920</v>
      </c>
      <c r="B1182" s="3" t="s">
        <v>13</v>
      </c>
      <c r="C1182" s="3" t="s">
        <v>21</v>
      </c>
      <c r="D1182" s="8" t="str">
        <f>HYPERLINK("http://npthd.inbcu.com/ViewContent.aspx?filename=NPMR_ABC_2017-07-04_E.MP4$4301$4421","COMMERCIAL")</f>
        <v>COMMERCIAL</v>
      </c>
      <c r="E1182" s="3" t="s">
        <v>43</v>
      </c>
      <c r="F1182" s="3" t="s">
        <v>1338</v>
      </c>
      <c r="G1182" s="3" t="s">
        <v>1339</v>
      </c>
    </row>
    <row r="1183" spans="1:7">
      <c r="A1183" s="6">
        <v>42920</v>
      </c>
      <c r="B1183" s="3" t="s">
        <v>13</v>
      </c>
      <c r="C1183" s="3" t="s">
        <v>14</v>
      </c>
      <c r="D1183" s="8" t="str">
        <f>HYPERLINK("http://npthd.inbcu.com/ViewContent.aspx?filename=NPMR_ABC_2017-07-04_E.MP4$4421$4436","Boy Band")</f>
        <v>Boy Band</v>
      </c>
      <c r="E1183" s="3" t="s">
        <v>30</v>
      </c>
      <c r="F1183" s="3" t="s">
        <v>1339</v>
      </c>
      <c r="G1183" s="3" t="s">
        <v>1340</v>
      </c>
    </row>
    <row r="1184" spans="1:7">
      <c r="A1184" s="6">
        <v>42920</v>
      </c>
      <c r="B1184" s="3" t="s">
        <v>13</v>
      </c>
      <c r="C1184" s="3" t="s">
        <v>14</v>
      </c>
      <c r="D1184" s="8" t="str">
        <f>HYPERLINK("http://npthd.inbcu.com/ViewContent.aspx?filename=NPMR_ABC_2017-07-04_E.MP4$4436$4466","Battle of the Network Stars")</f>
        <v>Battle of the Network Stars</v>
      </c>
      <c r="E1184" s="3" t="s">
        <v>38</v>
      </c>
      <c r="F1184" s="3" t="s">
        <v>1340</v>
      </c>
      <c r="G1184" s="3" t="s">
        <v>1279</v>
      </c>
    </row>
    <row r="1185" spans="1:7">
      <c r="A1185" s="6">
        <v>42920</v>
      </c>
      <c r="B1185" s="3" t="s">
        <v>13</v>
      </c>
      <c r="C1185" s="3" t="s">
        <v>18</v>
      </c>
      <c r="D1185" s="8" t="str">
        <f>HYPERLINK("http://npthd.inbcu.com/ViewContent.aspx?filename=NPMR_ABC_2017-07-04_E.MP4$4466$4791","BLACK-ISH: just christmas, baby")</f>
        <v>BLACK-ISH: just christmas, baby</v>
      </c>
      <c r="E1185" s="3" t="s">
        <v>609</v>
      </c>
      <c r="F1185" s="3" t="s">
        <v>1279</v>
      </c>
      <c r="G1185" s="3" t="s">
        <v>1341</v>
      </c>
    </row>
    <row r="1186" spans="1:7">
      <c r="A1186" s="6">
        <v>42920</v>
      </c>
      <c r="B1186" s="3" t="s">
        <v>13</v>
      </c>
      <c r="C1186" s="3" t="s">
        <v>21</v>
      </c>
      <c r="D1186" s="8" t="str">
        <f>HYPERLINK("http://npthd.inbcu.com/ViewContent.aspx?filename=NPMR_ABC_2017-07-04_E.MP4$4791$4851","COMMERCIAL")</f>
        <v>COMMERCIAL</v>
      </c>
      <c r="E1186" s="3" t="s">
        <v>66</v>
      </c>
      <c r="F1186" s="3" t="s">
        <v>1341</v>
      </c>
      <c r="G1186" s="3" t="s">
        <v>1342</v>
      </c>
    </row>
    <row r="1187" spans="1:7">
      <c r="A1187" s="6">
        <v>42920</v>
      </c>
      <c r="B1187" s="3" t="s">
        <v>13</v>
      </c>
      <c r="C1187" s="3" t="s">
        <v>14</v>
      </c>
      <c r="D1187" s="8" t="str">
        <f>HYPERLINK("http://npthd.inbcu.com/ViewContent.aspx?filename=NPMR_ABC_2017-07-04_E.MP4$4851$4881","Gong Show, The")</f>
        <v>Gong Show, The</v>
      </c>
      <c r="E1187" s="3" t="s">
        <v>38</v>
      </c>
      <c r="F1187" s="3" t="s">
        <v>1342</v>
      </c>
      <c r="G1187" s="3" t="s">
        <v>1343</v>
      </c>
    </row>
    <row r="1188" spans="1:7">
      <c r="A1188" s="6">
        <v>42920</v>
      </c>
      <c r="B1188" s="3" t="s">
        <v>13</v>
      </c>
      <c r="C1188" s="3" t="s">
        <v>14</v>
      </c>
      <c r="D1188" s="8" t="str">
        <f>HYPERLINK("http://npthd.inbcu.com/ViewContent.aspx?filename=NPMR_ABC_2017-07-04_E.MP4$4881$4911","ABC Sunday Fun and Games")</f>
        <v>ABC Sunday Fun and Games</v>
      </c>
      <c r="E1188" s="3" t="s">
        <v>38</v>
      </c>
      <c r="F1188" s="3" t="s">
        <v>1343</v>
      </c>
      <c r="G1188" s="3" t="s">
        <v>373</v>
      </c>
    </row>
    <row r="1189" spans="1:7">
      <c r="A1189" s="6">
        <v>42920</v>
      </c>
      <c r="B1189" s="3" t="s">
        <v>13</v>
      </c>
      <c r="C1189" s="3" t="s">
        <v>32</v>
      </c>
      <c r="D1189" s="8" t="str">
        <f>HYPERLINK("http://npthd.inbcu.com/ViewContent.aspx?filename=NPMR_ABC_2017-07-04_E.MP4$4911$4974","LOCAL")</f>
        <v>LOCAL</v>
      </c>
      <c r="E1189" s="3" t="s">
        <v>1344</v>
      </c>
      <c r="F1189" s="3" t="s">
        <v>373</v>
      </c>
      <c r="G1189" s="3" t="s">
        <v>1345</v>
      </c>
    </row>
    <row r="1190" spans="1:7">
      <c r="A1190" s="6">
        <v>42920</v>
      </c>
      <c r="B1190" s="3" t="s">
        <v>13</v>
      </c>
      <c r="C1190" s="3" t="s">
        <v>18</v>
      </c>
      <c r="D1190" s="8" t="str">
        <f>HYPERLINK("http://npthd.inbcu.com/ViewContent.aspx?filename=NPMR_ABC_2017-07-04_E.MP4$4974$5305","BLACK-ISH: just christmas, baby")</f>
        <v>BLACK-ISH: just christmas, baby</v>
      </c>
      <c r="E1190" s="3" t="s">
        <v>1346</v>
      </c>
      <c r="F1190" s="3" t="s">
        <v>1345</v>
      </c>
      <c r="G1190" s="3" t="s">
        <v>1347</v>
      </c>
    </row>
    <row r="1191" spans="1:7">
      <c r="A1191" s="6">
        <v>42920</v>
      </c>
      <c r="B1191" s="3" t="s">
        <v>13</v>
      </c>
      <c r="C1191" s="3" t="s">
        <v>21</v>
      </c>
      <c r="D1191" s="8" t="str">
        <f>HYPERLINK("http://npthd.inbcu.com/ViewContent.aspx?filename=NPMR_ABC_2017-07-04_E.MP4$5305$5455","COMMERCIAL")</f>
        <v>COMMERCIAL</v>
      </c>
      <c r="E1191" s="3" t="s">
        <v>28</v>
      </c>
      <c r="F1191" s="3" t="s">
        <v>1347</v>
      </c>
      <c r="G1191" s="3" t="s">
        <v>1348</v>
      </c>
    </row>
    <row r="1192" spans="1:7">
      <c r="A1192" s="6">
        <v>42920</v>
      </c>
      <c r="B1192" s="3" t="s">
        <v>13</v>
      </c>
      <c r="C1192" s="3" t="s">
        <v>14</v>
      </c>
      <c r="D1192" s="8" t="str">
        <f>HYPERLINK("http://npthd.inbcu.com/ViewContent.aspx?filename=NPMR_ABC_2017-07-04_E.MP4$5455$5470","To Tell the Truth")</f>
        <v>To Tell the Truth</v>
      </c>
      <c r="E1192" s="3" t="s">
        <v>30</v>
      </c>
      <c r="F1192" s="3" t="s">
        <v>1348</v>
      </c>
      <c r="G1192" s="3" t="s">
        <v>1349</v>
      </c>
    </row>
    <row r="1193" spans="1:7">
      <c r="A1193" s="6">
        <v>42920</v>
      </c>
      <c r="B1193" s="3" t="s">
        <v>13</v>
      </c>
      <c r="C1193" s="3" t="s">
        <v>14</v>
      </c>
      <c r="D1193" s="8" t="str">
        <f>HYPERLINK("http://npthd.inbcu.com/ViewContent.aspx?filename=NPMR_ABC_2017-07-04_E.MP4$5470$5485","Bachelorette")</f>
        <v>Bachelorette</v>
      </c>
      <c r="E1193" s="3" t="s">
        <v>30</v>
      </c>
      <c r="F1193" s="3" t="s">
        <v>1349</v>
      </c>
      <c r="G1193" s="3" t="s">
        <v>1350</v>
      </c>
    </row>
    <row r="1194" spans="1:7">
      <c r="A1194" s="6">
        <v>42920</v>
      </c>
      <c r="B1194" s="3" t="s">
        <v>13</v>
      </c>
      <c r="C1194" s="3" t="s">
        <v>18</v>
      </c>
      <c r="D1194" s="8" t="str">
        <f>HYPERLINK("http://npthd.inbcu.com/ViewContent.aspx?filename=NPMR_ABC_2017-07-04_E.MP4$5485$5530","BLACK-ISH: just christmas, baby")</f>
        <v>BLACK-ISH: just christmas, baby</v>
      </c>
      <c r="E1194" s="3" t="s">
        <v>1143</v>
      </c>
      <c r="F1194" s="3" t="s">
        <v>1350</v>
      </c>
      <c r="G1194" s="3" t="s">
        <v>550</v>
      </c>
    </row>
    <row r="1195" spans="1:7">
      <c r="A1195" s="6">
        <v>42920</v>
      </c>
      <c r="B1195" s="3" t="s">
        <v>13</v>
      </c>
      <c r="C1195" s="3" t="s">
        <v>14</v>
      </c>
      <c r="D1195" s="8" t="str">
        <f>HYPERLINK("http://npthd.inbcu.com/ViewContent.aspx?filename=NPMR_ABC_2017-07-04_E.MP4$5530$5535","Black-ish")</f>
        <v>Black-ish</v>
      </c>
      <c r="E1195" s="3" t="s">
        <v>54</v>
      </c>
      <c r="F1195" s="3" t="s">
        <v>550</v>
      </c>
      <c r="G1195" s="3" t="s">
        <v>551</v>
      </c>
    </row>
    <row r="1196" spans="1:7">
      <c r="A1196" s="6">
        <v>42920</v>
      </c>
      <c r="B1196" s="3" t="s">
        <v>13</v>
      </c>
      <c r="C1196" s="3" t="s">
        <v>18</v>
      </c>
      <c r="D1196" s="8" t="str">
        <f>HYPERLINK("http://npthd.inbcu.com/ViewContent.aspx?filename=NPMR_ABC_2017-07-04_E.MP4$5535$6176","BLACK-ISH: the purge")</f>
        <v>BLACK-ISH: the purge</v>
      </c>
      <c r="E1196" s="3" t="s">
        <v>1351</v>
      </c>
      <c r="F1196" s="3" t="s">
        <v>551</v>
      </c>
      <c r="G1196" s="3" t="s">
        <v>1352</v>
      </c>
    </row>
    <row r="1197" spans="1:7">
      <c r="A1197" s="6">
        <v>42920</v>
      </c>
      <c r="B1197" s="3" t="s">
        <v>13</v>
      </c>
      <c r="C1197" s="3" t="s">
        <v>21</v>
      </c>
      <c r="D1197" s="8" t="str">
        <f>HYPERLINK("http://npthd.inbcu.com/ViewContent.aspx?filename=NPMR_ABC_2017-07-04_E.MP4$6176$6296","COMMERCIAL")</f>
        <v>COMMERCIAL</v>
      </c>
      <c r="E1197" s="3" t="s">
        <v>43</v>
      </c>
      <c r="F1197" s="3" t="s">
        <v>1352</v>
      </c>
      <c r="G1197" s="3" t="s">
        <v>1353</v>
      </c>
    </row>
    <row r="1198" spans="1:7">
      <c r="A1198" s="6">
        <v>42920</v>
      </c>
      <c r="B1198" s="3" t="s">
        <v>13</v>
      </c>
      <c r="C1198" s="3" t="s">
        <v>14</v>
      </c>
      <c r="D1198" s="8" t="str">
        <f>HYPERLINK("http://npthd.inbcu.com/ViewContent.aspx?filename=NPMR_ABC_2017-07-04_E.MP4$6296$6326","Battle of the Network Stars")</f>
        <v>Battle of the Network Stars</v>
      </c>
      <c r="E1198" s="3" t="s">
        <v>38</v>
      </c>
      <c r="F1198" s="3" t="s">
        <v>1353</v>
      </c>
      <c r="G1198" s="3" t="s">
        <v>1354</v>
      </c>
    </row>
    <row r="1199" spans="1:7">
      <c r="A1199" s="6">
        <v>42920</v>
      </c>
      <c r="B1199" s="3" t="s">
        <v>13</v>
      </c>
      <c r="C1199" s="3" t="s">
        <v>14</v>
      </c>
      <c r="D1199" s="8" t="str">
        <f>HYPERLINK("http://npthd.inbcu.com/ViewContent.aspx?filename=NPMR_ABC_2017-07-04_E.MP4$6326$6357","Gong Show, The")</f>
        <v>Gong Show, The</v>
      </c>
      <c r="E1199" s="3" t="s">
        <v>98</v>
      </c>
      <c r="F1199" s="3" t="s">
        <v>1354</v>
      </c>
      <c r="G1199" s="3" t="s">
        <v>1355</v>
      </c>
    </row>
    <row r="1200" spans="1:7">
      <c r="A1200" s="6">
        <v>42920</v>
      </c>
      <c r="B1200" s="3" t="s">
        <v>13</v>
      </c>
      <c r="C1200" s="3" t="s">
        <v>18</v>
      </c>
      <c r="D1200" s="8" t="str">
        <f>HYPERLINK("http://npthd.inbcu.com/ViewContent.aspx?filename=NPMR_ABC_2017-07-04_E.MP4$6357$6685","BLACK-ISH: the purge")</f>
        <v>BLACK-ISH: the purge</v>
      </c>
      <c r="E1200" s="3" t="s">
        <v>1356</v>
      </c>
      <c r="F1200" s="3" t="s">
        <v>1355</v>
      </c>
      <c r="G1200" s="3" t="s">
        <v>177</v>
      </c>
    </row>
    <row r="1201" spans="1:7">
      <c r="A1201" s="6">
        <v>42920</v>
      </c>
      <c r="B1201" s="3" t="s">
        <v>13</v>
      </c>
      <c r="C1201" s="3" t="s">
        <v>14</v>
      </c>
      <c r="D1201" s="8" t="str">
        <f>HYPERLINK("http://npthd.inbcu.com/ViewContent.aspx?filename=NPMR_ABC_2017-07-04_E.MP4$6685$6690","Boy Band")</f>
        <v>Boy Band</v>
      </c>
      <c r="E1201" s="3" t="s">
        <v>54</v>
      </c>
      <c r="F1201" s="3" t="s">
        <v>177</v>
      </c>
      <c r="G1201" s="3" t="s">
        <v>1357</v>
      </c>
    </row>
    <row r="1202" spans="1:7">
      <c r="A1202" s="6">
        <v>42920</v>
      </c>
      <c r="B1202" s="3" t="s">
        <v>13</v>
      </c>
      <c r="C1202" s="3" t="s">
        <v>21</v>
      </c>
      <c r="D1202" s="8" t="str">
        <f>HYPERLINK("http://npthd.inbcu.com/ViewContent.aspx?filename=NPMR_ABC_2017-07-04_E.MP4$6690$6765","COMMERCIAL")</f>
        <v>COMMERCIAL</v>
      </c>
      <c r="E1202" s="3" t="s">
        <v>531</v>
      </c>
      <c r="F1202" s="3" t="s">
        <v>1357</v>
      </c>
      <c r="G1202" s="3" t="s">
        <v>1358</v>
      </c>
    </row>
    <row r="1203" spans="1:7">
      <c r="A1203" s="6">
        <v>42920</v>
      </c>
      <c r="B1203" s="3" t="s">
        <v>13</v>
      </c>
      <c r="C1203" s="3" t="s">
        <v>14</v>
      </c>
      <c r="D1203" s="8" t="str">
        <f>HYPERLINK("http://npthd.inbcu.com/ViewContent.aspx?filename=NPMR_ABC_2017-07-04_E.MP4$6765$6780","To Tell the Truth")</f>
        <v>To Tell the Truth</v>
      </c>
      <c r="E1203" s="3" t="s">
        <v>30</v>
      </c>
      <c r="F1203" s="3" t="s">
        <v>1358</v>
      </c>
      <c r="G1203" s="3" t="s">
        <v>1359</v>
      </c>
    </row>
    <row r="1204" spans="1:7">
      <c r="A1204" s="6">
        <v>42920</v>
      </c>
      <c r="B1204" s="3" t="s">
        <v>13</v>
      </c>
      <c r="C1204" s="3" t="s">
        <v>14</v>
      </c>
      <c r="D1204" s="8" t="str">
        <f>HYPERLINK("http://npthd.inbcu.com/ViewContent.aspx?filename=NPMR_ABC_2017-07-04_E.MP4$6780$6810","ABC Sunday Fun and Games")</f>
        <v>ABC Sunday Fun and Games</v>
      </c>
      <c r="E1204" s="3" t="s">
        <v>38</v>
      </c>
      <c r="F1204" s="3" t="s">
        <v>1359</v>
      </c>
      <c r="G1204" s="3" t="s">
        <v>1360</v>
      </c>
    </row>
    <row r="1205" spans="1:7">
      <c r="A1205" s="6">
        <v>42920</v>
      </c>
      <c r="B1205" s="3" t="s">
        <v>13</v>
      </c>
      <c r="C1205" s="3" t="s">
        <v>32</v>
      </c>
      <c r="D1205" s="8" t="str">
        <f>HYPERLINK("http://npthd.inbcu.com/ViewContent.aspx?filename=NPMR_ABC_2017-07-04_E.MP4$6810$6870","LOCAL")</f>
        <v>LOCAL</v>
      </c>
      <c r="E1205" s="3" t="s">
        <v>66</v>
      </c>
      <c r="F1205" s="3" t="s">
        <v>1360</v>
      </c>
      <c r="G1205" s="3" t="s">
        <v>1361</v>
      </c>
    </row>
    <row r="1206" spans="1:7">
      <c r="A1206" s="6">
        <v>42920</v>
      </c>
      <c r="B1206" s="3" t="s">
        <v>13</v>
      </c>
      <c r="C1206" s="3" t="s">
        <v>18</v>
      </c>
      <c r="D1206" s="8" t="str">
        <f>HYPERLINK("http://npthd.inbcu.com/ViewContent.aspx?filename=NPMR_ABC_2017-07-04_E.MP4$6870$7132","BLACK-ISH: the purge")</f>
        <v>BLACK-ISH: the purge</v>
      </c>
      <c r="E1206" s="3" t="s">
        <v>1362</v>
      </c>
      <c r="F1206" s="3" t="s">
        <v>1361</v>
      </c>
      <c r="G1206" s="3" t="s">
        <v>1363</v>
      </c>
    </row>
    <row r="1207" spans="1:7">
      <c r="A1207" s="6">
        <v>42920</v>
      </c>
      <c r="B1207" s="3" t="s">
        <v>13</v>
      </c>
      <c r="C1207" s="3" t="s">
        <v>21</v>
      </c>
      <c r="D1207" s="8" t="str">
        <f>HYPERLINK("http://npthd.inbcu.com/ViewContent.aspx?filename=NPMR_ABC_2017-07-04_E.MP4$7132$7253","COMMERCIAL")</f>
        <v>COMMERCIAL</v>
      </c>
      <c r="E1207" s="3" t="s">
        <v>175</v>
      </c>
      <c r="F1207" s="3" t="s">
        <v>1363</v>
      </c>
      <c r="G1207" s="3" t="s">
        <v>1364</v>
      </c>
    </row>
    <row r="1208" spans="1:7">
      <c r="A1208" s="6">
        <v>42920</v>
      </c>
      <c r="B1208" s="3" t="s">
        <v>13</v>
      </c>
      <c r="C1208" s="3" t="s">
        <v>14</v>
      </c>
      <c r="D1208" s="8" t="str">
        <f>HYPERLINK("http://npthd.inbcu.com/ViewContent.aspx?filename=NPMR_ABC_2017-07-04_E.MP4$7253$7258","Gong Show, The")</f>
        <v>Gong Show, The</v>
      </c>
      <c r="E1208" s="3" t="s">
        <v>54</v>
      </c>
      <c r="F1208" s="3" t="s">
        <v>1364</v>
      </c>
      <c r="G1208" s="3" t="s">
        <v>1365</v>
      </c>
    </row>
    <row r="1209" spans="1:7">
      <c r="A1209" s="6">
        <v>42920</v>
      </c>
      <c r="B1209" s="3" t="s">
        <v>13</v>
      </c>
      <c r="C1209" s="3" t="s">
        <v>14</v>
      </c>
      <c r="D1209" s="8" t="str">
        <f>HYPERLINK("http://npthd.inbcu.com/ViewContent.aspx?filename=NPMR_ABC_2017-07-04_E.MP4$7258$7288","Espys")</f>
        <v>Espys</v>
      </c>
      <c r="E1209" s="3" t="s">
        <v>38</v>
      </c>
      <c r="F1209" s="3" t="s">
        <v>1365</v>
      </c>
      <c r="G1209" s="3" t="s">
        <v>1233</v>
      </c>
    </row>
    <row r="1210" spans="1:7">
      <c r="A1210" s="6">
        <v>42920</v>
      </c>
      <c r="B1210" s="3" t="s">
        <v>13</v>
      </c>
      <c r="C1210" s="3" t="s">
        <v>32</v>
      </c>
      <c r="D1210" s="8" t="str">
        <f>HYPERLINK("http://npthd.inbcu.com/ViewContent.aspx?filename=NPMR_ABC_2017-07-04_E.MP4$7288$7293","LOCAL")</f>
        <v>LOCAL</v>
      </c>
      <c r="E1210" s="3" t="s">
        <v>54</v>
      </c>
      <c r="F1210" s="3" t="s">
        <v>1233</v>
      </c>
      <c r="G1210" s="3" t="s">
        <v>1366</v>
      </c>
    </row>
    <row r="1211" spans="1:7">
      <c r="A1211" s="6">
        <v>42920</v>
      </c>
      <c r="B1211" s="3" t="s">
        <v>13</v>
      </c>
      <c r="C1211" s="3" t="s">
        <v>18</v>
      </c>
      <c r="D1211" s="8" t="str">
        <f>HYPERLINK("http://npthd.inbcu.com/ViewContent.aspx?filename=NPMR_ABC_2017-07-04_E.MP4$7293$7329","BLACK-ISH: the purge")</f>
        <v>BLACK-ISH: the purge</v>
      </c>
      <c r="E1211" s="3" t="s">
        <v>1367</v>
      </c>
      <c r="F1211" s="3" t="s">
        <v>1366</v>
      </c>
      <c r="G1211" s="3" t="s">
        <v>1008</v>
      </c>
    </row>
    <row r="1212" spans="1:7">
      <c r="A1212" s="6">
        <v>42920</v>
      </c>
      <c r="B1212" s="3" t="s">
        <v>13</v>
      </c>
      <c r="C1212" s="3" t="s">
        <v>14</v>
      </c>
      <c r="D1212" s="8" t="str">
        <f>HYPERLINK("http://npthd.inbcu.com/ViewContent.aspx?filename=NPMR_ABC_2017-07-04_E.MP4$7329$7335","American Housewife")</f>
        <v>American Housewife</v>
      </c>
      <c r="E1212" s="3" t="s">
        <v>15</v>
      </c>
      <c r="F1212" s="3" t="s">
        <v>1008</v>
      </c>
      <c r="G1212" s="3" t="s">
        <v>395</v>
      </c>
    </row>
    <row r="1213" spans="1:7">
      <c r="A1213" s="6">
        <v>42920</v>
      </c>
      <c r="B1213" s="3" t="s">
        <v>13</v>
      </c>
      <c r="C1213" s="3" t="s">
        <v>18</v>
      </c>
      <c r="D1213" s="8" t="str">
        <f>HYPERLINK("http://npthd.inbcu.com/ViewContent.aspx?filename=NPMR_ABC_2017-07-04_E.MP4$7335$7786","AMERICAN HOUSEWIFE: the blow-up")</f>
        <v>AMERICAN HOUSEWIFE: the blow-up</v>
      </c>
      <c r="E1213" s="3" t="s">
        <v>354</v>
      </c>
      <c r="F1213" s="3" t="s">
        <v>395</v>
      </c>
      <c r="G1213" s="3" t="s">
        <v>1368</v>
      </c>
    </row>
    <row r="1214" spans="1:7">
      <c r="A1214" s="6">
        <v>42920</v>
      </c>
      <c r="B1214" s="3" t="s">
        <v>13</v>
      </c>
      <c r="C1214" s="3" t="s">
        <v>21</v>
      </c>
      <c r="D1214" s="8" t="str">
        <f>HYPERLINK("http://npthd.inbcu.com/ViewContent.aspx?filename=NPMR_ABC_2017-07-04_E.MP4$7786$7922","COMMERCIAL")</f>
        <v>COMMERCIAL</v>
      </c>
      <c r="E1214" s="3" t="s">
        <v>668</v>
      </c>
      <c r="F1214" s="3" t="s">
        <v>1368</v>
      </c>
      <c r="G1214" s="3" t="s">
        <v>1369</v>
      </c>
    </row>
    <row r="1215" spans="1:7">
      <c r="A1215" s="6">
        <v>42920</v>
      </c>
      <c r="B1215" s="3" t="s">
        <v>13</v>
      </c>
      <c r="C1215" s="3" t="s">
        <v>14</v>
      </c>
      <c r="D1215" s="8" t="str">
        <f>HYPERLINK("http://npthd.inbcu.com/ViewContent.aspx?filename=NPMR_ABC_2017-07-04_E.MP4$7922$7937","General Hospital")</f>
        <v>General Hospital</v>
      </c>
      <c r="E1215" s="3" t="s">
        <v>30</v>
      </c>
      <c r="F1215" s="3" t="s">
        <v>1369</v>
      </c>
      <c r="G1215" s="3" t="s">
        <v>1370</v>
      </c>
    </row>
    <row r="1216" spans="1:7">
      <c r="A1216" s="6">
        <v>42920</v>
      </c>
      <c r="B1216" s="3" t="s">
        <v>13</v>
      </c>
      <c r="C1216" s="3" t="s">
        <v>14</v>
      </c>
      <c r="D1216" s="8" t="str">
        <f>HYPERLINK("http://npthd.inbcu.com/ViewContent.aspx?filename=NPMR_ABC_2017-07-04_E.MP4$7937$7967","Boy Band")</f>
        <v>Boy Band</v>
      </c>
      <c r="E1216" s="3" t="s">
        <v>38</v>
      </c>
      <c r="F1216" s="3" t="s">
        <v>1370</v>
      </c>
      <c r="G1216" s="3" t="s">
        <v>1371</v>
      </c>
    </row>
    <row r="1217" spans="1:7">
      <c r="A1217" s="6">
        <v>42920</v>
      </c>
      <c r="B1217" s="3" t="s">
        <v>13</v>
      </c>
      <c r="C1217" s="3" t="s">
        <v>18</v>
      </c>
      <c r="D1217" s="8" t="str">
        <f>HYPERLINK("http://npthd.inbcu.com/ViewContent.aspx?filename=NPMR_ABC_2017-07-04_E.MP4$7967$8399","AMERICAN HOUSEWIFE: the blow-up")</f>
        <v>AMERICAN HOUSEWIFE: the blow-up</v>
      </c>
      <c r="E1217" s="3" t="s">
        <v>1372</v>
      </c>
      <c r="F1217" s="3" t="s">
        <v>1371</v>
      </c>
      <c r="G1217" s="3" t="s">
        <v>1373</v>
      </c>
    </row>
    <row r="1218" spans="1:7">
      <c r="A1218" s="6">
        <v>42920</v>
      </c>
      <c r="B1218" s="3" t="s">
        <v>13</v>
      </c>
      <c r="C1218" s="3" t="s">
        <v>21</v>
      </c>
      <c r="D1218" s="8" t="str">
        <f>HYPERLINK("http://npthd.inbcu.com/ViewContent.aspx?filename=NPMR_ABC_2017-07-04_E.MP4$8399$8549","COMMERCIAL")</f>
        <v>COMMERCIAL</v>
      </c>
      <c r="E1218" s="3" t="s">
        <v>28</v>
      </c>
      <c r="F1218" s="3" t="s">
        <v>1373</v>
      </c>
      <c r="G1218" s="3" t="s">
        <v>1374</v>
      </c>
    </row>
    <row r="1219" spans="1:7">
      <c r="A1219" s="6">
        <v>42920</v>
      </c>
      <c r="B1219" s="3" t="s">
        <v>13</v>
      </c>
      <c r="C1219" s="3" t="s">
        <v>14</v>
      </c>
      <c r="D1219" s="8" t="str">
        <f>HYPERLINK("http://npthd.inbcu.com/ViewContent.aspx?filename=NPMR_ABC_2017-07-04_E.MP4$8549$8579","Battle of the Network Stars")</f>
        <v>Battle of the Network Stars</v>
      </c>
      <c r="E1219" s="3" t="s">
        <v>38</v>
      </c>
      <c r="F1219" s="3" t="s">
        <v>1374</v>
      </c>
      <c r="G1219" s="3" t="s">
        <v>1375</v>
      </c>
    </row>
    <row r="1220" spans="1:7">
      <c r="A1220" s="6">
        <v>42920</v>
      </c>
      <c r="B1220" s="3" t="s">
        <v>13</v>
      </c>
      <c r="C1220" s="3" t="s">
        <v>18</v>
      </c>
      <c r="D1220" s="8" t="str">
        <f>HYPERLINK("http://npthd.inbcu.com/ViewContent.aspx?filename=NPMR_ABC_2017-07-04_E.MP4$8579$8856","AMERICAN HOUSEWIFE: the blow-up")</f>
        <v>AMERICAN HOUSEWIFE: the blow-up</v>
      </c>
      <c r="E1220" s="3" t="s">
        <v>1376</v>
      </c>
      <c r="F1220" s="3" t="s">
        <v>1375</v>
      </c>
      <c r="G1220" s="3" t="s">
        <v>1377</v>
      </c>
    </row>
    <row r="1221" spans="1:7">
      <c r="A1221" s="6">
        <v>42920</v>
      </c>
      <c r="B1221" s="3" t="s">
        <v>13</v>
      </c>
      <c r="C1221" s="3" t="s">
        <v>21</v>
      </c>
      <c r="D1221" s="8" t="str">
        <f>HYPERLINK("http://npthd.inbcu.com/ViewContent.aspx?filename=NPMR_ABC_2017-07-04_E.MP4$8856$8917","COMMERCIAL")</f>
        <v>COMMERCIAL</v>
      </c>
      <c r="E1221" s="3" t="s">
        <v>33</v>
      </c>
      <c r="F1221" s="3" t="s">
        <v>1377</v>
      </c>
      <c r="G1221" s="3" t="s">
        <v>1378</v>
      </c>
    </row>
    <row r="1222" spans="1:7">
      <c r="A1222" s="6">
        <v>42920</v>
      </c>
      <c r="B1222" s="3" t="s">
        <v>13</v>
      </c>
      <c r="C1222" s="3" t="s">
        <v>14</v>
      </c>
      <c r="D1222" s="8" t="str">
        <f>HYPERLINK("http://npthd.inbcu.com/ViewContent.aspx?filename=NPMR_ABC_2017-07-04_E.MP4$8917$8947","ABC Sunday Fun and Games")</f>
        <v>ABC Sunday Fun and Games</v>
      </c>
      <c r="E1222" s="3" t="s">
        <v>38</v>
      </c>
      <c r="F1222" s="3" t="s">
        <v>1378</v>
      </c>
      <c r="G1222" s="3" t="s">
        <v>1379</v>
      </c>
    </row>
    <row r="1223" spans="1:7">
      <c r="A1223" s="6">
        <v>42920</v>
      </c>
      <c r="B1223" s="3" t="s">
        <v>13</v>
      </c>
      <c r="C1223" s="3" t="s">
        <v>32</v>
      </c>
      <c r="D1223" s="8" t="str">
        <f>HYPERLINK("http://npthd.inbcu.com/ViewContent.aspx?filename=NPMR_ABC_2017-07-04_E.MP4$8947$9052","LOCAL")</f>
        <v>LOCAL</v>
      </c>
      <c r="E1223" s="3" t="s">
        <v>199</v>
      </c>
      <c r="F1223" s="3" t="s">
        <v>1379</v>
      </c>
      <c r="G1223" s="3" t="s">
        <v>1380</v>
      </c>
    </row>
    <row r="1224" spans="1:7">
      <c r="A1224" s="6">
        <v>42920</v>
      </c>
      <c r="B1224" s="3" t="s">
        <v>13</v>
      </c>
      <c r="C1224" s="3" t="s">
        <v>18</v>
      </c>
      <c r="D1224" s="8" t="str">
        <f>HYPERLINK("http://npthd.inbcu.com/ViewContent.aspx?filename=NPMR_ABC_2017-07-04_E.MP4$9052$9130","AMERICAN HOUSEWIFE: the blow-up")</f>
        <v>AMERICAN HOUSEWIFE: the blow-up</v>
      </c>
      <c r="E1224" s="3" t="s">
        <v>1381</v>
      </c>
      <c r="F1224" s="3" t="s">
        <v>1380</v>
      </c>
      <c r="G1224" s="3" t="s">
        <v>586</v>
      </c>
    </row>
    <row r="1225" spans="1:7">
      <c r="A1225" s="6">
        <v>42920</v>
      </c>
      <c r="B1225" s="3" t="s">
        <v>13</v>
      </c>
      <c r="C1225" s="3" t="s">
        <v>14</v>
      </c>
      <c r="D1225" s="8" t="str">
        <f>HYPERLINK("http://npthd.inbcu.com/ViewContent.aspx?filename=NPMR_ABC_2017-07-04_E.MP4$9130$9135","Middle, The")</f>
        <v>Middle, The</v>
      </c>
      <c r="E1225" s="3" t="s">
        <v>54</v>
      </c>
      <c r="F1225" s="3" t="s">
        <v>586</v>
      </c>
      <c r="G1225" s="3" t="s">
        <v>587</v>
      </c>
    </row>
    <row r="1226" spans="1:7">
      <c r="A1226" s="6">
        <v>42920</v>
      </c>
      <c r="B1226" s="3" t="s">
        <v>13</v>
      </c>
      <c r="C1226" s="3" t="s">
        <v>18</v>
      </c>
      <c r="D1226" s="8" t="str">
        <f>HYPERLINK("http://npthd.inbcu.com/ViewContent.aspx?filename=NPMR_ABC_2017-07-04_E.MP4$9135$9525","THE MIDDLE: dental hijinks")</f>
        <v>THE MIDDLE: dental hijinks</v>
      </c>
      <c r="E1226" s="3" t="s">
        <v>1382</v>
      </c>
      <c r="F1226" s="3" t="s">
        <v>587</v>
      </c>
      <c r="G1226" s="3" t="s">
        <v>299</v>
      </c>
    </row>
    <row r="1227" spans="1:7">
      <c r="A1227" s="6">
        <v>42920</v>
      </c>
      <c r="B1227" s="3" t="s">
        <v>13</v>
      </c>
      <c r="C1227" s="3" t="s">
        <v>21</v>
      </c>
      <c r="D1227" s="8" t="str">
        <f>HYPERLINK("http://npthd.inbcu.com/ViewContent.aspx?filename=NPMR_ABC_2017-07-04_E.MP4$9525$9675","COMMERCIAL")</f>
        <v>COMMERCIAL</v>
      </c>
      <c r="E1227" s="3" t="s">
        <v>28</v>
      </c>
      <c r="F1227" s="3" t="s">
        <v>299</v>
      </c>
      <c r="G1227" s="3" t="s">
        <v>1383</v>
      </c>
    </row>
    <row r="1228" spans="1:7">
      <c r="A1228" s="6">
        <v>42920</v>
      </c>
      <c r="B1228" s="3" t="s">
        <v>13</v>
      </c>
      <c r="C1228" s="3" t="s">
        <v>14</v>
      </c>
      <c r="D1228" s="8" t="str">
        <f>HYPERLINK("http://npthd.inbcu.com/ViewContent.aspx?filename=NPMR_ABC_2017-07-04_E.MP4$9675$9705","Gong Show, The")</f>
        <v>Gong Show, The</v>
      </c>
      <c r="E1228" s="3" t="s">
        <v>38</v>
      </c>
      <c r="F1228" s="3" t="s">
        <v>1383</v>
      </c>
      <c r="G1228" s="3" t="s">
        <v>1384</v>
      </c>
    </row>
    <row r="1229" spans="1:7">
      <c r="A1229" s="6">
        <v>42920</v>
      </c>
      <c r="B1229" s="3" t="s">
        <v>13</v>
      </c>
      <c r="C1229" s="3" t="s">
        <v>18</v>
      </c>
      <c r="D1229" s="8" t="str">
        <f>HYPERLINK("http://npthd.inbcu.com/ViewContent.aspx?filename=NPMR_ABC_2017-07-04_E.MP4$9705$10251","THE MIDDLE: dental hijinks")</f>
        <v>THE MIDDLE: dental hijinks</v>
      </c>
      <c r="E1229" s="3" t="s">
        <v>1385</v>
      </c>
      <c r="F1229" s="3" t="s">
        <v>1384</v>
      </c>
      <c r="G1229" s="3" t="s">
        <v>1386</v>
      </c>
    </row>
    <row r="1230" spans="1:7">
      <c r="A1230" s="6">
        <v>42920</v>
      </c>
      <c r="B1230" s="3" t="s">
        <v>13</v>
      </c>
      <c r="C1230" s="3" t="s">
        <v>21</v>
      </c>
      <c r="D1230" s="8" t="str">
        <f>HYPERLINK("http://npthd.inbcu.com/ViewContent.aspx?filename=NPMR_ABC_2017-07-04_E.MP4$10251$10342","COMMERCIAL")</f>
        <v>COMMERCIAL</v>
      </c>
      <c r="E1230" s="3" t="s">
        <v>77</v>
      </c>
      <c r="F1230" s="3" t="s">
        <v>1386</v>
      </c>
      <c r="G1230" s="3" t="s">
        <v>1387</v>
      </c>
    </row>
    <row r="1231" spans="1:7">
      <c r="A1231" s="6">
        <v>42920</v>
      </c>
      <c r="B1231" s="3" t="s">
        <v>13</v>
      </c>
      <c r="C1231" s="3" t="s">
        <v>14</v>
      </c>
      <c r="D1231" s="8" t="str">
        <f>HYPERLINK("http://npthd.inbcu.com/ViewContent.aspx?filename=NPMR_ABC_2017-07-04_E.MP4$10342$10357","Espys")</f>
        <v>Espys</v>
      </c>
      <c r="E1231" s="3" t="s">
        <v>30</v>
      </c>
      <c r="F1231" s="3" t="s">
        <v>1387</v>
      </c>
      <c r="G1231" s="3" t="s">
        <v>1388</v>
      </c>
    </row>
    <row r="1232" spans="1:7">
      <c r="A1232" s="6">
        <v>42920</v>
      </c>
      <c r="B1232" s="3" t="s">
        <v>13</v>
      </c>
      <c r="C1232" s="3" t="s">
        <v>32</v>
      </c>
      <c r="D1232" s="8" t="str">
        <f>HYPERLINK("http://npthd.inbcu.com/ViewContent.aspx?filename=NPMR_ABC_2017-07-04_E.MP4$10357$10448","LOCAL")</f>
        <v>LOCAL</v>
      </c>
      <c r="E1232" s="3" t="s">
        <v>77</v>
      </c>
      <c r="F1232" s="3" t="s">
        <v>1388</v>
      </c>
      <c r="G1232" s="3" t="s">
        <v>306</v>
      </c>
    </row>
    <row r="1233" spans="1:7">
      <c r="A1233" s="6">
        <v>42920</v>
      </c>
      <c r="B1233" s="3" t="s">
        <v>13</v>
      </c>
      <c r="C1233" s="3" t="s">
        <v>18</v>
      </c>
      <c r="D1233" s="8" t="str">
        <f>HYPERLINK("http://npthd.inbcu.com/ViewContent.aspx?filename=NPMR_ABC_2017-07-04_E.MP4$10448$10744","THE MIDDLE: dental hijinks")</f>
        <v>THE MIDDLE: dental hijinks</v>
      </c>
      <c r="E1233" s="3" t="s">
        <v>1389</v>
      </c>
      <c r="F1233" s="3" t="s">
        <v>306</v>
      </c>
      <c r="G1233" s="3" t="s">
        <v>1390</v>
      </c>
    </row>
    <row r="1234" spans="1:7">
      <c r="A1234" s="6">
        <v>42920</v>
      </c>
      <c r="B1234" s="3" t="s">
        <v>13</v>
      </c>
      <c r="C1234" s="3" t="s">
        <v>32</v>
      </c>
      <c r="D1234" s="8" t="str">
        <f>HYPERLINK("http://npthd.inbcu.com/ViewContent.aspx?filename=NPMR_ABC_2017-07-04_E.MP4$10744$10760","LOCAL")</f>
        <v>LOCAL</v>
      </c>
      <c r="E1234" s="3" t="s">
        <v>64</v>
      </c>
      <c r="F1234" s="3" t="s">
        <v>1390</v>
      </c>
      <c r="G1234" s="3" t="s">
        <v>1391</v>
      </c>
    </row>
    <row r="1235" spans="1:7">
      <c r="A1235" s="6">
        <v>42920</v>
      </c>
      <c r="B1235" s="3" t="s">
        <v>13</v>
      </c>
      <c r="C1235" s="3" t="s">
        <v>21</v>
      </c>
      <c r="D1235" s="8" t="str">
        <f>HYPERLINK("http://npthd.inbcu.com/ViewContent.aspx?filename=NPMR_ABC_2017-07-04_E.MP4$10760$10850","COMMERCIAL")</f>
        <v>COMMERCIAL</v>
      </c>
      <c r="E1235" s="3" t="s">
        <v>46</v>
      </c>
      <c r="F1235" s="3" t="s">
        <v>1391</v>
      </c>
      <c r="G1235" s="3" t="s">
        <v>1392</v>
      </c>
    </row>
    <row r="1236" spans="1:7">
      <c r="A1236" s="6">
        <v>42920</v>
      </c>
      <c r="B1236" s="3" t="s">
        <v>13</v>
      </c>
      <c r="C1236" s="3" t="s">
        <v>14</v>
      </c>
      <c r="D1236" s="8" t="str">
        <f>HYPERLINK("http://npthd.inbcu.com/ViewContent.aspx?filename=NPMR_ABC_2017-07-04_E.MP4$10850$10880","Battle of the Network Stars")</f>
        <v>Battle of the Network Stars</v>
      </c>
      <c r="E1236" s="3" t="s">
        <v>38</v>
      </c>
      <c r="F1236" s="3" t="s">
        <v>1392</v>
      </c>
      <c r="G1236" s="3" t="s">
        <v>1393</v>
      </c>
    </row>
    <row r="1237" spans="1:7">
      <c r="A1237" s="6">
        <v>42920</v>
      </c>
      <c r="B1237" s="3" t="s">
        <v>13</v>
      </c>
      <c r="C1237" s="3" t="s">
        <v>18</v>
      </c>
      <c r="D1237" s="8" t="str">
        <f>HYPERLINK("http://npthd.inbcu.com/ViewContent.aspx?filename=NPMR_ABC_2017-07-04_E.MP4$10880$10915","THE MIDDLE: dental hijinks")</f>
        <v>THE MIDDLE: dental hijinks</v>
      </c>
      <c r="E1237" s="3" t="s">
        <v>1394</v>
      </c>
      <c r="F1237" s="3" t="s">
        <v>1393</v>
      </c>
      <c r="G1237" s="3" t="s">
        <v>123</v>
      </c>
    </row>
    <row r="1238" spans="1:7">
      <c r="A1238" s="6">
        <v>42920</v>
      </c>
      <c r="B1238" s="3" t="s">
        <v>13</v>
      </c>
      <c r="C1238" s="3" t="s">
        <v>32</v>
      </c>
      <c r="D1238" s="8" t="str">
        <f>HYPERLINK("http://npthd.inbcu.com/ViewContent.aspx?filename=NPMR_ABC_2017-07-04_E.MP4$10915$10930","LOCAL")</f>
        <v>LOCAL</v>
      </c>
      <c r="E1238" s="3" t="s">
        <v>30</v>
      </c>
      <c r="F1238" s="3" t="s">
        <v>123</v>
      </c>
      <c r="G1238" s="3" t="s">
        <v>124</v>
      </c>
    </row>
    <row r="1239" spans="1:7">
      <c r="A1239" s="6">
        <v>42921</v>
      </c>
      <c r="B1239" s="3" t="s">
        <v>13</v>
      </c>
      <c r="C1239" s="3" t="s">
        <v>14</v>
      </c>
      <c r="D1239" s="8" t="str">
        <f>HYPERLINK("http://npthd.inbcu.com/ViewContent.aspx?filename=NPMR_ABC_2017-07-05_E.MP4$129$134","ABC Open")</f>
        <v>ABC Open</v>
      </c>
      <c r="E1239" s="3" t="s">
        <v>54</v>
      </c>
      <c r="F1239" s="3" t="s">
        <v>16</v>
      </c>
      <c r="G1239" s="3" t="s">
        <v>125</v>
      </c>
    </row>
    <row r="1240" spans="1:7">
      <c r="A1240" s="6">
        <v>42921</v>
      </c>
      <c r="B1240" s="3" t="s">
        <v>13</v>
      </c>
      <c r="C1240" s="3" t="s">
        <v>18</v>
      </c>
      <c r="D1240" s="8" t="str">
        <f>HYPERLINK("http://npthd.inbcu.com/ViewContent.aspx?filename=NPMR_ABC_2017-07-05_E.MP4$134$733","THE GOLDBERGS: globetrotters")</f>
        <v>THE GOLDBERGS: globetrotters</v>
      </c>
      <c r="E1240" s="3" t="s">
        <v>1395</v>
      </c>
      <c r="F1240" s="3" t="s">
        <v>125</v>
      </c>
      <c r="G1240" s="3" t="s">
        <v>1396</v>
      </c>
    </row>
    <row r="1241" spans="1:7">
      <c r="A1241" s="6">
        <v>42921</v>
      </c>
      <c r="B1241" s="3" t="s">
        <v>13</v>
      </c>
      <c r="C1241" s="3" t="s">
        <v>21</v>
      </c>
      <c r="D1241" s="8" t="str">
        <f>HYPERLINK("http://npthd.inbcu.com/ViewContent.aspx?filename=NPMR_ABC_2017-07-05_E.MP4$733$867","COMMERCIAL")</f>
        <v>COMMERCIAL</v>
      </c>
      <c r="E1241" s="3" t="s">
        <v>1397</v>
      </c>
      <c r="F1241" s="3" t="s">
        <v>1396</v>
      </c>
      <c r="G1241" s="3" t="s">
        <v>1398</v>
      </c>
    </row>
    <row r="1242" spans="1:7">
      <c r="A1242" s="6">
        <v>42921</v>
      </c>
      <c r="B1242" s="3" t="s">
        <v>13</v>
      </c>
      <c r="C1242" s="3" t="s">
        <v>14</v>
      </c>
      <c r="D1242" s="8" t="str">
        <f>HYPERLINK("http://npthd.inbcu.com/ViewContent.aspx?filename=NPMR_ABC_2017-07-05_E.MP4$867$898","Espys")</f>
        <v>Espys</v>
      </c>
      <c r="E1242" s="3" t="s">
        <v>98</v>
      </c>
      <c r="F1242" s="3" t="s">
        <v>1398</v>
      </c>
      <c r="G1242" s="3" t="s">
        <v>1399</v>
      </c>
    </row>
    <row r="1243" spans="1:7">
      <c r="A1243" s="6">
        <v>42921</v>
      </c>
      <c r="B1243" s="3" t="s">
        <v>13</v>
      </c>
      <c r="C1243" s="3" t="s">
        <v>18</v>
      </c>
      <c r="D1243" s="8" t="str">
        <f>HYPERLINK("http://npthd.inbcu.com/ViewContent.aspx?filename=NPMR_ABC_2017-07-05_E.MP4$898$1289","THE GOLDBERGS: globetrotters")</f>
        <v>THE GOLDBERGS: globetrotters</v>
      </c>
      <c r="E1243" s="3" t="s">
        <v>1400</v>
      </c>
      <c r="F1243" s="3" t="s">
        <v>1399</v>
      </c>
      <c r="G1243" s="3" t="s">
        <v>1401</v>
      </c>
    </row>
    <row r="1244" spans="1:7">
      <c r="A1244" s="6">
        <v>42921</v>
      </c>
      <c r="B1244" s="3" t="s">
        <v>13</v>
      </c>
      <c r="C1244" s="3" t="s">
        <v>21</v>
      </c>
      <c r="D1244" s="8" t="str">
        <f>HYPERLINK("http://npthd.inbcu.com/ViewContent.aspx?filename=NPMR_ABC_2017-07-05_E.MP4$1289$1379","COMMERCIAL")</f>
        <v>COMMERCIAL</v>
      </c>
      <c r="E1244" s="3" t="s">
        <v>46</v>
      </c>
      <c r="F1244" s="3" t="s">
        <v>1401</v>
      </c>
      <c r="G1244" s="3" t="s">
        <v>1402</v>
      </c>
    </row>
    <row r="1245" spans="1:7">
      <c r="A1245" s="6">
        <v>42921</v>
      </c>
      <c r="B1245" s="3" t="s">
        <v>13</v>
      </c>
      <c r="C1245" s="3" t="s">
        <v>14</v>
      </c>
      <c r="D1245" s="8" t="str">
        <f>HYPERLINK("http://npthd.inbcu.com/ViewContent.aspx?filename=NPMR_ABC_2017-07-05_E.MP4$1379$1394","Boy Band")</f>
        <v>Boy Band</v>
      </c>
      <c r="E1245" s="3" t="s">
        <v>30</v>
      </c>
      <c r="F1245" s="3" t="s">
        <v>1402</v>
      </c>
      <c r="G1245" s="3" t="s">
        <v>225</v>
      </c>
    </row>
    <row r="1246" spans="1:7">
      <c r="A1246" s="6">
        <v>42921</v>
      </c>
      <c r="B1246" s="3" t="s">
        <v>13</v>
      </c>
      <c r="C1246" s="3" t="s">
        <v>14</v>
      </c>
      <c r="D1246" s="8" t="str">
        <f>HYPERLINK("http://npthd.inbcu.com/ViewContent.aspx?filename=NPMR_ABC_2017-07-05_E.MP4$1394$1409","Gong Show, The")</f>
        <v>Gong Show, The</v>
      </c>
      <c r="E1246" s="3" t="s">
        <v>30</v>
      </c>
      <c r="F1246" s="3" t="s">
        <v>225</v>
      </c>
      <c r="G1246" s="3" t="s">
        <v>1403</v>
      </c>
    </row>
    <row r="1247" spans="1:7">
      <c r="A1247" s="6">
        <v>42921</v>
      </c>
      <c r="B1247" s="3" t="s">
        <v>13</v>
      </c>
      <c r="C1247" s="3" t="s">
        <v>32</v>
      </c>
      <c r="D1247" s="8" t="str">
        <f>HYPERLINK("http://npthd.inbcu.com/ViewContent.aspx?filename=NPMR_ABC_2017-07-05_E.MP4$1409$1469","LOCAL")</f>
        <v>LOCAL</v>
      </c>
      <c r="E1247" s="3" t="s">
        <v>66</v>
      </c>
      <c r="F1247" s="3" t="s">
        <v>1403</v>
      </c>
      <c r="G1247" s="3" t="s">
        <v>1404</v>
      </c>
    </row>
    <row r="1248" spans="1:7">
      <c r="A1248" s="6">
        <v>42921</v>
      </c>
      <c r="B1248" s="3" t="s">
        <v>13</v>
      </c>
      <c r="C1248" s="3" t="s">
        <v>18</v>
      </c>
      <c r="D1248" s="8" t="str">
        <f>HYPERLINK("http://npthd.inbcu.com/ViewContent.aspx?filename=NPMR_ABC_2017-07-05_E.MP4$1469$1711","THE GOLDBERGS: globetrotters")</f>
        <v>THE GOLDBERGS: globetrotters</v>
      </c>
      <c r="E1248" s="3" t="s">
        <v>1405</v>
      </c>
      <c r="F1248" s="3" t="s">
        <v>1404</v>
      </c>
      <c r="G1248" s="3" t="s">
        <v>1406</v>
      </c>
    </row>
    <row r="1249" spans="1:7">
      <c r="A1249" s="6">
        <v>42921</v>
      </c>
      <c r="B1249" s="3" t="s">
        <v>13</v>
      </c>
      <c r="C1249" s="3" t="s">
        <v>21</v>
      </c>
      <c r="D1249" s="8" t="str">
        <f>HYPERLINK("http://npthd.inbcu.com/ViewContent.aspx?filename=NPMR_ABC_2017-07-05_E.MP4$1711$1861","COMMERCIAL")</f>
        <v>COMMERCIAL</v>
      </c>
      <c r="E1249" s="3" t="s">
        <v>28</v>
      </c>
      <c r="F1249" s="3" t="s">
        <v>1406</v>
      </c>
      <c r="G1249" s="3" t="s">
        <v>1407</v>
      </c>
    </row>
    <row r="1250" spans="1:7">
      <c r="A1250" s="6">
        <v>42921</v>
      </c>
      <c r="B1250" s="3" t="s">
        <v>13</v>
      </c>
      <c r="C1250" s="3" t="s">
        <v>14</v>
      </c>
      <c r="D1250" s="8" t="str">
        <f>HYPERLINK("http://npthd.inbcu.com/ViewContent.aspx?filename=NPMR_ABC_2017-07-05_E.MP4$1861$1891","Battle of the Network Stars")</f>
        <v>Battle of the Network Stars</v>
      </c>
      <c r="E1250" s="3" t="s">
        <v>38</v>
      </c>
      <c r="F1250" s="3" t="s">
        <v>1407</v>
      </c>
      <c r="G1250" s="3" t="s">
        <v>1408</v>
      </c>
    </row>
    <row r="1251" spans="1:7">
      <c r="A1251" s="6">
        <v>42921</v>
      </c>
      <c r="B1251" s="3" t="s">
        <v>13</v>
      </c>
      <c r="C1251" s="3" t="s">
        <v>18</v>
      </c>
      <c r="D1251" s="8" t="str">
        <f>HYPERLINK("http://npthd.inbcu.com/ViewContent.aspx?filename=NPMR_ABC_2017-07-05_E.MP4$1891$1928","THE GOLDBERGS: globetrotters")</f>
        <v>THE GOLDBERGS: globetrotters</v>
      </c>
      <c r="E1251" s="3" t="s">
        <v>1409</v>
      </c>
      <c r="F1251" s="3" t="s">
        <v>1408</v>
      </c>
      <c r="G1251" s="3" t="s">
        <v>1410</v>
      </c>
    </row>
    <row r="1252" spans="1:7">
      <c r="A1252" s="6">
        <v>42921</v>
      </c>
      <c r="B1252" s="3" t="s">
        <v>13</v>
      </c>
      <c r="C1252" s="3" t="s">
        <v>14</v>
      </c>
      <c r="D1252" s="8" t="str">
        <f>HYPERLINK("http://npthd.inbcu.com/ViewContent.aspx?filename=NPMR_ABC_2017-07-05_E.MP4$1928$1934","Speechless")</f>
        <v>Speechless</v>
      </c>
      <c r="E1252" s="3" t="s">
        <v>15</v>
      </c>
      <c r="F1252" s="3" t="s">
        <v>1410</v>
      </c>
      <c r="G1252" s="3" t="s">
        <v>620</v>
      </c>
    </row>
    <row r="1253" spans="1:7">
      <c r="A1253" s="6">
        <v>42921</v>
      </c>
      <c r="B1253" s="3" t="s">
        <v>13</v>
      </c>
      <c r="C1253" s="3" t="s">
        <v>18</v>
      </c>
      <c r="D1253" s="8" t="str">
        <f>HYPERLINK("http://npthd.inbcu.com/ViewContent.aspx?filename=NPMR_ABC_2017-07-05_E.MP4$1934$2376","SPEECHLESS: b-o-n--fire")</f>
        <v>SPEECHLESS: b-o-n--fire</v>
      </c>
      <c r="E1253" s="3" t="s">
        <v>950</v>
      </c>
      <c r="F1253" s="3" t="s">
        <v>620</v>
      </c>
      <c r="G1253" s="3" t="s">
        <v>1411</v>
      </c>
    </row>
    <row r="1254" spans="1:7">
      <c r="A1254" s="6">
        <v>42921</v>
      </c>
      <c r="B1254" s="3" t="s">
        <v>13</v>
      </c>
      <c r="C1254" s="3" t="s">
        <v>21</v>
      </c>
      <c r="D1254" s="8" t="str">
        <f>HYPERLINK("http://npthd.inbcu.com/ViewContent.aspx?filename=NPMR_ABC_2017-07-05_E.MP4$2376$2497","COMMERCIAL")</f>
        <v>COMMERCIAL</v>
      </c>
      <c r="E1254" s="3" t="s">
        <v>175</v>
      </c>
      <c r="F1254" s="3" t="s">
        <v>1411</v>
      </c>
      <c r="G1254" s="3" t="s">
        <v>1412</v>
      </c>
    </row>
    <row r="1255" spans="1:7">
      <c r="A1255" s="6">
        <v>42921</v>
      </c>
      <c r="B1255" s="3" t="s">
        <v>13</v>
      </c>
      <c r="C1255" s="3" t="s">
        <v>14</v>
      </c>
      <c r="D1255" s="8" t="str">
        <f>HYPERLINK("http://npthd.inbcu.com/ViewContent.aspx?filename=NPMR_ABC_2017-07-05_E.MP4$2497$2502","Boy Band")</f>
        <v>Boy Band</v>
      </c>
      <c r="E1255" s="3" t="s">
        <v>54</v>
      </c>
      <c r="F1255" s="3" t="s">
        <v>1412</v>
      </c>
      <c r="G1255" s="3" t="s">
        <v>1413</v>
      </c>
    </row>
    <row r="1256" spans="1:7">
      <c r="A1256" s="6">
        <v>42921</v>
      </c>
      <c r="B1256" s="3" t="s">
        <v>13</v>
      </c>
      <c r="C1256" s="3" t="s">
        <v>14</v>
      </c>
      <c r="D1256" s="8" t="str">
        <f>HYPERLINK("http://npthd.inbcu.com/ViewContent.aspx?filename=NPMR_ABC_2017-07-05_E.MP4$2502$2517","Espys")</f>
        <v>Espys</v>
      </c>
      <c r="E1256" s="3" t="s">
        <v>30</v>
      </c>
      <c r="F1256" s="3" t="s">
        <v>1413</v>
      </c>
      <c r="G1256" s="3" t="s">
        <v>1414</v>
      </c>
    </row>
    <row r="1257" spans="1:7">
      <c r="A1257" s="6">
        <v>42921</v>
      </c>
      <c r="B1257" s="3" t="s">
        <v>13</v>
      </c>
      <c r="C1257" s="3" t="s">
        <v>18</v>
      </c>
      <c r="D1257" s="8" t="str">
        <f>HYPERLINK("http://npthd.inbcu.com/ViewContent.aspx?filename=NPMR_ABC_2017-07-05_E.MP4$2517$2975","SPEECHLESS: b-o-n--fire")</f>
        <v>SPEECHLESS: b-o-n--fire</v>
      </c>
      <c r="E1257" s="3" t="s">
        <v>921</v>
      </c>
      <c r="F1257" s="3" t="s">
        <v>1414</v>
      </c>
      <c r="G1257" s="3" t="s">
        <v>629</v>
      </c>
    </row>
    <row r="1258" spans="1:7">
      <c r="A1258" s="6">
        <v>42921</v>
      </c>
      <c r="B1258" s="3" t="s">
        <v>13</v>
      </c>
      <c r="C1258" s="3" t="s">
        <v>14</v>
      </c>
      <c r="D1258" s="8" t="str">
        <f>HYPERLINK("http://npthd.inbcu.com/ViewContent.aspx?filename=NPMR_ABC_2017-07-05_E.MP4$2975$2980","Espys")</f>
        <v>Espys</v>
      </c>
      <c r="E1258" s="3" t="s">
        <v>54</v>
      </c>
      <c r="F1258" s="3" t="s">
        <v>629</v>
      </c>
      <c r="G1258" s="3" t="s">
        <v>1415</v>
      </c>
    </row>
    <row r="1259" spans="1:7">
      <c r="A1259" s="6">
        <v>42921</v>
      </c>
      <c r="B1259" s="3" t="s">
        <v>13</v>
      </c>
      <c r="C1259" s="3" t="s">
        <v>21</v>
      </c>
      <c r="D1259" s="8" t="str">
        <f>HYPERLINK("http://npthd.inbcu.com/ViewContent.aspx?filename=NPMR_ABC_2017-07-05_E.MP4$2980$3100","COMMERCIAL")</f>
        <v>COMMERCIAL</v>
      </c>
      <c r="E1259" s="3" t="s">
        <v>43</v>
      </c>
      <c r="F1259" s="3" t="s">
        <v>1415</v>
      </c>
      <c r="G1259" s="3" t="s">
        <v>1416</v>
      </c>
    </row>
    <row r="1260" spans="1:7">
      <c r="A1260" s="6">
        <v>42921</v>
      </c>
      <c r="B1260" s="3" t="s">
        <v>13</v>
      </c>
      <c r="C1260" s="3" t="s">
        <v>14</v>
      </c>
      <c r="D1260" s="8" t="str">
        <f>HYPERLINK("http://npthd.inbcu.com/ViewContent.aspx?filename=NPMR_ABC_2017-07-05_E.MP4$3100$3115","Battle of the Network Stars")</f>
        <v>Battle of the Network Stars</v>
      </c>
      <c r="E1260" s="3" t="s">
        <v>30</v>
      </c>
      <c r="F1260" s="3" t="s">
        <v>1416</v>
      </c>
      <c r="G1260" s="3" t="s">
        <v>1417</v>
      </c>
    </row>
    <row r="1261" spans="1:7">
      <c r="A1261" s="6">
        <v>42921</v>
      </c>
      <c r="B1261" s="3" t="s">
        <v>13</v>
      </c>
      <c r="C1261" s="3" t="s">
        <v>32</v>
      </c>
      <c r="D1261" s="8" t="str">
        <f>HYPERLINK("http://npthd.inbcu.com/ViewContent.aspx?filename=NPMR_ABC_2017-07-05_E.MP4$3115$3176","LOCAL")</f>
        <v>LOCAL</v>
      </c>
      <c r="E1261" s="3" t="s">
        <v>33</v>
      </c>
      <c r="F1261" s="3" t="s">
        <v>1417</v>
      </c>
      <c r="G1261" s="3" t="s">
        <v>1418</v>
      </c>
    </row>
    <row r="1262" spans="1:7">
      <c r="A1262" s="6">
        <v>42921</v>
      </c>
      <c r="B1262" s="3" t="s">
        <v>13</v>
      </c>
      <c r="C1262" s="3" t="s">
        <v>18</v>
      </c>
      <c r="D1262" s="8" t="str">
        <f>HYPERLINK("http://npthd.inbcu.com/ViewContent.aspx?filename=NPMR_ABC_2017-07-05_E.MP4$3176$3410","SPEECHLESS: b-o-n--fire")</f>
        <v>SPEECHLESS: b-o-n--fire</v>
      </c>
      <c r="E1262" s="3" t="s">
        <v>1419</v>
      </c>
      <c r="F1262" s="3" t="s">
        <v>1418</v>
      </c>
      <c r="G1262" s="3" t="s">
        <v>1420</v>
      </c>
    </row>
    <row r="1263" spans="1:7">
      <c r="A1263" s="6">
        <v>42921</v>
      </c>
      <c r="B1263" s="3" t="s">
        <v>13</v>
      </c>
      <c r="C1263" s="3" t="s">
        <v>21</v>
      </c>
      <c r="D1263" s="8" t="str">
        <f>HYPERLINK("http://npthd.inbcu.com/ViewContent.aspx?filename=NPMR_ABC_2017-07-05_E.MP4$3410$3559","COMMERCIAL")</f>
        <v>COMMERCIAL</v>
      </c>
      <c r="E1263" s="3" t="s">
        <v>952</v>
      </c>
      <c r="F1263" s="3" t="s">
        <v>1420</v>
      </c>
      <c r="G1263" s="3" t="s">
        <v>1421</v>
      </c>
    </row>
    <row r="1264" spans="1:7">
      <c r="A1264" s="6">
        <v>42921</v>
      </c>
      <c r="B1264" s="3" t="s">
        <v>13</v>
      </c>
      <c r="C1264" s="3" t="s">
        <v>14</v>
      </c>
      <c r="D1264" s="8" t="str">
        <f>HYPERLINK("http://npthd.inbcu.com/ViewContent.aspx?filename=NPMR_ABC_2017-07-05_E.MP4$3559$3575","Boy Band")</f>
        <v>Boy Band</v>
      </c>
      <c r="E1264" s="3" t="s">
        <v>64</v>
      </c>
      <c r="F1264" s="3" t="s">
        <v>1421</v>
      </c>
      <c r="G1264" s="3" t="s">
        <v>1422</v>
      </c>
    </row>
    <row r="1265" spans="1:7">
      <c r="A1265" s="6">
        <v>42921</v>
      </c>
      <c r="B1265" s="3" t="s">
        <v>13</v>
      </c>
      <c r="C1265" s="3" t="s">
        <v>14</v>
      </c>
      <c r="D1265" s="8" t="str">
        <f>HYPERLINK("http://npthd.inbcu.com/ViewContent.aspx?filename=NPMR_ABC_2017-07-05_E.MP4$3575$3590","Gong Show, The")</f>
        <v>Gong Show, The</v>
      </c>
      <c r="E1265" s="3" t="s">
        <v>30</v>
      </c>
      <c r="F1265" s="3" t="s">
        <v>1422</v>
      </c>
      <c r="G1265" s="3" t="s">
        <v>1423</v>
      </c>
    </row>
    <row r="1266" spans="1:7">
      <c r="A1266" s="6">
        <v>42921</v>
      </c>
      <c r="B1266" s="3" t="s">
        <v>13</v>
      </c>
      <c r="C1266" s="3" t="s">
        <v>32</v>
      </c>
      <c r="D1266" s="8" t="str">
        <f>HYPERLINK("http://npthd.inbcu.com/ViewContent.aspx?filename=NPMR_ABC_2017-07-05_E.MP4$3590$3595","LOCAL")</f>
        <v>LOCAL</v>
      </c>
      <c r="E1266" s="3" t="s">
        <v>54</v>
      </c>
      <c r="F1266" s="3" t="s">
        <v>1423</v>
      </c>
      <c r="G1266" s="3" t="s">
        <v>1424</v>
      </c>
    </row>
    <row r="1267" spans="1:7">
      <c r="A1267" s="6">
        <v>42921</v>
      </c>
      <c r="B1267" s="3" t="s">
        <v>13</v>
      </c>
      <c r="C1267" s="3" t="s">
        <v>18</v>
      </c>
      <c r="D1267" s="8" t="str">
        <f>HYPERLINK("http://npthd.inbcu.com/ViewContent.aspx?filename=NPMR_ABC_2017-07-05_E.MP4$3595$3729","SPEECHLESS: b-o-n--fire")</f>
        <v>SPEECHLESS: b-o-n--fire</v>
      </c>
      <c r="E1267" s="3" t="s">
        <v>1397</v>
      </c>
      <c r="F1267" s="3" t="s">
        <v>1424</v>
      </c>
      <c r="G1267" s="3" t="s">
        <v>242</v>
      </c>
    </row>
    <row r="1268" spans="1:7">
      <c r="A1268" s="6">
        <v>42921</v>
      </c>
      <c r="B1268" s="3" t="s">
        <v>13</v>
      </c>
      <c r="C1268" s="3" t="s">
        <v>14</v>
      </c>
      <c r="D1268" s="8" t="str">
        <f>HYPERLINK("http://npthd.inbcu.com/ViewContent.aspx?filename=NPMR_ABC_2017-07-05_E.MP4$3729$3734","Modern Family")</f>
        <v>Modern Family</v>
      </c>
      <c r="E1268" s="3" t="s">
        <v>54</v>
      </c>
      <c r="F1268" s="3" t="s">
        <v>242</v>
      </c>
      <c r="G1268" s="3" t="s">
        <v>243</v>
      </c>
    </row>
    <row r="1269" spans="1:7">
      <c r="A1269" s="6">
        <v>42921</v>
      </c>
      <c r="B1269" s="3" t="s">
        <v>13</v>
      </c>
      <c r="C1269" s="3" t="s">
        <v>18</v>
      </c>
      <c r="D1269" s="8" t="str">
        <f>HYPERLINK("http://npthd.inbcu.com/ViewContent.aspx?filename=NPMR_ABC_2017-07-05_E.MP4$3734$4038","MODERN FAMILY: basketball")</f>
        <v>MODERN FAMILY: basketball</v>
      </c>
      <c r="E1269" s="3" t="s">
        <v>1425</v>
      </c>
      <c r="F1269" s="3" t="s">
        <v>243</v>
      </c>
      <c r="G1269" s="3" t="s">
        <v>1426</v>
      </c>
    </row>
    <row r="1270" spans="1:7">
      <c r="A1270" s="6">
        <v>42921</v>
      </c>
      <c r="B1270" s="3" t="s">
        <v>13</v>
      </c>
      <c r="C1270" s="3" t="s">
        <v>21</v>
      </c>
      <c r="D1270" s="8" t="str">
        <f>HYPERLINK("http://npthd.inbcu.com/ViewContent.aspx?filename=NPMR_ABC_2017-07-05_E.MP4$4038$4203","COMMERCIAL")</f>
        <v>COMMERCIAL</v>
      </c>
      <c r="E1270" s="3" t="s">
        <v>428</v>
      </c>
      <c r="F1270" s="3" t="s">
        <v>1426</v>
      </c>
      <c r="G1270" s="3" t="s">
        <v>1427</v>
      </c>
    </row>
    <row r="1271" spans="1:7">
      <c r="A1271" s="6">
        <v>42921</v>
      </c>
      <c r="B1271" s="3" t="s">
        <v>13</v>
      </c>
      <c r="C1271" s="3" t="s">
        <v>14</v>
      </c>
      <c r="D1271" s="8" t="str">
        <f>HYPERLINK("http://npthd.inbcu.com/ViewContent.aspx?filename=NPMR_ABC_2017-07-05_E.MP4$4203$4234","World News Tonight")</f>
        <v>World News Tonight</v>
      </c>
      <c r="E1271" s="3" t="s">
        <v>98</v>
      </c>
      <c r="F1271" s="3" t="s">
        <v>1427</v>
      </c>
      <c r="G1271" s="3" t="s">
        <v>1428</v>
      </c>
    </row>
    <row r="1272" spans="1:7">
      <c r="A1272" s="6">
        <v>42921</v>
      </c>
      <c r="B1272" s="3" t="s">
        <v>13</v>
      </c>
      <c r="C1272" s="3" t="s">
        <v>18</v>
      </c>
      <c r="D1272" s="8" t="str">
        <f>HYPERLINK("http://npthd.inbcu.com/ViewContent.aspx?filename=NPMR_ABC_2017-07-05_E.MP4$4234$4626","MODERN FAMILY: basketball")</f>
        <v>MODERN FAMILY: basketball</v>
      </c>
      <c r="E1272" s="3" t="s">
        <v>1222</v>
      </c>
      <c r="F1272" s="3" t="s">
        <v>1428</v>
      </c>
      <c r="G1272" s="3" t="s">
        <v>1429</v>
      </c>
    </row>
    <row r="1273" spans="1:7">
      <c r="A1273" s="6">
        <v>42921</v>
      </c>
      <c r="B1273" s="3" t="s">
        <v>13</v>
      </c>
      <c r="C1273" s="3" t="s">
        <v>21</v>
      </c>
      <c r="D1273" s="8" t="str">
        <f>HYPERLINK("http://npthd.inbcu.com/ViewContent.aspx?filename=NPMR_ABC_2017-07-05_E.MP4$4626$4746","COMMERCIAL")</f>
        <v>COMMERCIAL</v>
      </c>
      <c r="E1273" s="3" t="s">
        <v>43</v>
      </c>
      <c r="F1273" s="3" t="s">
        <v>1429</v>
      </c>
      <c r="G1273" s="3" t="s">
        <v>1430</v>
      </c>
    </row>
    <row r="1274" spans="1:7">
      <c r="A1274" s="6">
        <v>42921</v>
      </c>
      <c r="B1274" s="3" t="s">
        <v>13</v>
      </c>
      <c r="C1274" s="3" t="s">
        <v>14</v>
      </c>
      <c r="D1274" s="8" t="str">
        <f>HYPERLINK("http://npthd.inbcu.com/ViewContent.aspx?filename=NPMR_ABC_2017-07-05_E.MP4$4746$4761","Battle of the Network Stars")</f>
        <v>Battle of the Network Stars</v>
      </c>
      <c r="E1274" s="3" t="s">
        <v>30</v>
      </c>
      <c r="F1274" s="3" t="s">
        <v>1430</v>
      </c>
      <c r="G1274" s="3" t="s">
        <v>1431</v>
      </c>
    </row>
    <row r="1275" spans="1:7">
      <c r="A1275" s="6">
        <v>42921</v>
      </c>
      <c r="B1275" s="3" t="s">
        <v>13</v>
      </c>
      <c r="C1275" s="3" t="s">
        <v>14</v>
      </c>
      <c r="D1275" s="8" t="str">
        <f>HYPERLINK("http://npthd.inbcu.com/ViewContent.aspx?filename=NPMR_ABC_2017-07-05_E.MP4$4761$4776","Bachelorette")</f>
        <v>Bachelorette</v>
      </c>
      <c r="E1275" s="3" t="s">
        <v>30</v>
      </c>
      <c r="F1275" s="3" t="s">
        <v>1431</v>
      </c>
      <c r="G1275" s="3" t="s">
        <v>1432</v>
      </c>
    </row>
    <row r="1276" spans="1:7">
      <c r="A1276" s="6">
        <v>42921</v>
      </c>
      <c r="B1276" s="3" t="s">
        <v>13</v>
      </c>
      <c r="C1276" s="3" t="s">
        <v>32</v>
      </c>
      <c r="D1276" s="8" t="str">
        <f>HYPERLINK("http://npthd.inbcu.com/ViewContent.aspx?filename=NPMR_ABC_2017-07-05_E.MP4$4776$4837","LOCAL")</f>
        <v>LOCAL</v>
      </c>
      <c r="E1276" s="3" t="s">
        <v>33</v>
      </c>
      <c r="F1276" s="3" t="s">
        <v>1432</v>
      </c>
      <c r="G1276" s="3" t="s">
        <v>1433</v>
      </c>
    </row>
    <row r="1277" spans="1:7">
      <c r="A1277" s="6">
        <v>42921</v>
      </c>
      <c r="B1277" s="3" t="s">
        <v>13</v>
      </c>
      <c r="C1277" s="3" t="s">
        <v>18</v>
      </c>
      <c r="D1277" s="8" t="str">
        <f>HYPERLINK("http://npthd.inbcu.com/ViewContent.aspx?filename=NPMR_ABC_2017-07-05_E.MP4$4837$5373","MODERN FAMILY: basketball")</f>
        <v>MODERN FAMILY: basketball</v>
      </c>
      <c r="E1277" s="3" t="s">
        <v>1434</v>
      </c>
      <c r="F1277" s="3" t="s">
        <v>1433</v>
      </c>
      <c r="G1277" s="3" t="s">
        <v>1435</v>
      </c>
    </row>
    <row r="1278" spans="1:7">
      <c r="A1278" s="6">
        <v>42921</v>
      </c>
      <c r="B1278" s="3" t="s">
        <v>13</v>
      </c>
      <c r="C1278" s="3" t="s">
        <v>21</v>
      </c>
      <c r="D1278" s="8" t="str">
        <f>HYPERLINK("http://npthd.inbcu.com/ViewContent.aspx?filename=NPMR_ABC_2017-07-05_E.MP4$5373$5524","COMMERCIAL")</f>
        <v>COMMERCIAL</v>
      </c>
      <c r="E1278" s="3" t="s">
        <v>91</v>
      </c>
      <c r="F1278" s="3" t="s">
        <v>1435</v>
      </c>
      <c r="G1278" s="3" t="s">
        <v>1436</v>
      </c>
    </row>
    <row r="1279" spans="1:7">
      <c r="A1279" s="6">
        <v>42921</v>
      </c>
      <c r="B1279" s="3" t="s">
        <v>13</v>
      </c>
      <c r="C1279" s="3" t="s">
        <v>14</v>
      </c>
      <c r="D1279" s="8" t="str">
        <f>HYPERLINK("http://npthd.inbcu.com/ViewContent.aspx?filename=NPMR_ABC_2017-07-05_E.MP4$5524$5554","Espys")</f>
        <v>Espys</v>
      </c>
      <c r="E1279" s="3" t="s">
        <v>38</v>
      </c>
      <c r="F1279" s="3" t="s">
        <v>1436</v>
      </c>
      <c r="G1279" s="3" t="s">
        <v>1437</v>
      </c>
    </row>
    <row r="1280" spans="1:7">
      <c r="A1280" s="6">
        <v>42921</v>
      </c>
      <c r="B1280" s="3" t="s">
        <v>13</v>
      </c>
      <c r="C1280" s="3" t="s">
        <v>18</v>
      </c>
      <c r="D1280" s="8" t="str">
        <f>HYPERLINK("http://npthd.inbcu.com/ViewContent.aspx?filename=NPMR_ABC_2017-07-05_E.MP4$5554$5589","MODERN FAMILY: basketball")</f>
        <v>MODERN FAMILY: basketball</v>
      </c>
      <c r="E1280" s="3" t="s">
        <v>1394</v>
      </c>
      <c r="F1280" s="3" t="s">
        <v>1437</v>
      </c>
      <c r="G1280" s="3" t="s">
        <v>655</v>
      </c>
    </row>
    <row r="1281" spans="1:7">
      <c r="A1281" s="6">
        <v>42921</v>
      </c>
      <c r="B1281" s="3" t="s">
        <v>13</v>
      </c>
      <c r="C1281" s="3" t="s">
        <v>14</v>
      </c>
      <c r="D1281" s="8" t="str">
        <f>HYPERLINK("http://npthd.inbcu.com/ViewContent.aspx?filename=NPMR_ABC_2017-07-05_E.MP4$5589$5594","American Housewife")</f>
        <v>American Housewife</v>
      </c>
      <c r="E1281" s="3" t="s">
        <v>54</v>
      </c>
      <c r="F1281" s="3" t="s">
        <v>655</v>
      </c>
      <c r="G1281" s="3" t="s">
        <v>69</v>
      </c>
    </row>
    <row r="1282" spans="1:7">
      <c r="A1282" s="6">
        <v>42921</v>
      </c>
      <c r="B1282" s="3" t="s">
        <v>13</v>
      </c>
      <c r="C1282" s="3" t="s">
        <v>18</v>
      </c>
      <c r="D1282" s="8" t="str">
        <f>HYPERLINK("http://npthd.inbcu.com/ViewContent.aspx?filename=NPMR_ABC_2017-07-05_E.MP4$5594$5968","AMERICAN HOUSEWIFE: krampus katie")</f>
        <v>AMERICAN HOUSEWIFE: krampus katie</v>
      </c>
      <c r="E1282" s="3" t="s">
        <v>1255</v>
      </c>
      <c r="F1282" s="3" t="s">
        <v>69</v>
      </c>
      <c r="G1282" s="3" t="s">
        <v>1438</v>
      </c>
    </row>
    <row r="1283" spans="1:7">
      <c r="A1283" s="6">
        <v>42921</v>
      </c>
      <c r="B1283" s="3" t="s">
        <v>13</v>
      </c>
      <c r="C1283" s="3" t="s">
        <v>21</v>
      </c>
      <c r="D1283" s="8" t="str">
        <f>HYPERLINK("http://npthd.inbcu.com/ViewContent.aspx?filename=NPMR_ABC_2017-07-05_E.MP4$5968$6089","COMMERCIAL")</f>
        <v>COMMERCIAL</v>
      </c>
      <c r="E1283" s="3" t="s">
        <v>175</v>
      </c>
      <c r="F1283" s="3" t="s">
        <v>1438</v>
      </c>
      <c r="G1283" s="3" t="s">
        <v>1439</v>
      </c>
    </row>
    <row r="1284" spans="1:7">
      <c r="A1284" s="6">
        <v>42921</v>
      </c>
      <c r="B1284" s="3" t="s">
        <v>13</v>
      </c>
      <c r="C1284" s="3" t="s">
        <v>14</v>
      </c>
      <c r="D1284" s="8" t="str">
        <f>HYPERLINK("http://npthd.inbcu.com/ViewContent.aspx?filename=NPMR_ABC_2017-07-05_E.MP4$6089$6104","Boy Band")</f>
        <v>Boy Band</v>
      </c>
      <c r="E1284" s="3" t="s">
        <v>30</v>
      </c>
      <c r="F1284" s="3" t="s">
        <v>1439</v>
      </c>
      <c r="G1284" s="3" t="s">
        <v>1440</v>
      </c>
    </row>
    <row r="1285" spans="1:7">
      <c r="A1285" s="6">
        <v>42921</v>
      </c>
      <c r="B1285" s="3" t="s">
        <v>13</v>
      </c>
      <c r="C1285" s="3" t="s">
        <v>14</v>
      </c>
      <c r="D1285" s="8" t="str">
        <f>HYPERLINK("http://npthd.inbcu.com/ViewContent.aspx?filename=NPMR_ABC_2017-07-05_E.MP4$6104$6119","Battle of the Network Stars")</f>
        <v>Battle of the Network Stars</v>
      </c>
      <c r="E1285" s="3" t="s">
        <v>30</v>
      </c>
      <c r="F1285" s="3" t="s">
        <v>1440</v>
      </c>
      <c r="G1285" s="3" t="s">
        <v>1441</v>
      </c>
    </row>
    <row r="1286" spans="1:7">
      <c r="A1286" s="6">
        <v>42921</v>
      </c>
      <c r="B1286" s="3" t="s">
        <v>13</v>
      </c>
      <c r="C1286" s="3" t="s">
        <v>18</v>
      </c>
      <c r="D1286" s="8" t="str">
        <f>HYPERLINK("http://npthd.inbcu.com/ViewContent.aspx?filename=NPMR_ABC_2017-07-05_E.MP4$6119$6638","AMERICAN HOUSEWIFE: krampus katie")</f>
        <v>AMERICAN HOUSEWIFE: krampus katie</v>
      </c>
      <c r="E1286" s="3" t="s">
        <v>915</v>
      </c>
      <c r="F1286" s="3" t="s">
        <v>1441</v>
      </c>
      <c r="G1286" s="3" t="s">
        <v>1442</v>
      </c>
    </row>
    <row r="1287" spans="1:7">
      <c r="A1287" s="6">
        <v>42921</v>
      </c>
      <c r="B1287" s="3" t="s">
        <v>13</v>
      </c>
      <c r="C1287" s="3" t="s">
        <v>21</v>
      </c>
      <c r="D1287" s="8" t="str">
        <f>HYPERLINK("http://npthd.inbcu.com/ViewContent.aspx?filename=NPMR_ABC_2017-07-05_E.MP4$6638$6713","COMMERCIAL")</f>
        <v>COMMERCIAL</v>
      </c>
      <c r="E1287" s="3" t="s">
        <v>531</v>
      </c>
      <c r="F1287" s="3" t="s">
        <v>1442</v>
      </c>
      <c r="G1287" s="3" t="s">
        <v>1443</v>
      </c>
    </row>
    <row r="1288" spans="1:7">
      <c r="A1288" s="6">
        <v>42921</v>
      </c>
      <c r="B1288" s="3" t="s">
        <v>13</v>
      </c>
      <c r="C1288" s="3" t="s">
        <v>14</v>
      </c>
      <c r="D1288" s="8" t="str">
        <f>HYPERLINK("http://npthd.inbcu.com/ViewContent.aspx?filename=NPMR_ABC_2017-07-05_E.MP4$6713$6718","Espys")</f>
        <v>Espys</v>
      </c>
      <c r="E1288" s="3" t="s">
        <v>54</v>
      </c>
      <c r="F1288" s="3" t="s">
        <v>1443</v>
      </c>
      <c r="G1288" s="3" t="s">
        <v>1444</v>
      </c>
    </row>
    <row r="1289" spans="1:7">
      <c r="A1289" s="6">
        <v>42921</v>
      </c>
      <c r="B1289" s="3" t="s">
        <v>13</v>
      </c>
      <c r="C1289" s="3" t="s">
        <v>32</v>
      </c>
      <c r="D1289" s="8" t="str">
        <f>HYPERLINK("http://npthd.inbcu.com/ViewContent.aspx?filename=NPMR_ABC_2017-07-05_E.MP4$6718$6809","LOCAL")</f>
        <v>LOCAL</v>
      </c>
      <c r="E1289" s="3" t="s">
        <v>77</v>
      </c>
      <c r="F1289" s="3" t="s">
        <v>1444</v>
      </c>
      <c r="G1289" s="3" t="s">
        <v>1360</v>
      </c>
    </row>
    <row r="1290" spans="1:7">
      <c r="A1290" s="6">
        <v>42921</v>
      </c>
      <c r="B1290" s="3" t="s">
        <v>13</v>
      </c>
      <c r="C1290" s="3" t="s">
        <v>18</v>
      </c>
      <c r="D1290" s="8" t="str">
        <f>HYPERLINK("http://npthd.inbcu.com/ViewContent.aspx?filename=NPMR_ABC_2017-07-05_E.MP4$6809$7153","AMERICAN HOUSEWIFE: krampus katie")</f>
        <v>AMERICAN HOUSEWIFE: krampus katie</v>
      </c>
      <c r="E1290" s="3" t="s">
        <v>1445</v>
      </c>
      <c r="F1290" s="3" t="s">
        <v>1360</v>
      </c>
      <c r="G1290" s="3" t="s">
        <v>1446</v>
      </c>
    </row>
    <row r="1291" spans="1:7">
      <c r="A1291" s="6">
        <v>42921</v>
      </c>
      <c r="B1291" s="3" t="s">
        <v>13</v>
      </c>
      <c r="C1291" s="3" t="s">
        <v>14</v>
      </c>
      <c r="D1291" s="8" t="str">
        <f>HYPERLINK("http://npthd.inbcu.com/ViewContent.aspx?filename=NPMR_ABC_2017-07-05_E.MP4$7153$7158","Boy Band")</f>
        <v>Boy Band</v>
      </c>
      <c r="E1291" s="3" t="s">
        <v>54</v>
      </c>
      <c r="F1291" s="3" t="s">
        <v>1446</v>
      </c>
      <c r="G1291" s="3" t="s">
        <v>1447</v>
      </c>
    </row>
    <row r="1292" spans="1:7">
      <c r="A1292" s="6">
        <v>42921</v>
      </c>
      <c r="B1292" s="3" t="s">
        <v>13</v>
      </c>
      <c r="C1292" s="3" t="s">
        <v>21</v>
      </c>
      <c r="D1292" s="8" t="str">
        <f>HYPERLINK("http://npthd.inbcu.com/ViewContent.aspx?filename=NPMR_ABC_2017-07-05_E.MP4$7158$7278","COMMERCIAL")</f>
        <v>COMMERCIAL</v>
      </c>
      <c r="E1292" s="3" t="s">
        <v>43</v>
      </c>
      <c r="F1292" s="3" t="s">
        <v>1447</v>
      </c>
      <c r="G1292" s="3" t="s">
        <v>1448</v>
      </c>
    </row>
    <row r="1293" spans="1:7">
      <c r="A1293" s="6">
        <v>42921</v>
      </c>
      <c r="B1293" s="3" t="s">
        <v>13</v>
      </c>
      <c r="C1293" s="3" t="s">
        <v>14</v>
      </c>
      <c r="D1293" s="8" t="str">
        <f>HYPERLINK("http://npthd.inbcu.com/ViewContent.aspx?filename=NPMR_ABC_2017-07-05_E.MP4$7278$7293","To Tell the Truth")</f>
        <v>To Tell the Truth</v>
      </c>
      <c r="E1293" s="3" t="s">
        <v>30</v>
      </c>
      <c r="F1293" s="3" t="s">
        <v>1448</v>
      </c>
      <c r="G1293" s="3" t="s">
        <v>181</v>
      </c>
    </row>
    <row r="1294" spans="1:7">
      <c r="A1294" s="6">
        <v>42921</v>
      </c>
      <c r="B1294" s="3" t="s">
        <v>13</v>
      </c>
      <c r="C1294" s="3" t="s">
        <v>32</v>
      </c>
      <c r="D1294" s="8" t="str">
        <f>HYPERLINK("http://npthd.inbcu.com/ViewContent.aspx?filename=NPMR_ABC_2017-07-05_E.MP4$7293$7298","LOCAL")</f>
        <v>LOCAL</v>
      </c>
      <c r="E1294" s="3" t="s">
        <v>54</v>
      </c>
      <c r="F1294" s="3" t="s">
        <v>181</v>
      </c>
      <c r="G1294" s="3" t="s">
        <v>1449</v>
      </c>
    </row>
    <row r="1295" spans="1:7">
      <c r="A1295" s="6">
        <v>42921</v>
      </c>
      <c r="B1295" s="3" t="s">
        <v>13</v>
      </c>
      <c r="C1295" s="3" t="s">
        <v>18</v>
      </c>
      <c r="D1295" s="8" t="str">
        <f>HYPERLINK("http://npthd.inbcu.com/ViewContent.aspx?filename=NPMR_ABC_2017-07-05_E.MP4$7298$7329","AMERICAN HOUSEWIFE: krampus katie")</f>
        <v>AMERICAN HOUSEWIFE: krampus katie</v>
      </c>
      <c r="E1295" s="3" t="s">
        <v>98</v>
      </c>
      <c r="F1295" s="3" t="s">
        <v>1449</v>
      </c>
      <c r="G1295" s="3" t="s">
        <v>394</v>
      </c>
    </row>
    <row r="1296" spans="1:7">
      <c r="A1296" s="6">
        <v>42921</v>
      </c>
      <c r="B1296" s="3" t="s">
        <v>13</v>
      </c>
      <c r="C1296" s="3" t="s">
        <v>14</v>
      </c>
      <c r="D1296" s="8" t="str">
        <f>HYPERLINK("http://npthd.inbcu.com/ViewContent.aspx?filename=NPMR_ABC_2017-07-05_E.MP4$7329$7334","To Tell the Truth")</f>
        <v>To Tell the Truth</v>
      </c>
      <c r="E1296" s="3" t="s">
        <v>54</v>
      </c>
      <c r="F1296" s="3" t="s">
        <v>394</v>
      </c>
      <c r="G1296" s="3" t="s">
        <v>395</v>
      </c>
    </row>
    <row r="1297" spans="1:7">
      <c r="A1297" s="6">
        <v>42921</v>
      </c>
      <c r="B1297" s="3" t="s">
        <v>13</v>
      </c>
      <c r="C1297" s="3" t="s">
        <v>18</v>
      </c>
      <c r="D1297" s="8" t="str">
        <f>HYPERLINK("http://npthd.inbcu.com/ViewContent.aspx?filename=NPMR_ABC_2017-07-05_E.MP4$7334$7895","TO TELL THE TRUTH: rose, shepherd, kattan, osborne")</f>
        <v>TO TELL THE TRUTH: rose, shepherd, kattan, osborne</v>
      </c>
      <c r="E1297" s="3" t="s">
        <v>1290</v>
      </c>
      <c r="F1297" s="3" t="s">
        <v>395</v>
      </c>
      <c r="G1297" s="3" t="s">
        <v>1450</v>
      </c>
    </row>
    <row r="1298" spans="1:7">
      <c r="A1298" s="6">
        <v>42921</v>
      </c>
      <c r="B1298" s="3" t="s">
        <v>13</v>
      </c>
      <c r="C1298" s="3" t="s">
        <v>21</v>
      </c>
      <c r="D1298" s="8" t="str">
        <f>HYPERLINK("http://npthd.inbcu.com/ViewContent.aspx?filename=NPMR_ABC_2017-07-05_E.MP4$7895$8076","COMMERCIAL")</f>
        <v>COMMERCIAL</v>
      </c>
      <c r="E1298" s="3" t="s">
        <v>108</v>
      </c>
      <c r="F1298" s="3" t="s">
        <v>1450</v>
      </c>
      <c r="G1298" s="3" t="s">
        <v>93</v>
      </c>
    </row>
    <row r="1299" spans="1:7">
      <c r="A1299" s="6">
        <v>42921</v>
      </c>
      <c r="B1299" s="3" t="s">
        <v>13</v>
      </c>
      <c r="C1299" s="3" t="s">
        <v>14</v>
      </c>
      <c r="D1299" s="8" t="str">
        <f>HYPERLINK("http://npthd.inbcu.com/ViewContent.aspx?filename=NPMR_ABC_2017-07-05_E.MP4$8076$8091","Boy Band")</f>
        <v>Boy Band</v>
      </c>
      <c r="E1299" s="3" t="s">
        <v>30</v>
      </c>
      <c r="F1299" s="3" t="s">
        <v>93</v>
      </c>
      <c r="G1299" s="3" t="s">
        <v>94</v>
      </c>
    </row>
    <row r="1300" spans="1:7">
      <c r="A1300" s="6">
        <v>42921</v>
      </c>
      <c r="B1300" s="3" t="s">
        <v>13</v>
      </c>
      <c r="C1300" s="3" t="s">
        <v>14</v>
      </c>
      <c r="D1300" s="8" t="str">
        <f>HYPERLINK("http://npthd.inbcu.com/ViewContent.aspx?filename=NPMR_ABC_2017-07-05_E.MP4$8091$8121","Battle of the Network Stars")</f>
        <v>Battle of the Network Stars</v>
      </c>
      <c r="E1300" s="3" t="s">
        <v>38</v>
      </c>
      <c r="F1300" s="3" t="s">
        <v>94</v>
      </c>
      <c r="G1300" s="3" t="s">
        <v>1451</v>
      </c>
    </row>
    <row r="1301" spans="1:7">
      <c r="A1301" s="6">
        <v>42921</v>
      </c>
      <c r="B1301" s="3" t="s">
        <v>13</v>
      </c>
      <c r="C1301" s="3" t="s">
        <v>18</v>
      </c>
      <c r="D1301" s="8" t="str">
        <f>HYPERLINK("http://npthd.inbcu.com/ViewContent.aspx?filename=NPMR_ABC_2017-07-05_E.MP4$8121$8565","TO TELL THE TRUTH: rose, shepherd, kattan, osborne")</f>
        <v>TO TELL THE TRUTH: rose, shepherd, kattan, osborne</v>
      </c>
      <c r="E1301" s="3" t="s">
        <v>244</v>
      </c>
      <c r="F1301" s="3" t="s">
        <v>1451</v>
      </c>
      <c r="G1301" s="3" t="s">
        <v>1452</v>
      </c>
    </row>
    <row r="1302" spans="1:7">
      <c r="A1302" s="6">
        <v>42921</v>
      </c>
      <c r="B1302" s="3" t="s">
        <v>13</v>
      </c>
      <c r="C1302" s="3" t="s">
        <v>14</v>
      </c>
      <c r="D1302" s="8" t="str">
        <f>HYPERLINK("http://npthd.inbcu.com/ViewContent.aspx?filename=NPMR_ABC_2017-07-05_E.MP4$8565$8570","Espys")</f>
        <v>Espys</v>
      </c>
      <c r="E1302" s="3" t="s">
        <v>54</v>
      </c>
      <c r="F1302" s="3" t="s">
        <v>1452</v>
      </c>
      <c r="G1302" s="3" t="s">
        <v>1453</v>
      </c>
    </row>
    <row r="1303" spans="1:7">
      <c r="A1303" s="6">
        <v>42921</v>
      </c>
      <c r="B1303" s="3" t="s">
        <v>13</v>
      </c>
      <c r="C1303" s="3" t="s">
        <v>21</v>
      </c>
      <c r="D1303" s="8" t="str">
        <f>HYPERLINK("http://npthd.inbcu.com/ViewContent.aspx?filename=NPMR_ABC_2017-07-05_E.MP4$8570$8751","COMMERCIAL")</f>
        <v>COMMERCIAL</v>
      </c>
      <c r="E1303" s="3" t="s">
        <v>108</v>
      </c>
      <c r="F1303" s="3" t="s">
        <v>1453</v>
      </c>
      <c r="G1303" s="3" t="s">
        <v>1454</v>
      </c>
    </row>
    <row r="1304" spans="1:7">
      <c r="A1304" s="6">
        <v>42921</v>
      </c>
      <c r="B1304" s="3" t="s">
        <v>13</v>
      </c>
      <c r="C1304" s="3" t="s">
        <v>14</v>
      </c>
      <c r="D1304" s="8" t="str">
        <f>HYPERLINK("http://npthd.inbcu.com/ViewContent.aspx?filename=NPMR_ABC_2017-07-05_E.MP4$8751$8781","Gong Show, The")</f>
        <v>Gong Show, The</v>
      </c>
      <c r="E1304" s="3" t="s">
        <v>38</v>
      </c>
      <c r="F1304" s="3" t="s">
        <v>1454</v>
      </c>
      <c r="G1304" s="3" t="s">
        <v>757</v>
      </c>
    </row>
    <row r="1305" spans="1:7">
      <c r="A1305" s="6">
        <v>42921</v>
      </c>
      <c r="B1305" s="3" t="s">
        <v>13</v>
      </c>
      <c r="C1305" s="3" t="s">
        <v>18</v>
      </c>
      <c r="D1305" s="8" t="str">
        <f>HYPERLINK("http://npthd.inbcu.com/ViewContent.aspx?filename=NPMR_ABC_2017-07-05_E.MP4$8781$9166","TO TELL THE TRUTH: rose, shepherd, kattan, osborne")</f>
        <v>TO TELL THE TRUTH: rose, shepherd, kattan, osborne</v>
      </c>
      <c r="E1305" s="3" t="s">
        <v>1455</v>
      </c>
      <c r="F1305" s="3" t="s">
        <v>757</v>
      </c>
      <c r="G1305" s="3" t="s">
        <v>1456</v>
      </c>
    </row>
    <row r="1306" spans="1:7">
      <c r="A1306" s="6">
        <v>42921</v>
      </c>
      <c r="B1306" s="3" t="s">
        <v>13</v>
      </c>
      <c r="C1306" s="3" t="s">
        <v>21</v>
      </c>
      <c r="D1306" s="8" t="str">
        <f>HYPERLINK("http://npthd.inbcu.com/ViewContent.aspx?filename=NPMR_ABC_2017-07-05_E.MP4$9166$9256","COMMERCIAL")</f>
        <v>COMMERCIAL</v>
      </c>
      <c r="E1306" s="3" t="s">
        <v>46</v>
      </c>
      <c r="F1306" s="3" t="s">
        <v>1456</v>
      </c>
      <c r="G1306" s="3" t="s">
        <v>685</v>
      </c>
    </row>
    <row r="1307" spans="1:7">
      <c r="A1307" s="6">
        <v>42921</v>
      </c>
      <c r="B1307" s="3" t="s">
        <v>13</v>
      </c>
      <c r="C1307" s="3" t="s">
        <v>14</v>
      </c>
      <c r="D1307" s="8" t="str">
        <f>HYPERLINK("http://npthd.inbcu.com/ViewContent.aspx?filename=NPMR_ABC_2017-07-05_E.MP4$9256$9286","ABC Sunday Fun and Games")</f>
        <v>ABC Sunday Fun and Games</v>
      </c>
      <c r="E1307" s="3" t="s">
        <v>38</v>
      </c>
      <c r="F1307" s="3" t="s">
        <v>685</v>
      </c>
      <c r="G1307" s="3" t="s">
        <v>1457</v>
      </c>
    </row>
    <row r="1308" spans="1:7">
      <c r="A1308" s="6">
        <v>42921</v>
      </c>
      <c r="B1308" s="3" t="s">
        <v>13</v>
      </c>
      <c r="C1308" s="3" t="s">
        <v>32</v>
      </c>
      <c r="D1308" s="8" t="str">
        <f>HYPERLINK("http://npthd.inbcu.com/ViewContent.aspx?filename=NPMR_ABC_2017-07-05_E.MP4$9286$9392","LOCAL")</f>
        <v>LOCAL</v>
      </c>
      <c r="E1308" s="3" t="s">
        <v>293</v>
      </c>
      <c r="F1308" s="3" t="s">
        <v>1457</v>
      </c>
      <c r="G1308" s="3" t="s">
        <v>1458</v>
      </c>
    </row>
    <row r="1309" spans="1:7">
      <c r="A1309" s="6">
        <v>42921</v>
      </c>
      <c r="B1309" s="3" t="s">
        <v>13</v>
      </c>
      <c r="C1309" s="3" t="s">
        <v>18</v>
      </c>
      <c r="D1309" s="8" t="str">
        <f>HYPERLINK("http://npthd.inbcu.com/ViewContent.aspx?filename=NPMR_ABC_2017-07-05_E.MP4$9392$9798","TO TELL THE TRUTH: rose, shepherd, kattan, osborne")</f>
        <v>TO TELL THE TRUTH: rose, shepherd, kattan, osborne</v>
      </c>
      <c r="E1309" s="3" t="s">
        <v>1459</v>
      </c>
      <c r="F1309" s="3" t="s">
        <v>1458</v>
      </c>
      <c r="G1309" s="3" t="s">
        <v>1460</v>
      </c>
    </row>
    <row r="1310" spans="1:7">
      <c r="A1310" s="6">
        <v>42921</v>
      </c>
      <c r="B1310" s="3" t="s">
        <v>13</v>
      </c>
      <c r="C1310" s="3" t="s">
        <v>21</v>
      </c>
      <c r="D1310" s="8" t="str">
        <f>HYPERLINK("http://npthd.inbcu.com/ViewContent.aspx?filename=NPMR_ABC_2017-07-05_E.MP4$9798$9918","COMMERCIAL")</f>
        <v>COMMERCIAL</v>
      </c>
      <c r="E1310" s="3" t="s">
        <v>43</v>
      </c>
      <c r="F1310" s="3" t="s">
        <v>1460</v>
      </c>
      <c r="G1310" s="3" t="s">
        <v>1461</v>
      </c>
    </row>
    <row r="1311" spans="1:7">
      <c r="A1311" s="6">
        <v>42921</v>
      </c>
      <c r="B1311" s="3" t="s">
        <v>13</v>
      </c>
      <c r="C1311" s="3" t="s">
        <v>14</v>
      </c>
      <c r="D1311" s="8" t="str">
        <f>HYPERLINK("http://npthd.inbcu.com/ViewContent.aspx?filename=NPMR_ABC_2017-07-05_E.MP4$9918$9933","Espys")</f>
        <v>Espys</v>
      </c>
      <c r="E1311" s="3" t="s">
        <v>30</v>
      </c>
      <c r="F1311" s="3" t="s">
        <v>1461</v>
      </c>
      <c r="G1311" s="3" t="s">
        <v>1462</v>
      </c>
    </row>
    <row r="1312" spans="1:7">
      <c r="A1312" s="6">
        <v>42921</v>
      </c>
      <c r="B1312" s="3" t="s">
        <v>13</v>
      </c>
      <c r="C1312" s="3" t="s">
        <v>32</v>
      </c>
      <c r="D1312" s="8" t="str">
        <f>HYPERLINK("http://npthd.inbcu.com/ViewContent.aspx?filename=NPMR_ABC_2017-07-05_E.MP4$9933$10024","LOCAL")</f>
        <v>LOCAL</v>
      </c>
      <c r="E1312" s="3" t="s">
        <v>77</v>
      </c>
      <c r="F1312" s="3" t="s">
        <v>1462</v>
      </c>
      <c r="G1312" s="3" t="s">
        <v>1463</v>
      </c>
    </row>
    <row r="1313" spans="1:7">
      <c r="A1313" s="6">
        <v>42921</v>
      </c>
      <c r="B1313" s="3" t="s">
        <v>13</v>
      </c>
      <c r="C1313" s="3" t="s">
        <v>18</v>
      </c>
      <c r="D1313" s="8" t="str">
        <f>HYPERLINK("http://npthd.inbcu.com/ViewContent.aspx?filename=NPMR_ABC_2017-07-05_E.MP4$10024$10431","TO TELL THE TRUTH: rose, shepherd, kattan, osborne")</f>
        <v>TO TELL THE TRUTH: rose, shepherd, kattan, osborne</v>
      </c>
      <c r="E1313" s="3" t="s">
        <v>1464</v>
      </c>
      <c r="F1313" s="3" t="s">
        <v>1463</v>
      </c>
      <c r="G1313" s="3" t="s">
        <v>1465</v>
      </c>
    </row>
    <row r="1314" spans="1:7">
      <c r="A1314" s="6">
        <v>42921</v>
      </c>
      <c r="B1314" s="3" t="s">
        <v>13</v>
      </c>
      <c r="C1314" s="3" t="s">
        <v>32</v>
      </c>
      <c r="D1314" s="8" t="str">
        <f>HYPERLINK("http://npthd.inbcu.com/ViewContent.aspx?filename=NPMR_ABC_2017-07-05_E.MP4$10431$10447","LOCAL")</f>
        <v>LOCAL</v>
      </c>
      <c r="E1314" s="3" t="s">
        <v>64</v>
      </c>
      <c r="F1314" s="3" t="s">
        <v>1465</v>
      </c>
      <c r="G1314" s="3" t="s">
        <v>306</v>
      </c>
    </row>
    <row r="1315" spans="1:7">
      <c r="A1315" s="6">
        <v>42921</v>
      </c>
      <c r="B1315" s="3" t="s">
        <v>13</v>
      </c>
      <c r="C1315" s="3" t="s">
        <v>21</v>
      </c>
      <c r="D1315" s="8" t="str">
        <f>HYPERLINK("http://npthd.inbcu.com/ViewContent.aspx?filename=NPMR_ABC_2017-07-05_E.MP4$10447$10599","COMMERCIAL")</f>
        <v>COMMERCIAL</v>
      </c>
      <c r="E1315" s="3" t="s">
        <v>128</v>
      </c>
      <c r="F1315" s="3" t="s">
        <v>306</v>
      </c>
      <c r="G1315" s="3" t="s">
        <v>1466</v>
      </c>
    </row>
    <row r="1316" spans="1:7">
      <c r="A1316" s="6">
        <v>42921</v>
      </c>
      <c r="B1316" s="3" t="s">
        <v>13</v>
      </c>
      <c r="C1316" s="3" t="s">
        <v>14</v>
      </c>
      <c r="D1316" s="8" t="str">
        <f>HYPERLINK("http://npthd.inbcu.com/ViewContent.aspx?filename=NPMR_ABC_2017-07-05_E.MP4$10599$10613","To Tell the Truth")</f>
        <v>To Tell the Truth</v>
      </c>
      <c r="E1316" s="3" t="s">
        <v>342</v>
      </c>
      <c r="F1316" s="3" t="s">
        <v>1466</v>
      </c>
      <c r="G1316" s="3" t="s">
        <v>1467</v>
      </c>
    </row>
    <row r="1317" spans="1:7">
      <c r="A1317" s="6">
        <v>42921</v>
      </c>
      <c r="B1317" s="3" t="s">
        <v>13</v>
      </c>
      <c r="C1317" s="3" t="s">
        <v>18</v>
      </c>
      <c r="D1317" s="8" t="str">
        <f>HYPERLINK("http://npthd.inbcu.com/ViewContent.aspx?filename=NPMR_ABC_2017-07-05_E.MP4$10613$10915","TO TELL THE TRUTH: rose, shepherd, kattan, osborne")</f>
        <v>TO TELL THE TRUTH: rose, shepherd, kattan, osborne</v>
      </c>
      <c r="E1317" s="3" t="s">
        <v>1468</v>
      </c>
      <c r="F1317" s="3" t="s">
        <v>1467</v>
      </c>
      <c r="G1317" s="3" t="s">
        <v>698</v>
      </c>
    </row>
    <row r="1318" spans="1:7">
      <c r="A1318" s="6">
        <v>42921</v>
      </c>
      <c r="B1318" s="3" t="s">
        <v>13</v>
      </c>
      <c r="C1318" s="3" t="s">
        <v>32</v>
      </c>
      <c r="D1318" s="8" t="str">
        <f>HYPERLINK("http://npthd.inbcu.com/ViewContent.aspx?filename=NPMR_ABC_2017-07-05_E.MP4$10915$10929","LOCAL")</f>
        <v>LOCAL</v>
      </c>
      <c r="E1318" s="3" t="s">
        <v>342</v>
      </c>
      <c r="F1318" s="3" t="s">
        <v>698</v>
      </c>
      <c r="G1318" s="3" t="s">
        <v>124</v>
      </c>
    </row>
    <row r="1319" spans="1:7">
      <c r="A1319" s="6">
        <v>42922</v>
      </c>
      <c r="B1319" s="3" t="s">
        <v>13</v>
      </c>
      <c r="C1319" s="3" t="s">
        <v>14</v>
      </c>
      <c r="D1319" s="8" t="str">
        <f>HYPERLINK("http://npthd.inbcu.com/ViewContent.aspx?filename=NPMR_ABC_2017-07-06_E.MP4$128$134","ABC Open")</f>
        <v>ABC Open</v>
      </c>
      <c r="E1319" s="3" t="s">
        <v>15</v>
      </c>
      <c r="F1319" s="3" t="s">
        <v>16</v>
      </c>
      <c r="G1319" s="3" t="s">
        <v>17</v>
      </c>
    </row>
    <row r="1320" spans="1:7">
      <c r="A1320" s="6">
        <v>42922</v>
      </c>
      <c r="B1320" s="3" t="s">
        <v>13</v>
      </c>
      <c r="C1320" s="3" t="s">
        <v>18</v>
      </c>
      <c r="D1320" s="8" t="str">
        <f>HYPERLINK("http://npthd.inbcu.com/ViewContent.aspx?filename=NPMR_ABC_2017-07-06_E.MP4$134$692","BOY BAND: sweet sixteen")</f>
        <v>BOY BAND: sweet sixteen</v>
      </c>
      <c r="E1320" s="3" t="s">
        <v>1469</v>
      </c>
      <c r="F1320" s="3" t="s">
        <v>17</v>
      </c>
      <c r="G1320" s="3" t="s">
        <v>1470</v>
      </c>
    </row>
    <row r="1321" spans="1:7">
      <c r="A1321" s="6">
        <v>42922</v>
      </c>
      <c r="B1321" s="3" t="s">
        <v>13</v>
      </c>
      <c r="C1321" s="3" t="s">
        <v>21</v>
      </c>
      <c r="D1321" s="8" t="str">
        <f>HYPERLINK("http://npthd.inbcu.com/ViewContent.aspx?filename=NPMR_ABC_2017-07-06_E.MP4$692$842","COMMERCIAL")</f>
        <v>COMMERCIAL</v>
      </c>
      <c r="E1321" s="3" t="s">
        <v>28</v>
      </c>
      <c r="F1321" s="3" t="s">
        <v>1470</v>
      </c>
      <c r="G1321" s="3" t="s">
        <v>1471</v>
      </c>
    </row>
    <row r="1322" spans="1:7">
      <c r="A1322" s="6">
        <v>42922</v>
      </c>
      <c r="B1322" s="3" t="s">
        <v>13</v>
      </c>
      <c r="C1322" s="3" t="s">
        <v>14</v>
      </c>
      <c r="D1322" s="8" t="str">
        <f>HYPERLINK("http://npthd.inbcu.com/ViewContent.aspx?filename=NPMR_ABC_2017-07-06_E.MP4$842$857","Battle of the Network Stars")</f>
        <v>Battle of the Network Stars</v>
      </c>
      <c r="E1322" s="3" t="s">
        <v>30</v>
      </c>
      <c r="F1322" s="3" t="s">
        <v>1471</v>
      </c>
      <c r="G1322" s="3" t="s">
        <v>1472</v>
      </c>
    </row>
    <row r="1323" spans="1:7">
      <c r="A1323" s="6">
        <v>42922</v>
      </c>
      <c r="B1323" s="3" t="s">
        <v>13</v>
      </c>
      <c r="C1323" s="3" t="s">
        <v>14</v>
      </c>
      <c r="D1323" s="8" t="str">
        <f>HYPERLINK("http://npthd.inbcu.com/ViewContent.aspx?filename=NPMR_ABC_2017-07-06_E.MP4$857$872","Espys")</f>
        <v>Espys</v>
      </c>
      <c r="E1323" s="3" t="s">
        <v>30</v>
      </c>
      <c r="F1323" s="3" t="s">
        <v>1472</v>
      </c>
      <c r="G1323" s="3" t="s">
        <v>1473</v>
      </c>
    </row>
    <row r="1324" spans="1:7">
      <c r="A1324" s="6">
        <v>42922</v>
      </c>
      <c r="B1324" s="3" t="s">
        <v>13</v>
      </c>
      <c r="C1324" s="3" t="s">
        <v>18</v>
      </c>
      <c r="D1324" s="8" t="str">
        <f>HYPERLINK("http://npthd.inbcu.com/ViewContent.aspx?filename=NPMR_ABC_2017-07-06_E.MP4$872$1448","BOY BAND: sweet sixteen")</f>
        <v>BOY BAND: sweet sixteen</v>
      </c>
      <c r="E1324" s="3" t="s">
        <v>1474</v>
      </c>
      <c r="F1324" s="3" t="s">
        <v>1473</v>
      </c>
      <c r="G1324" s="3" t="s">
        <v>1475</v>
      </c>
    </row>
    <row r="1325" spans="1:7">
      <c r="A1325" s="6">
        <v>42922</v>
      </c>
      <c r="B1325" s="3" t="s">
        <v>13</v>
      </c>
      <c r="C1325" s="3" t="s">
        <v>21</v>
      </c>
      <c r="D1325" s="8" t="str">
        <f>HYPERLINK("http://npthd.inbcu.com/ViewContent.aspx?filename=NPMR_ABC_2017-07-06_E.MP4$1448$1568","COMMERCIAL")</f>
        <v>COMMERCIAL</v>
      </c>
      <c r="E1325" s="3" t="s">
        <v>43</v>
      </c>
      <c r="F1325" s="3" t="s">
        <v>1475</v>
      </c>
      <c r="G1325" s="3" t="s">
        <v>1476</v>
      </c>
    </row>
    <row r="1326" spans="1:7">
      <c r="A1326" s="6">
        <v>42922</v>
      </c>
      <c r="B1326" s="3" t="s">
        <v>13</v>
      </c>
      <c r="C1326" s="3" t="s">
        <v>14</v>
      </c>
      <c r="D1326" s="8" t="str">
        <f>HYPERLINK("http://npthd.inbcu.com/ViewContent.aspx?filename=NPMR_ABC_2017-07-06_E.MP4$1568$1598","Bold Type (Freeform)")</f>
        <v>Bold Type (Freeform)</v>
      </c>
      <c r="E1326" s="3" t="s">
        <v>38</v>
      </c>
      <c r="F1326" s="3" t="s">
        <v>1476</v>
      </c>
      <c r="G1326" s="3" t="s">
        <v>1477</v>
      </c>
    </row>
    <row r="1327" spans="1:7">
      <c r="A1327" s="6">
        <v>42922</v>
      </c>
      <c r="B1327" s="3" t="s">
        <v>13</v>
      </c>
      <c r="C1327" s="3" t="s">
        <v>32</v>
      </c>
      <c r="D1327" s="8" t="str">
        <f>HYPERLINK("http://npthd.inbcu.com/ViewContent.aspx?filename=NPMR_ABC_2017-07-06_E.MP4$1598$1658","LOCAL")</f>
        <v>LOCAL</v>
      </c>
      <c r="E1327" s="3" t="s">
        <v>66</v>
      </c>
      <c r="F1327" s="3" t="s">
        <v>1477</v>
      </c>
      <c r="G1327" s="3" t="s">
        <v>1478</v>
      </c>
    </row>
    <row r="1328" spans="1:7">
      <c r="A1328" s="6">
        <v>42922</v>
      </c>
      <c r="B1328" s="3" t="s">
        <v>13</v>
      </c>
      <c r="C1328" s="3" t="s">
        <v>18</v>
      </c>
      <c r="D1328" s="8" t="str">
        <f>HYPERLINK("http://npthd.inbcu.com/ViewContent.aspx?filename=NPMR_ABC_2017-07-06_E.MP4$1658$1947","BOY BAND: sweet sixteen")</f>
        <v>BOY BAND: sweet sixteen</v>
      </c>
      <c r="E1328" s="3" t="s">
        <v>1479</v>
      </c>
      <c r="F1328" s="3" t="s">
        <v>1478</v>
      </c>
      <c r="G1328" s="3" t="s">
        <v>1480</v>
      </c>
    </row>
    <row r="1329" spans="1:7">
      <c r="A1329" s="6">
        <v>42922</v>
      </c>
      <c r="B1329" s="3" t="s">
        <v>13</v>
      </c>
      <c r="C1329" s="3" t="s">
        <v>21</v>
      </c>
      <c r="D1329" s="8" t="str">
        <f>HYPERLINK("http://npthd.inbcu.com/ViewContent.aspx?filename=NPMR_ABC_2017-07-06_E.MP4$1947$2128","COMMERCIAL")</f>
        <v>COMMERCIAL</v>
      </c>
      <c r="E1329" s="3" t="s">
        <v>108</v>
      </c>
      <c r="F1329" s="3" t="s">
        <v>1480</v>
      </c>
      <c r="G1329" s="3" t="s">
        <v>1481</v>
      </c>
    </row>
    <row r="1330" spans="1:7">
      <c r="A1330" s="6">
        <v>42922</v>
      </c>
      <c r="B1330" s="3" t="s">
        <v>13</v>
      </c>
      <c r="C1330" s="3" t="s">
        <v>14</v>
      </c>
      <c r="D1330" s="8" t="str">
        <f>HYPERLINK("http://npthd.inbcu.com/ViewContent.aspx?filename=NPMR_ABC_2017-07-06_E.MP4$2128$2143","Gong Show, The")</f>
        <v>Gong Show, The</v>
      </c>
      <c r="E1330" s="3" t="s">
        <v>30</v>
      </c>
      <c r="F1330" s="3" t="s">
        <v>1481</v>
      </c>
      <c r="G1330" s="3" t="s">
        <v>1482</v>
      </c>
    </row>
    <row r="1331" spans="1:7">
      <c r="A1331" s="6">
        <v>42922</v>
      </c>
      <c r="B1331" s="3" t="s">
        <v>13</v>
      </c>
      <c r="C1331" s="3" t="s">
        <v>14</v>
      </c>
      <c r="D1331" s="8" t="str">
        <f>HYPERLINK("http://npthd.inbcu.com/ViewContent.aspx?filename=NPMR_ABC_2017-07-06_E.MP4$2143$2158","Bachelorette")</f>
        <v>Bachelorette</v>
      </c>
      <c r="E1331" s="3" t="s">
        <v>30</v>
      </c>
      <c r="F1331" s="3" t="s">
        <v>1482</v>
      </c>
      <c r="G1331" s="3" t="s">
        <v>1483</v>
      </c>
    </row>
    <row r="1332" spans="1:7">
      <c r="A1332" s="6">
        <v>42922</v>
      </c>
      <c r="B1332" s="3" t="s">
        <v>13</v>
      </c>
      <c r="C1332" s="3" t="s">
        <v>18</v>
      </c>
      <c r="D1332" s="8" t="str">
        <f>HYPERLINK("http://npthd.inbcu.com/ViewContent.aspx?filename=NPMR_ABC_2017-07-06_E.MP4$2158$2399","BOY BAND: sweet sixteen")</f>
        <v>BOY BAND: sweet sixteen</v>
      </c>
      <c r="E1332" s="3" t="s">
        <v>1484</v>
      </c>
      <c r="F1332" s="3" t="s">
        <v>1483</v>
      </c>
      <c r="G1332" s="3" t="s">
        <v>1485</v>
      </c>
    </row>
    <row r="1333" spans="1:7">
      <c r="A1333" s="6">
        <v>42922</v>
      </c>
      <c r="B1333" s="3" t="s">
        <v>13</v>
      </c>
      <c r="C1333" s="3" t="s">
        <v>21</v>
      </c>
      <c r="D1333" s="8" t="str">
        <f>HYPERLINK("http://npthd.inbcu.com/ViewContent.aspx?filename=NPMR_ABC_2017-07-06_E.MP4$2399$2519","COMMERCIAL")</f>
        <v>COMMERCIAL</v>
      </c>
      <c r="E1333" s="3" t="s">
        <v>43</v>
      </c>
      <c r="F1333" s="3" t="s">
        <v>1485</v>
      </c>
      <c r="G1333" s="3" t="s">
        <v>1269</v>
      </c>
    </row>
    <row r="1334" spans="1:7">
      <c r="A1334" s="6">
        <v>42922</v>
      </c>
      <c r="B1334" s="3" t="s">
        <v>13</v>
      </c>
      <c r="C1334" s="3" t="s">
        <v>14</v>
      </c>
      <c r="D1334" s="8" t="str">
        <f>HYPERLINK("http://npthd.inbcu.com/ViewContent.aspx?filename=NPMR_ABC_2017-07-06_E.MP4$2519$2535","Celebrity Family Feud")</f>
        <v>Celebrity Family Feud</v>
      </c>
      <c r="E1334" s="3" t="s">
        <v>64</v>
      </c>
      <c r="F1334" s="3" t="s">
        <v>1269</v>
      </c>
      <c r="G1334" s="3" t="s">
        <v>1486</v>
      </c>
    </row>
    <row r="1335" spans="1:7">
      <c r="A1335" s="6">
        <v>42922</v>
      </c>
      <c r="B1335" s="3" t="s">
        <v>13</v>
      </c>
      <c r="C1335" s="3" t="s">
        <v>32</v>
      </c>
      <c r="D1335" s="8" t="str">
        <f>HYPERLINK("http://npthd.inbcu.com/ViewContent.aspx?filename=NPMR_ABC_2017-07-06_E.MP4$2535$2625","LOCAL")</f>
        <v>LOCAL</v>
      </c>
      <c r="E1335" s="3" t="s">
        <v>46</v>
      </c>
      <c r="F1335" s="3" t="s">
        <v>1486</v>
      </c>
      <c r="G1335" s="3" t="s">
        <v>1487</v>
      </c>
    </row>
    <row r="1336" spans="1:7">
      <c r="A1336" s="6">
        <v>42922</v>
      </c>
      <c r="B1336" s="3" t="s">
        <v>13</v>
      </c>
      <c r="C1336" s="3" t="s">
        <v>18</v>
      </c>
      <c r="D1336" s="8" t="str">
        <f>HYPERLINK("http://npthd.inbcu.com/ViewContent.aspx?filename=NPMR_ABC_2017-07-06_E.MP4$2625$3138","BOY BAND: sweet sixteen")</f>
        <v>BOY BAND: sweet sixteen</v>
      </c>
      <c r="E1336" s="3" t="s">
        <v>1488</v>
      </c>
      <c r="F1336" s="3" t="s">
        <v>1487</v>
      </c>
      <c r="G1336" s="3" t="s">
        <v>1489</v>
      </c>
    </row>
    <row r="1337" spans="1:7">
      <c r="A1337" s="6">
        <v>42922</v>
      </c>
      <c r="B1337" s="3" t="s">
        <v>13</v>
      </c>
      <c r="C1337" s="3" t="s">
        <v>14</v>
      </c>
      <c r="D1337" s="8" t="str">
        <f>HYPERLINK("http://npthd.inbcu.com/ViewContent.aspx?filename=NPMR_ABC_2017-07-06_E.MP4$3138$3143","Espys")</f>
        <v>Espys</v>
      </c>
      <c r="E1337" s="3" t="s">
        <v>54</v>
      </c>
      <c r="F1337" s="3" t="s">
        <v>1489</v>
      </c>
      <c r="G1337" s="3" t="s">
        <v>1490</v>
      </c>
    </row>
    <row r="1338" spans="1:7">
      <c r="A1338" s="6">
        <v>42922</v>
      </c>
      <c r="B1338" s="3" t="s">
        <v>13</v>
      </c>
      <c r="C1338" s="3" t="s">
        <v>21</v>
      </c>
      <c r="D1338" s="8" t="str">
        <f>HYPERLINK("http://npthd.inbcu.com/ViewContent.aspx?filename=NPMR_ABC_2017-07-06_E.MP4$3143$3353","COMMERCIAL")</f>
        <v>COMMERCIAL</v>
      </c>
      <c r="E1338" s="3" t="s">
        <v>150</v>
      </c>
      <c r="F1338" s="3" t="s">
        <v>1490</v>
      </c>
      <c r="G1338" s="3" t="s">
        <v>1491</v>
      </c>
    </row>
    <row r="1339" spans="1:7">
      <c r="A1339" s="6">
        <v>42922</v>
      </c>
      <c r="B1339" s="3" t="s">
        <v>13</v>
      </c>
      <c r="C1339" s="3" t="s">
        <v>14</v>
      </c>
      <c r="D1339" s="8" t="str">
        <f>HYPERLINK("http://npthd.inbcu.com/ViewContent.aspx?filename=NPMR_ABC_2017-07-06_E.MP4$3353$3383","Battle of the Network Stars")</f>
        <v>Battle of the Network Stars</v>
      </c>
      <c r="E1339" s="3" t="s">
        <v>38</v>
      </c>
      <c r="F1339" s="3" t="s">
        <v>1491</v>
      </c>
      <c r="G1339" s="3" t="s">
        <v>1274</v>
      </c>
    </row>
    <row r="1340" spans="1:7">
      <c r="A1340" s="6">
        <v>42922</v>
      </c>
      <c r="B1340" s="3" t="s">
        <v>13</v>
      </c>
      <c r="C1340" s="3" t="s">
        <v>32</v>
      </c>
      <c r="D1340" s="8" t="str">
        <f>HYPERLINK("http://npthd.inbcu.com/ViewContent.aspx?filename=NPMR_ABC_2017-07-06_E.MP4$3383$3387","LOCAL")</f>
        <v>LOCAL</v>
      </c>
      <c r="E1340" s="3" t="s">
        <v>84</v>
      </c>
      <c r="F1340" s="3" t="s">
        <v>1274</v>
      </c>
      <c r="G1340" s="3" t="s">
        <v>1492</v>
      </c>
    </row>
    <row r="1341" spans="1:7">
      <c r="A1341" s="6">
        <v>42922</v>
      </c>
      <c r="B1341" s="3" t="s">
        <v>13</v>
      </c>
      <c r="C1341" s="3" t="s">
        <v>18</v>
      </c>
      <c r="D1341" s="8" t="str">
        <f>HYPERLINK("http://npthd.inbcu.com/ViewContent.aspx?filename=NPMR_ABC_2017-07-06_E.MP4$3387$3699","BOY BAND: sweet sixteen")</f>
        <v>BOY BAND: sweet sixteen</v>
      </c>
      <c r="E1341" s="3" t="s">
        <v>1493</v>
      </c>
      <c r="F1341" s="3" t="s">
        <v>1492</v>
      </c>
      <c r="G1341" s="3" t="s">
        <v>877</v>
      </c>
    </row>
    <row r="1342" spans="1:7">
      <c r="A1342" s="6">
        <v>42922</v>
      </c>
      <c r="B1342" s="3" t="s">
        <v>13</v>
      </c>
      <c r="C1342" s="3" t="s">
        <v>14</v>
      </c>
      <c r="D1342" s="8" t="str">
        <f>HYPERLINK("http://npthd.inbcu.com/ViewContent.aspx?filename=NPMR_ABC_2017-07-06_E.MP4$3699$3728","Boy Band")</f>
        <v>Boy Band</v>
      </c>
      <c r="E1342" s="3" t="s">
        <v>24</v>
      </c>
      <c r="F1342" s="3" t="s">
        <v>877</v>
      </c>
      <c r="G1342" s="3" t="s">
        <v>242</v>
      </c>
    </row>
    <row r="1343" spans="1:7">
      <c r="A1343" s="6">
        <v>42922</v>
      </c>
      <c r="B1343" s="3" t="s">
        <v>13</v>
      </c>
      <c r="C1343" s="3" t="s">
        <v>18</v>
      </c>
      <c r="D1343" s="8" t="str">
        <f>HYPERLINK("http://npthd.inbcu.com/ViewContent.aspx?filename=NPMR_ABC_2017-07-06_E.MP4$3728$4356","BATTLE OF THE NETWORK STARS: variety vs tv sex symbols")</f>
        <v>BATTLE OF THE NETWORK STARS: variety vs tv sex symbols</v>
      </c>
      <c r="E1343" s="3" t="s">
        <v>1494</v>
      </c>
      <c r="F1343" s="3" t="s">
        <v>242</v>
      </c>
      <c r="G1343" s="3" t="s">
        <v>1495</v>
      </c>
    </row>
    <row r="1344" spans="1:7">
      <c r="A1344" s="6">
        <v>42922</v>
      </c>
      <c r="B1344" s="3" t="s">
        <v>13</v>
      </c>
      <c r="C1344" s="3" t="s">
        <v>21</v>
      </c>
      <c r="D1344" s="8" t="str">
        <f>HYPERLINK("http://npthd.inbcu.com/ViewContent.aspx?filename=NPMR_ABC_2017-07-06_E.MP4$4356$4506","COMMERCIAL")</f>
        <v>COMMERCIAL</v>
      </c>
      <c r="E1344" s="3" t="s">
        <v>28</v>
      </c>
      <c r="F1344" s="3" t="s">
        <v>1495</v>
      </c>
      <c r="G1344" s="3" t="s">
        <v>1496</v>
      </c>
    </row>
    <row r="1345" spans="1:7">
      <c r="A1345" s="6">
        <v>42922</v>
      </c>
      <c r="B1345" s="3" t="s">
        <v>13</v>
      </c>
      <c r="C1345" s="3" t="s">
        <v>14</v>
      </c>
      <c r="D1345" s="8" t="str">
        <f>HYPERLINK("http://npthd.inbcu.com/ViewContent.aspx?filename=NPMR_ABC_2017-07-06_E.MP4$4506$4536","ABC Sunday Fun and Games")</f>
        <v>ABC Sunday Fun and Games</v>
      </c>
      <c r="E1345" s="3" t="s">
        <v>38</v>
      </c>
      <c r="F1345" s="3" t="s">
        <v>1496</v>
      </c>
      <c r="G1345" s="3" t="s">
        <v>1497</v>
      </c>
    </row>
    <row r="1346" spans="1:7">
      <c r="A1346" s="6">
        <v>42922</v>
      </c>
      <c r="B1346" s="3" t="s">
        <v>13</v>
      </c>
      <c r="C1346" s="3" t="s">
        <v>14</v>
      </c>
      <c r="D1346" s="8" t="str">
        <f>HYPERLINK("http://npthd.inbcu.com/ViewContent.aspx?filename=NPMR_ABC_2017-07-06_E.MP4$4536$4551","Espys")</f>
        <v>Espys</v>
      </c>
      <c r="E1346" s="3" t="s">
        <v>30</v>
      </c>
      <c r="F1346" s="3" t="s">
        <v>1497</v>
      </c>
      <c r="G1346" s="3" t="s">
        <v>1498</v>
      </c>
    </row>
    <row r="1347" spans="1:7">
      <c r="A1347" s="6">
        <v>42922</v>
      </c>
      <c r="B1347" s="3" t="s">
        <v>13</v>
      </c>
      <c r="C1347" s="3" t="s">
        <v>18</v>
      </c>
      <c r="D1347" s="8" t="str">
        <f>HYPERLINK("http://npthd.inbcu.com/ViewContent.aspx?filename=NPMR_ABC_2017-07-06_E.MP4$4551$5127","BATTLE OF THE NETWORK STARS: variety vs tv sex symbols")</f>
        <v>BATTLE OF THE NETWORK STARS: variety vs tv sex symbols</v>
      </c>
      <c r="E1347" s="3" t="s">
        <v>1474</v>
      </c>
      <c r="F1347" s="3" t="s">
        <v>1498</v>
      </c>
      <c r="G1347" s="3" t="s">
        <v>1499</v>
      </c>
    </row>
    <row r="1348" spans="1:7">
      <c r="A1348" s="6">
        <v>42922</v>
      </c>
      <c r="B1348" s="3" t="s">
        <v>13</v>
      </c>
      <c r="C1348" s="3" t="s">
        <v>21</v>
      </c>
      <c r="D1348" s="8" t="str">
        <f>HYPERLINK("http://npthd.inbcu.com/ViewContent.aspx?filename=NPMR_ABC_2017-07-06_E.MP4$5127$5277","COMMERCIAL")</f>
        <v>COMMERCIAL</v>
      </c>
      <c r="E1348" s="3" t="s">
        <v>28</v>
      </c>
      <c r="F1348" s="3" t="s">
        <v>1499</v>
      </c>
      <c r="G1348" s="3" t="s">
        <v>1500</v>
      </c>
    </row>
    <row r="1349" spans="1:7">
      <c r="A1349" s="6">
        <v>42922</v>
      </c>
      <c r="B1349" s="3" t="s">
        <v>13</v>
      </c>
      <c r="C1349" s="3" t="s">
        <v>14</v>
      </c>
      <c r="D1349" s="8" t="str">
        <f>HYPERLINK("http://npthd.inbcu.com/ViewContent.aspx?filename=NPMR_ABC_2017-07-06_E.MP4$5277$5292","World News Tonight")</f>
        <v>World News Tonight</v>
      </c>
      <c r="E1349" s="3" t="s">
        <v>30</v>
      </c>
      <c r="F1349" s="3" t="s">
        <v>1500</v>
      </c>
      <c r="G1349" s="3" t="s">
        <v>1501</v>
      </c>
    </row>
    <row r="1350" spans="1:7">
      <c r="A1350" s="6">
        <v>42922</v>
      </c>
      <c r="B1350" s="3" t="s">
        <v>13</v>
      </c>
      <c r="C1350" s="3" t="s">
        <v>32</v>
      </c>
      <c r="D1350" s="8" t="str">
        <f>HYPERLINK("http://npthd.inbcu.com/ViewContent.aspx?filename=NPMR_ABC_2017-07-06_E.MP4$5292$5354","LOCAL")</f>
        <v>LOCAL</v>
      </c>
      <c r="E1350" s="3" t="s">
        <v>257</v>
      </c>
      <c r="F1350" s="3" t="s">
        <v>1501</v>
      </c>
      <c r="G1350" s="3" t="s">
        <v>1502</v>
      </c>
    </row>
    <row r="1351" spans="1:7">
      <c r="A1351" s="6">
        <v>42922</v>
      </c>
      <c r="B1351" s="3" t="s">
        <v>13</v>
      </c>
      <c r="C1351" s="3" t="s">
        <v>18</v>
      </c>
      <c r="D1351" s="8" t="str">
        <f>HYPERLINK("http://npthd.inbcu.com/ViewContent.aspx?filename=NPMR_ABC_2017-07-06_E.MP4$5354$5686","BATTLE OF THE NETWORK STARS: variety vs tv sex symbols")</f>
        <v>BATTLE OF THE NETWORK STARS: variety vs tv sex symbols</v>
      </c>
      <c r="E1351" s="3" t="s">
        <v>201</v>
      </c>
      <c r="F1351" s="3" t="s">
        <v>1502</v>
      </c>
      <c r="G1351" s="3" t="s">
        <v>1503</v>
      </c>
    </row>
    <row r="1352" spans="1:7">
      <c r="A1352" s="6">
        <v>42922</v>
      </c>
      <c r="B1352" s="3" t="s">
        <v>13</v>
      </c>
      <c r="C1352" s="3" t="s">
        <v>21</v>
      </c>
      <c r="D1352" s="8" t="str">
        <f>HYPERLINK("http://npthd.inbcu.com/ViewContent.aspx?filename=NPMR_ABC_2017-07-06_E.MP4$5686$5866","COMMERCIAL")</f>
        <v>COMMERCIAL</v>
      </c>
      <c r="E1352" s="3" t="s">
        <v>22</v>
      </c>
      <c r="F1352" s="3" t="s">
        <v>1503</v>
      </c>
      <c r="G1352" s="3" t="s">
        <v>1504</v>
      </c>
    </row>
    <row r="1353" spans="1:7">
      <c r="A1353" s="6">
        <v>42922</v>
      </c>
      <c r="B1353" s="3" t="s">
        <v>13</v>
      </c>
      <c r="C1353" s="3" t="s">
        <v>14</v>
      </c>
      <c r="D1353" s="8" t="str">
        <f>HYPERLINK("http://npthd.inbcu.com/ViewContent.aspx?filename=NPMR_ABC_2017-07-06_E.MP4$5866$5881","Gong Show, The")</f>
        <v>Gong Show, The</v>
      </c>
      <c r="E1353" s="3" t="s">
        <v>30</v>
      </c>
      <c r="F1353" s="3" t="s">
        <v>1504</v>
      </c>
      <c r="G1353" s="3" t="s">
        <v>1505</v>
      </c>
    </row>
    <row r="1354" spans="1:7">
      <c r="A1354" s="6">
        <v>42922</v>
      </c>
      <c r="B1354" s="3" t="s">
        <v>13</v>
      </c>
      <c r="C1354" s="3" t="s">
        <v>14</v>
      </c>
      <c r="D1354" s="8" t="str">
        <f>HYPERLINK("http://npthd.inbcu.com/ViewContent.aspx?filename=NPMR_ABC_2017-07-06_E.MP4$5881$5911","Boy Band")</f>
        <v>Boy Band</v>
      </c>
      <c r="E1354" s="3" t="s">
        <v>38</v>
      </c>
      <c r="F1354" s="3" t="s">
        <v>1505</v>
      </c>
      <c r="G1354" s="3" t="s">
        <v>815</v>
      </c>
    </row>
    <row r="1355" spans="1:7">
      <c r="A1355" s="6">
        <v>42922</v>
      </c>
      <c r="B1355" s="3" t="s">
        <v>13</v>
      </c>
      <c r="C1355" s="3" t="s">
        <v>18</v>
      </c>
      <c r="D1355" s="8" t="str">
        <f>HYPERLINK("http://npthd.inbcu.com/ViewContent.aspx?filename=NPMR_ABC_2017-07-06_E.MP4$5911$6253","BATTLE OF THE NETWORK STARS: variety vs tv sex symbols")</f>
        <v>BATTLE OF THE NETWORK STARS: variety vs tv sex symbols</v>
      </c>
      <c r="E1355" s="3" t="s">
        <v>273</v>
      </c>
      <c r="F1355" s="3" t="s">
        <v>815</v>
      </c>
      <c r="G1355" s="3" t="s">
        <v>1506</v>
      </c>
    </row>
    <row r="1356" spans="1:7">
      <c r="A1356" s="6">
        <v>42922</v>
      </c>
      <c r="B1356" s="3" t="s">
        <v>13</v>
      </c>
      <c r="C1356" s="3" t="s">
        <v>21</v>
      </c>
      <c r="D1356" s="8" t="str">
        <f>HYPERLINK("http://npthd.inbcu.com/ViewContent.aspx?filename=NPMR_ABC_2017-07-06_E.MP4$6253$6343","COMMERCIAL")</f>
        <v>COMMERCIAL</v>
      </c>
      <c r="E1356" s="3" t="s">
        <v>46</v>
      </c>
      <c r="F1356" s="3" t="s">
        <v>1506</v>
      </c>
      <c r="G1356" s="3" t="s">
        <v>1507</v>
      </c>
    </row>
    <row r="1357" spans="1:7">
      <c r="A1357" s="6">
        <v>42922</v>
      </c>
      <c r="B1357" s="3" t="s">
        <v>13</v>
      </c>
      <c r="C1357" s="3" t="s">
        <v>14</v>
      </c>
      <c r="D1357" s="8" t="str">
        <f>HYPERLINK("http://npthd.inbcu.com/ViewContent.aspx?filename=NPMR_ABC_2017-07-06_E.MP4$6343$6373","Espys")</f>
        <v>Espys</v>
      </c>
      <c r="E1357" s="3" t="s">
        <v>38</v>
      </c>
      <c r="F1357" s="3" t="s">
        <v>1507</v>
      </c>
      <c r="G1357" s="3" t="s">
        <v>1508</v>
      </c>
    </row>
    <row r="1358" spans="1:7">
      <c r="A1358" s="6">
        <v>42922</v>
      </c>
      <c r="B1358" s="3" t="s">
        <v>13</v>
      </c>
      <c r="C1358" s="3" t="s">
        <v>32</v>
      </c>
      <c r="D1358" s="8" t="str">
        <f>HYPERLINK("http://npthd.inbcu.com/ViewContent.aspx?filename=NPMR_ABC_2017-07-06_E.MP4$6373$6464","LOCAL")</f>
        <v>LOCAL</v>
      </c>
      <c r="E1358" s="3" t="s">
        <v>77</v>
      </c>
      <c r="F1358" s="3" t="s">
        <v>1508</v>
      </c>
      <c r="G1358" s="3" t="s">
        <v>1509</v>
      </c>
    </row>
    <row r="1359" spans="1:7">
      <c r="A1359" s="6">
        <v>42922</v>
      </c>
      <c r="B1359" s="3" t="s">
        <v>13</v>
      </c>
      <c r="C1359" s="3" t="s">
        <v>18</v>
      </c>
      <c r="D1359" s="8" t="str">
        <f>HYPERLINK("http://npthd.inbcu.com/ViewContent.aspx?filename=NPMR_ABC_2017-07-06_E.MP4$6464$6778","BATTLE OF THE NETWORK STARS: variety vs tv sex symbols")</f>
        <v>BATTLE OF THE NETWORK STARS: variety vs tv sex symbols</v>
      </c>
      <c r="E1359" s="3" t="s">
        <v>1510</v>
      </c>
      <c r="F1359" s="3" t="s">
        <v>1509</v>
      </c>
      <c r="G1359" s="3" t="s">
        <v>1359</v>
      </c>
    </row>
    <row r="1360" spans="1:7">
      <c r="A1360" s="6">
        <v>42922</v>
      </c>
      <c r="B1360" s="3" t="s">
        <v>13</v>
      </c>
      <c r="C1360" s="3" t="s">
        <v>14</v>
      </c>
      <c r="D1360" s="8" t="str">
        <f>HYPERLINK("http://npthd.inbcu.com/ViewContent.aspx?filename=NPMR_ABC_2017-07-06_E.MP4$6778$6784","Gong Show, The")</f>
        <v>Gong Show, The</v>
      </c>
      <c r="E1360" s="3" t="s">
        <v>15</v>
      </c>
      <c r="F1360" s="3" t="s">
        <v>1359</v>
      </c>
      <c r="G1360" s="3" t="s">
        <v>743</v>
      </c>
    </row>
    <row r="1361" spans="1:7">
      <c r="A1361" s="6">
        <v>42922</v>
      </c>
      <c r="B1361" s="3" t="s">
        <v>13</v>
      </c>
      <c r="C1361" s="3" t="s">
        <v>21</v>
      </c>
      <c r="D1361" s="8" t="str">
        <f>HYPERLINK("http://npthd.inbcu.com/ViewContent.aspx?filename=NPMR_ABC_2017-07-06_E.MP4$6784$6964","COMMERCIAL")</f>
        <v>COMMERCIAL</v>
      </c>
      <c r="E1361" s="3" t="s">
        <v>22</v>
      </c>
      <c r="F1361" s="3" t="s">
        <v>743</v>
      </c>
      <c r="G1361" s="3" t="s">
        <v>1511</v>
      </c>
    </row>
    <row r="1362" spans="1:7">
      <c r="A1362" s="6">
        <v>42922</v>
      </c>
      <c r="B1362" s="3" t="s">
        <v>13</v>
      </c>
      <c r="C1362" s="3" t="s">
        <v>14</v>
      </c>
      <c r="D1362" s="8" t="str">
        <f>HYPERLINK("http://npthd.inbcu.com/ViewContent.aspx?filename=NPMR_ABC_2017-07-06_E.MP4$6964$6994","Gong Show, The")</f>
        <v>Gong Show, The</v>
      </c>
      <c r="E1362" s="3" t="s">
        <v>38</v>
      </c>
      <c r="F1362" s="3" t="s">
        <v>1511</v>
      </c>
      <c r="G1362" s="3" t="s">
        <v>1512</v>
      </c>
    </row>
    <row r="1363" spans="1:7">
      <c r="A1363" s="6">
        <v>42922</v>
      </c>
      <c r="B1363" s="3" t="s">
        <v>13</v>
      </c>
      <c r="C1363" s="3" t="s">
        <v>14</v>
      </c>
      <c r="D1363" s="8" t="str">
        <f>HYPERLINK("http://npthd.inbcu.com/ViewContent.aspx?filename=NPMR_ABC_2017-07-06_E.MP4$6994$7009","Bachelorette")</f>
        <v>Bachelorette</v>
      </c>
      <c r="E1363" s="3" t="s">
        <v>30</v>
      </c>
      <c r="F1363" s="3" t="s">
        <v>1512</v>
      </c>
      <c r="G1363" s="3" t="s">
        <v>1513</v>
      </c>
    </row>
    <row r="1364" spans="1:7">
      <c r="A1364" s="6">
        <v>42922</v>
      </c>
      <c r="B1364" s="3" t="s">
        <v>13</v>
      </c>
      <c r="C1364" s="3" t="s">
        <v>32</v>
      </c>
      <c r="D1364" s="8" t="str">
        <f>HYPERLINK("http://npthd.inbcu.com/ViewContent.aspx?filename=NPMR_ABC_2017-07-06_E.MP4$7009$7013","LOCAL")</f>
        <v>LOCAL</v>
      </c>
      <c r="E1364" s="3" t="s">
        <v>84</v>
      </c>
      <c r="F1364" s="3" t="s">
        <v>1513</v>
      </c>
      <c r="G1364" s="3" t="s">
        <v>1514</v>
      </c>
    </row>
    <row r="1365" spans="1:7">
      <c r="A1365" s="6">
        <v>42922</v>
      </c>
      <c r="B1365" s="3" t="s">
        <v>13</v>
      </c>
      <c r="C1365" s="3" t="s">
        <v>18</v>
      </c>
      <c r="D1365" s="8" t="str">
        <f>HYPERLINK("http://npthd.inbcu.com/ViewContent.aspx?filename=NPMR_ABC_2017-07-06_E.MP4$7013$7298","BATTLE OF THE NETWORK STARS: variety vs tv sex symbols")</f>
        <v>BATTLE OF THE NETWORK STARS: variety vs tv sex symbols</v>
      </c>
      <c r="E1365" s="3" t="s">
        <v>1104</v>
      </c>
      <c r="F1365" s="3" t="s">
        <v>1514</v>
      </c>
      <c r="G1365" s="3" t="s">
        <v>1515</v>
      </c>
    </row>
    <row r="1366" spans="1:7">
      <c r="A1366" s="6">
        <v>42922</v>
      </c>
      <c r="B1366" s="3" t="s">
        <v>13</v>
      </c>
      <c r="C1366" s="3" t="s">
        <v>14</v>
      </c>
      <c r="D1366" s="8" t="str">
        <f>HYPERLINK("http://npthd.inbcu.com/ViewContent.aspx?filename=NPMR_ABC_2017-07-06_E.MP4$7298$7328","Battle of the Network Stars")</f>
        <v>Battle of the Network Stars</v>
      </c>
      <c r="E1366" s="3" t="s">
        <v>38</v>
      </c>
      <c r="F1366" s="3" t="s">
        <v>1515</v>
      </c>
      <c r="G1366" s="3" t="s">
        <v>394</v>
      </c>
    </row>
    <row r="1367" spans="1:7">
      <c r="A1367" s="6">
        <v>42922</v>
      </c>
      <c r="B1367" s="3" t="s">
        <v>13</v>
      </c>
      <c r="C1367" s="3" t="s">
        <v>14</v>
      </c>
      <c r="D1367" s="8" t="str">
        <f>HYPERLINK("http://npthd.inbcu.com/ViewContent.aspx?filename=NPMR_ABC_2017-07-06_E.MP4$7328$7333","Gong Show, The")</f>
        <v>Gong Show, The</v>
      </c>
      <c r="E1367" s="3" t="s">
        <v>54</v>
      </c>
      <c r="F1367" s="3" t="s">
        <v>394</v>
      </c>
      <c r="G1367" s="3" t="s">
        <v>395</v>
      </c>
    </row>
    <row r="1368" spans="1:7">
      <c r="A1368" s="6">
        <v>42922</v>
      </c>
      <c r="B1368" s="3" t="s">
        <v>13</v>
      </c>
      <c r="C1368" s="3" t="s">
        <v>18</v>
      </c>
      <c r="D1368" s="8" t="str">
        <f>HYPERLINK("http://npthd.inbcu.com/ViewContent.aspx?filename=NPMR_ABC_2017-07-06_E.MP4$7333$7984","THE GONG SHOW: carvey, ross, anderson")</f>
        <v>THE GONG SHOW: carvey, ross, anderson</v>
      </c>
      <c r="E1368" s="3" t="s">
        <v>19</v>
      </c>
      <c r="F1368" s="3" t="s">
        <v>395</v>
      </c>
      <c r="G1368" s="3" t="s">
        <v>1516</v>
      </c>
    </row>
    <row r="1369" spans="1:7">
      <c r="A1369" s="6">
        <v>42922</v>
      </c>
      <c r="B1369" s="3" t="s">
        <v>13</v>
      </c>
      <c r="C1369" s="3" t="s">
        <v>21</v>
      </c>
      <c r="D1369" s="8" t="str">
        <f>HYPERLINK("http://npthd.inbcu.com/ViewContent.aspx?filename=NPMR_ABC_2017-07-06_E.MP4$7984$8164","COMMERCIAL")</f>
        <v>COMMERCIAL</v>
      </c>
      <c r="E1369" s="3" t="s">
        <v>22</v>
      </c>
      <c r="F1369" s="3" t="s">
        <v>1516</v>
      </c>
      <c r="G1369" s="3" t="s">
        <v>829</v>
      </c>
    </row>
    <row r="1370" spans="1:7">
      <c r="A1370" s="6">
        <v>42922</v>
      </c>
      <c r="B1370" s="3" t="s">
        <v>13</v>
      </c>
      <c r="C1370" s="3" t="s">
        <v>14</v>
      </c>
      <c r="D1370" s="8" t="str">
        <f>HYPERLINK("http://npthd.inbcu.com/ViewContent.aspx?filename=NPMR_ABC_2017-07-06_E.MP4$8164$8195","ABC Sunday Fun and Games")</f>
        <v>ABC Sunday Fun and Games</v>
      </c>
      <c r="E1370" s="3" t="s">
        <v>98</v>
      </c>
      <c r="F1370" s="3" t="s">
        <v>829</v>
      </c>
      <c r="G1370" s="3" t="s">
        <v>1517</v>
      </c>
    </row>
    <row r="1371" spans="1:7">
      <c r="A1371" s="6">
        <v>42922</v>
      </c>
      <c r="B1371" s="3" t="s">
        <v>13</v>
      </c>
      <c r="C1371" s="3" t="s">
        <v>18</v>
      </c>
      <c r="D1371" s="8" t="str">
        <f>HYPERLINK("http://npthd.inbcu.com/ViewContent.aspx?filename=NPMR_ABC_2017-07-06_E.MP4$8195$8620","THE GONG SHOW: carvey, ross, anderson")</f>
        <v>THE GONG SHOW: carvey, ross, anderson</v>
      </c>
      <c r="E1371" s="3" t="s">
        <v>621</v>
      </c>
      <c r="F1371" s="3" t="s">
        <v>1517</v>
      </c>
      <c r="G1371" s="3" t="s">
        <v>1518</v>
      </c>
    </row>
    <row r="1372" spans="1:7">
      <c r="A1372" s="6">
        <v>42922</v>
      </c>
      <c r="B1372" s="3" t="s">
        <v>13</v>
      </c>
      <c r="C1372" s="3" t="s">
        <v>14</v>
      </c>
      <c r="D1372" s="8" t="str">
        <f>HYPERLINK("http://npthd.inbcu.com/ViewContent.aspx?filename=NPMR_ABC_2017-07-06_E.MP4$8620$8625","Espys")</f>
        <v>Espys</v>
      </c>
      <c r="E1372" s="3" t="s">
        <v>54</v>
      </c>
      <c r="F1372" s="3" t="s">
        <v>1518</v>
      </c>
      <c r="G1372" s="3" t="s">
        <v>1519</v>
      </c>
    </row>
    <row r="1373" spans="1:7">
      <c r="A1373" s="6">
        <v>42922</v>
      </c>
      <c r="B1373" s="3" t="s">
        <v>13</v>
      </c>
      <c r="C1373" s="3" t="s">
        <v>21</v>
      </c>
      <c r="D1373" s="8" t="str">
        <f>HYPERLINK("http://npthd.inbcu.com/ViewContent.aspx?filename=NPMR_ABC_2017-07-06_E.MP4$8625$8835","COMMERCIAL")</f>
        <v>COMMERCIAL</v>
      </c>
      <c r="E1373" s="3" t="s">
        <v>150</v>
      </c>
      <c r="F1373" s="3" t="s">
        <v>1519</v>
      </c>
      <c r="G1373" s="3" t="s">
        <v>1520</v>
      </c>
    </row>
    <row r="1374" spans="1:7">
      <c r="A1374" s="6">
        <v>42922</v>
      </c>
      <c r="B1374" s="3" t="s">
        <v>13</v>
      </c>
      <c r="C1374" s="3" t="s">
        <v>14</v>
      </c>
      <c r="D1374" s="8" t="str">
        <f>HYPERLINK("http://npthd.inbcu.com/ViewContent.aspx?filename=NPMR_ABC_2017-07-06_E.MP4$8835$8865","Battle of the Network Stars")</f>
        <v>Battle of the Network Stars</v>
      </c>
      <c r="E1374" s="3" t="s">
        <v>38</v>
      </c>
      <c r="F1374" s="3" t="s">
        <v>1520</v>
      </c>
      <c r="G1374" s="3" t="s">
        <v>1521</v>
      </c>
    </row>
    <row r="1375" spans="1:7">
      <c r="A1375" s="6">
        <v>42922</v>
      </c>
      <c r="B1375" s="3" t="s">
        <v>13</v>
      </c>
      <c r="C1375" s="3" t="s">
        <v>18</v>
      </c>
      <c r="D1375" s="8" t="str">
        <f>HYPERLINK("http://npthd.inbcu.com/ViewContent.aspx?filename=NPMR_ABC_2017-07-06_E.MP4$8865$9164","THE GONG SHOW: carvey, ross, anderson")</f>
        <v>THE GONG SHOW: carvey, ross, anderson</v>
      </c>
      <c r="E1375" s="3" t="s">
        <v>1522</v>
      </c>
      <c r="F1375" s="3" t="s">
        <v>1521</v>
      </c>
      <c r="G1375" s="3" t="s">
        <v>1523</v>
      </c>
    </row>
    <row r="1376" spans="1:7">
      <c r="A1376" s="6">
        <v>42922</v>
      </c>
      <c r="B1376" s="3" t="s">
        <v>13</v>
      </c>
      <c r="C1376" s="3" t="s">
        <v>21</v>
      </c>
      <c r="D1376" s="8" t="str">
        <f>HYPERLINK("http://npthd.inbcu.com/ViewContent.aspx?filename=NPMR_ABC_2017-07-06_E.MP4$9164$9254","COMMERCIAL")</f>
        <v>COMMERCIAL</v>
      </c>
      <c r="E1376" s="3" t="s">
        <v>46</v>
      </c>
      <c r="F1376" s="3" t="s">
        <v>1523</v>
      </c>
      <c r="G1376" s="3" t="s">
        <v>1524</v>
      </c>
    </row>
    <row r="1377" spans="1:7">
      <c r="A1377" s="6">
        <v>42922</v>
      </c>
      <c r="B1377" s="3" t="s">
        <v>13</v>
      </c>
      <c r="C1377" s="3" t="s">
        <v>14</v>
      </c>
      <c r="D1377" s="8" t="str">
        <f>HYPERLINK("http://npthd.inbcu.com/ViewContent.aspx?filename=NPMR_ABC_2017-07-06_E.MP4$9254$9269","Black-ish")</f>
        <v>Black-ish</v>
      </c>
      <c r="E1377" s="3" t="s">
        <v>30</v>
      </c>
      <c r="F1377" s="3" t="s">
        <v>1524</v>
      </c>
      <c r="G1377" s="3" t="s">
        <v>1525</v>
      </c>
    </row>
    <row r="1378" spans="1:7">
      <c r="A1378" s="6">
        <v>42922</v>
      </c>
      <c r="B1378" s="3" t="s">
        <v>13</v>
      </c>
      <c r="C1378" s="3" t="s">
        <v>32</v>
      </c>
      <c r="D1378" s="8" t="str">
        <f>HYPERLINK("http://npthd.inbcu.com/ViewContent.aspx?filename=NPMR_ABC_2017-07-06_E.MP4$9269$9376","LOCAL")</f>
        <v>LOCAL</v>
      </c>
      <c r="E1378" s="3" t="s">
        <v>104</v>
      </c>
      <c r="F1378" s="3" t="s">
        <v>1525</v>
      </c>
      <c r="G1378" s="3" t="s">
        <v>687</v>
      </c>
    </row>
    <row r="1379" spans="1:7">
      <c r="A1379" s="6">
        <v>42922</v>
      </c>
      <c r="B1379" s="3" t="s">
        <v>13</v>
      </c>
      <c r="C1379" s="3" t="s">
        <v>18</v>
      </c>
      <c r="D1379" s="8" t="str">
        <f>HYPERLINK("http://npthd.inbcu.com/ViewContent.aspx?filename=NPMR_ABC_2017-07-06_E.MP4$9376$9838","THE GONG SHOW: carvey, ross, anderson")</f>
        <v>THE GONG SHOW: carvey, ross, anderson</v>
      </c>
      <c r="E1379" s="3" t="s">
        <v>1526</v>
      </c>
      <c r="F1379" s="3" t="s">
        <v>687</v>
      </c>
      <c r="G1379" s="3" t="s">
        <v>1527</v>
      </c>
    </row>
    <row r="1380" spans="1:7">
      <c r="A1380" s="6">
        <v>42922</v>
      </c>
      <c r="B1380" s="3" t="s">
        <v>13</v>
      </c>
      <c r="C1380" s="3" t="s">
        <v>21</v>
      </c>
      <c r="D1380" s="8" t="str">
        <f>HYPERLINK("http://npthd.inbcu.com/ViewContent.aspx?filename=NPMR_ABC_2017-07-06_E.MP4$9838$9958","COMMERCIAL")</f>
        <v>COMMERCIAL</v>
      </c>
      <c r="E1380" s="3" t="s">
        <v>43</v>
      </c>
      <c r="F1380" s="3" t="s">
        <v>1527</v>
      </c>
      <c r="G1380" s="3" t="s">
        <v>768</v>
      </c>
    </row>
    <row r="1381" spans="1:7">
      <c r="A1381" s="6">
        <v>42922</v>
      </c>
      <c r="B1381" s="3" t="s">
        <v>13</v>
      </c>
      <c r="C1381" s="3" t="s">
        <v>14</v>
      </c>
      <c r="D1381" s="8" t="str">
        <f>HYPERLINK("http://npthd.inbcu.com/ViewContent.aspx?filename=NPMR_ABC_2017-07-06_E.MP4$9958$9973","20/20")</f>
        <v>20/20</v>
      </c>
      <c r="E1381" s="3" t="s">
        <v>30</v>
      </c>
      <c r="F1381" s="3" t="s">
        <v>768</v>
      </c>
      <c r="G1381" s="3" t="s">
        <v>1528</v>
      </c>
    </row>
    <row r="1382" spans="1:7">
      <c r="A1382" s="6">
        <v>42922</v>
      </c>
      <c r="B1382" s="3" t="s">
        <v>13</v>
      </c>
      <c r="C1382" s="3" t="s">
        <v>14</v>
      </c>
      <c r="D1382" s="8" t="str">
        <f>HYPERLINK("http://npthd.inbcu.com/ViewContent.aspx?filename=NPMR_ABC_2017-07-06_E.MP4$9973$9988","To Tell the Truth")</f>
        <v>To Tell the Truth</v>
      </c>
      <c r="E1382" s="3" t="s">
        <v>30</v>
      </c>
      <c r="F1382" s="3" t="s">
        <v>1528</v>
      </c>
      <c r="G1382" s="3" t="s">
        <v>1529</v>
      </c>
    </row>
    <row r="1383" spans="1:7">
      <c r="A1383" s="6">
        <v>42922</v>
      </c>
      <c r="B1383" s="3" t="s">
        <v>13</v>
      </c>
      <c r="C1383" s="3" t="s">
        <v>32</v>
      </c>
      <c r="D1383" s="8" t="str">
        <f>HYPERLINK("http://npthd.inbcu.com/ViewContent.aspx?filename=NPMR_ABC_2017-07-06_E.MP4$9988$10079","LOCAL")</f>
        <v>LOCAL</v>
      </c>
      <c r="E1383" s="3" t="s">
        <v>77</v>
      </c>
      <c r="F1383" s="3" t="s">
        <v>1529</v>
      </c>
      <c r="G1383" s="3" t="s">
        <v>1530</v>
      </c>
    </row>
    <row r="1384" spans="1:7">
      <c r="A1384" s="6">
        <v>42922</v>
      </c>
      <c r="B1384" s="3" t="s">
        <v>13</v>
      </c>
      <c r="C1384" s="3" t="s">
        <v>18</v>
      </c>
      <c r="D1384" s="8" t="str">
        <f>HYPERLINK("http://npthd.inbcu.com/ViewContent.aspx?filename=NPMR_ABC_2017-07-06_E.MP4$10079$10484","THE GONG SHOW: carvey, ross, anderson")</f>
        <v>THE GONG SHOW: carvey, ross, anderson</v>
      </c>
      <c r="E1384" s="3" t="s">
        <v>1531</v>
      </c>
      <c r="F1384" s="3" t="s">
        <v>1530</v>
      </c>
      <c r="G1384" s="3" t="s">
        <v>1310</v>
      </c>
    </row>
    <row r="1385" spans="1:7">
      <c r="A1385" s="6">
        <v>42922</v>
      </c>
      <c r="B1385" s="3" t="s">
        <v>13</v>
      </c>
      <c r="C1385" s="3" t="s">
        <v>32</v>
      </c>
      <c r="D1385" s="8" t="str">
        <f>HYPERLINK("http://npthd.inbcu.com/ViewContent.aspx?filename=NPMR_ABC_2017-07-06_E.MP4$10484$10500","LOCAL")</f>
        <v>LOCAL</v>
      </c>
      <c r="E1385" s="3" t="s">
        <v>64</v>
      </c>
      <c r="F1385" s="3" t="s">
        <v>1310</v>
      </c>
      <c r="G1385" s="3" t="s">
        <v>1532</v>
      </c>
    </row>
    <row r="1386" spans="1:7">
      <c r="A1386" s="6">
        <v>42922</v>
      </c>
      <c r="B1386" s="3" t="s">
        <v>13</v>
      </c>
      <c r="C1386" s="3" t="s">
        <v>21</v>
      </c>
      <c r="D1386" s="8" t="str">
        <f>HYPERLINK("http://npthd.inbcu.com/ViewContent.aspx?filename=NPMR_ABC_2017-07-06_E.MP4$10500$10650","COMMERCIAL")</f>
        <v>COMMERCIAL</v>
      </c>
      <c r="E1386" s="3" t="s">
        <v>28</v>
      </c>
      <c r="F1386" s="3" t="s">
        <v>1532</v>
      </c>
      <c r="G1386" s="3" t="s">
        <v>1533</v>
      </c>
    </row>
    <row r="1387" spans="1:7">
      <c r="A1387" s="6">
        <v>42922</v>
      </c>
      <c r="B1387" s="3" t="s">
        <v>13</v>
      </c>
      <c r="C1387" s="3" t="s">
        <v>14</v>
      </c>
      <c r="D1387" s="8" t="str">
        <f>HYPERLINK("http://npthd.inbcu.com/ViewContent.aspx?filename=NPMR_ABC_2017-07-06_E.MP4$10650$10665","Espys")</f>
        <v>Espys</v>
      </c>
      <c r="E1387" s="3" t="s">
        <v>30</v>
      </c>
      <c r="F1387" s="3" t="s">
        <v>1533</v>
      </c>
      <c r="G1387" s="3" t="s">
        <v>1534</v>
      </c>
    </row>
    <row r="1388" spans="1:7">
      <c r="A1388" s="6">
        <v>42922</v>
      </c>
      <c r="B1388" s="3" t="s">
        <v>13</v>
      </c>
      <c r="C1388" s="3" t="s">
        <v>18</v>
      </c>
      <c r="D1388" s="8" t="str">
        <f>HYPERLINK("http://npthd.inbcu.com/ViewContent.aspx?filename=NPMR_ABC_2017-07-06_E.MP4$10665$10884","THE GONG SHOW: carvey, ross, anderson")</f>
        <v>THE GONG SHOW: carvey, ross, anderson</v>
      </c>
      <c r="E1388" s="3" t="s">
        <v>1535</v>
      </c>
      <c r="F1388" s="3" t="s">
        <v>1534</v>
      </c>
      <c r="G1388" s="3" t="s">
        <v>938</v>
      </c>
    </row>
    <row r="1389" spans="1:7">
      <c r="A1389" s="6">
        <v>42922</v>
      </c>
      <c r="B1389" s="3" t="s">
        <v>13</v>
      </c>
      <c r="C1389" s="3" t="s">
        <v>14</v>
      </c>
      <c r="D1389" s="8" t="str">
        <f>HYPERLINK("http://npthd.inbcu.com/ViewContent.aspx?filename=NPMR_ABC_2017-07-06_E.MP4$10884$10914","Gong Show, The")</f>
        <v>Gong Show, The</v>
      </c>
      <c r="E1389" s="3" t="s">
        <v>38</v>
      </c>
      <c r="F1389" s="3" t="s">
        <v>938</v>
      </c>
      <c r="G1389" s="3" t="s">
        <v>698</v>
      </c>
    </row>
    <row r="1390" spans="1:7">
      <c r="A1390" s="6">
        <v>42922</v>
      </c>
      <c r="B1390" s="3" t="s">
        <v>13</v>
      </c>
      <c r="C1390" s="3" t="s">
        <v>32</v>
      </c>
      <c r="D1390" s="8" t="str">
        <f>HYPERLINK("http://npthd.inbcu.com/ViewContent.aspx?filename=NPMR_ABC_2017-07-06_E.MP4$10914$10928","LOCAL")</f>
        <v>LOCAL</v>
      </c>
      <c r="E1390" s="3" t="s">
        <v>342</v>
      </c>
      <c r="F1390" s="3" t="s">
        <v>698</v>
      </c>
      <c r="G1390" s="3" t="s">
        <v>124</v>
      </c>
    </row>
    <row r="1391" spans="1:7">
      <c r="A1391" s="6">
        <v>42923</v>
      </c>
      <c r="B1391" s="3" t="s">
        <v>13</v>
      </c>
      <c r="C1391" s="3" t="s">
        <v>14</v>
      </c>
      <c r="D1391" s="8" t="str">
        <f>HYPERLINK("http://npthd.inbcu.com/ViewContent.aspx?filename=NPMR_ABC_2017-07-07_E.MP4$127$132","ABC Open")</f>
        <v>ABC Open</v>
      </c>
      <c r="E1391" s="3" t="s">
        <v>54</v>
      </c>
      <c r="F1391" s="3" t="s">
        <v>16</v>
      </c>
      <c r="G1391" s="3" t="s">
        <v>125</v>
      </c>
    </row>
    <row r="1392" spans="1:7">
      <c r="A1392" s="6">
        <v>42923</v>
      </c>
      <c r="B1392" s="3" t="s">
        <v>13</v>
      </c>
      <c r="C1392" s="3" t="s">
        <v>18</v>
      </c>
      <c r="D1392" s="8" t="str">
        <f>HYPERLINK("http://npthd.inbcu.com/ViewContent.aspx?filename=NPMR_ABC_2017-07-07_E.MP4$132$601","SHARK TANK: 817")</f>
        <v>SHARK TANK: 817</v>
      </c>
      <c r="E1392" s="3" t="s">
        <v>1536</v>
      </c>
      <c r="F1392" s="3" t="s">
        <v>125</v>
      </c>
      <c r="G1392" s="3" t="s">
        <v>1537</v>
      </c>
    </row>
    <row r="1393" spans="1:7">
      <c r="A1393" s="6">
        <v>42923</v>
      </c>
      <c r="B1393" s="3" t="s">
        <v>13</v>
      </c>
      <c r="C1393" s="3" t="s">
        <v>21</v>
      </c>
      <c r="D1393" s="8" t="str">
        <f>HYPERLINK("http://npthd.inbcu.com/ViewContent.aspx?filename=NPMR_ABC_2017-07-07_E.MP4$601$721","COMMERCIAL")</f>
        <v>COMMERCIAL</v>
      </c>
      <c r="E1393" s="3" t="s">
        <v>43</v>
      </c>
      <c r="F1393" s="3" t="s">
        <v>1537</v>
      </c>
      <c r="G1393" s="3" t="s">
        <v>1538</v>
      </c>
    </row>
    <row r="1394" spans="1:7">
      <c r="A1394" s="6">
        <v>42923</v>
      </c>
      <c r="B1394" s="3" t="s">
        <v>13</v>
      </c>
      <c r="C1394" s="3" t="s">
        <v>14</v>
      </c>
      <c r="D1394" s="8" t="str">
        <f>HYPERLINK("http://npthd.inbcu.com/ViewContent.aspx?filename=NPMR_ABC_2017-07-07_E.MP4$721$751","Celebrity Family Feud")</f>
        <v>Celebrity Family Feud</v>
      </c>
      <c r="E1394" s="3" t="s">
        <v>38</v>
      </c>
      <c r="F1394" s="3" t="s">
        <v>1538</v>
      </c>
      <c r="G1394" s="3" t="s">
        <v>1539</v>
      </c>
    </row>
    <row r="1395" spans="1:7">
      <c r="A1395" s="6">
        <v>42923</v>
      </c>
      <c r="B1395" s="3" t="s">
        <v>13</v>
      </c>
      <c r="C1395" s="3" t="s">
        <v>14</v>
      </c>
      <c r="D1395" s="8" t="str">
        <f>HYPERLINK("http://npthd.inbcu.com/ViewContent.aspx?filename=NPMR_ABC_2017-07-07_E.MP4$751$781","Espys")</f>
        <v>Espys</v>
      </c>
      <c r="E1395" s="3" t="s">
        <v>38</v>
      </c>
      <c r="F1395" s="3" t="s">
        <v>1539</v>
      </c>
      <c r="G1395" s="3" t="s">
        <v>1540</v>
      </c>
    </row>
    <row r="1396" spans="1:7">
      <c r="A1396" s="6">
        <v>42923</v>
      </c>
      <c r="B1396" s="3" t="s">
        <v>13</v>
      </c>
      <c r="C1396" s="3" t="s">
        <v>18</v>
      </c>
      <c r="D1396" s="8" t="str">
        <f>HYPERLINK("http://npthd.inbcu.com/ViewContent.aspx?filename=NPMR_ABC_2017-07-07_E.MP4$781$1132","SHARK TANK: 817")</f>
        <v>SHARK TANK: 817</v>
      </c>
      <c r="E1396" s="3" t="s">
        <v>1541</v>
      </c>
      <c r="F1396" s="3" t="s">
        <v>1540</v>
      </c>
      <c r="G1396" s="3" t="s">
        <v>1542</v>
      </c>
    </row>
    <row r="1397" spans="1:7">
      <c r="A1397" s="6">
        <v>42923</v>
      </c>
      <c r="B1397" s="3" t="s">
        <v>13</v>
      </c>
      <c r="C1397" s="3" t="s">
        <v>21</v>
      </c>
      <c r="D1397" s="8" t="str">
        <f>HYPERLINK("http://npthd.inbcu.com/ViewContent.aspx?filename=NPMR_ABC_2017-07-07_E.MP4$1132$1252","COMMERCIAL")</f>
        <v>COMMERCIAL</v>
      </c>
      <c r="E1397" s="3" t="s">
        <v>43</v>
      </c>
      <c r="F1397" s="3" t="s">
        <v>1542</v>
      </c>
      <c r="G1397" s="3" t="s">
        <v>1543</v>
      </c>
    </row>
    <row r="1398" spans="1:7">
      <c r="A1398" s="6">
        <v>42923</v>
      </c>
      <c r="B1398" s="3" t="s">
        <v>13</v>
      </c>
      <c r="C1398" s="3" t="s">
        <v>14</v>
      </c>
      <c r="D1398" s="8" t="str">
        <f>HYPERLINK("http://npthd.inbcu.com/ViewContent.aspx?filename=NPMR_ABC_2017-07-07_E.MP4$1252$1282","Bold Type (Freeform)")</f>
        <v>Bold Type (Freeform)</v>
      </c>
      <c r="E1398" s="3" t="s">
        <v>38</v>
      </c>
      <c r="F1398" s="3" t="s">
        <v>1543</v>
      </c>
      <c r="G1398" s="3" t="s">
        <v>1544</v>
      </c>
    </row>
    <row r="1399" spans="1:7">
      <c r="A1399" s="6">
        <v>42923</v>
      </c>
      <c r="B1399" s="3" t="s">
        <v>13</v>
      </c>
      <c r="C1399" s="3" t="s">
        <v>32</v>
      </c>
      <c r="D1399" s="8" t="str">
        <f>HYPERLINK("http://npthd.inbcu.com/ViewContent.aspx?filename=NPMR_ABC_2017-07-07_E.MP4$1282$1343","LOCAL")</f>
        <v>LOCAL</v>
      </c>
      <c r="E1399" s="3" t="s">
        <v>33</v>
      </c>
      <c r="F1399" s="3" t="s">
        <v>1544</v>
      </c>
      <c r="G1399" s="3" t="s">
        <v>1545</v>
      </c>
    </row>
    <row r="1400" spans="1:7">
      <c r="A1400" s="6">
        <v>42923</v>
      </c>
      <c r="B1400" s="3" t="s">
        <v>13</v>
      </c>
      <c r="C1400" s="3" t="s">
        <v>18</v>
      </c>
      <c r="D1400" s="8" t="str">
        <f>HYPERLINK("http://npthd.inbcu.com/ViewContent.aspx?filename=NPMR_ABC_2017-07-07_E.MP4$1343$1831","SHARK TANK: 817")</f>
        <v>SHARK TANK: 817</v>
      </c>
      <c r="E1400" s="3" t="s">
        <v>1546</v>
      </c>
      <c r="F1400" s="3" t="s">
        <v>1545</v>
      </c>
      <c r="G1400" s="3" t="s">
        <v>1547</v>
      </c>
    </row>
    <row r="1401" spans="1:7">
      <c r="A1401" s="6">
        <v>42923</v>
      </c>
      <c r="B1401" s="3" t="s">
        <v>13</v>
      </c>
      <c r="C1401" s="3" t="s">
        <v>21</v>
      </c>
      <c r="D1401" s="8" t="str">
        <f>HYPERLINK("http://npthd.inbcu.com/ViewContent.aspx?filename=NPMR_ABC_2017-07-07_E.MP4$1831$2012","COMMERCIAL")</f>
        <v>COMMERCIAL</v>
      </c>
      <c r="E1401" s="3" t="s">
        <v>108</v>
      </c>
      <c r="F1401" s="3" t="s">
        <v>1547</v>
      </c>
      <c r="G1401" s="3" t="s">
        <v>1548</v>
      </c>
    </row>
    <row r="1402" spans="1:7">
      <c r="A1402" s="6">
        <v>42923</v>
      </c>
      <c r="B1402" s="3" t="s">
        <v>13</v>
      </c>
      <c r="C1402" s="3" t="s">
        <v>14</v>
      </c>
      <c r="D1402" s="8" t="str">
        <f>HYPERLINK("http://npthd.inbcu.com/ViewContent.aspx?filename=NPMR_ABC_2017-07-07_E.MP4$2012$2027","Espys")</f>
        <v>Espys</v>
      </c>
      <c r="E1402" s="3" t="s">
        <v>30</v>
      </c>
      <c r="F1402" s="3" t="s">
        <v>1548</v>
      </c>
      <c r="G1402" s="3" t="s">
        <v>1549</v>
      </c>
    </row>
    <row r="1403" spans="1:7">
      <c r="A1403" s="6">
        <v>42923</v>
      </c>
      <c r="B1403" s="3" t="s">
        <v>13</v>
      </c>
      <c r="C1403" s="3" t="s">
        <v>14</v>
      </c>
      <c r="D1403" s="8" t="str">
        <f>HYPERLINK("http://npthd.inbcu.com/ViewContent.aspx?filename=NPMR_ABC_2017-07-07_E.MP4$2027$2057","Battle of the Network Stars")</f>
        <v>Battle of the Network Stars</v>
      </c>
      <c r="E1403" s="3" t="s">
        <v>38</v>
      </c>
      <c r="F1403" s="3" t="s">
        <v>1549</v>
      </c>
      <c r="G1403" s="3" t="s">
        <v>1550</v>
      </c>
    </row>
    <row r="1404" spans="1:7">
      <c r="A1404" s="6">
        <v>42923</v>
      </c>
      <c r="B1404" s="3" t="s">
        <v>13</v>
      </c>
      <c r="C1404" s="3" t="s">
        <v>18</v>
      </c>
      <c r="D1404" s="8" t="str">
        <f>HYPERLINK("http://npthd.inbcu.com/ViewContent.aspx?filename=NPMR_ABC_2017-07-07_E.MP4$2057$2570","SHARK TANK: 817")</f>
        <v>SHARK TANK: 817</v>
      </c>
      <c r="E1404" s="3" t="s">
        <v>1488</v>
      </c>
      <c r="F1404" s="3" t="s">
        <v>1550</v>
      </c>
      <c r="G1404" s="3" t="s">
        <v>1551</v>
      </c>
    </row>
    <row r="1405" spans="1:7">
      <c r="A1405" s="6">
        <v>42923</v>
      </c>
      <c r="B1405" s="3" t="s">
        <v>13</v>
      </c>
      <c r="C1405" s="3" t="s">
        <v>21</v>
      </c>
      <c r="D1405" s="8" t="str">
        <f>HYPERLINK("http://npthd.inbcu.com/ViewContent.aspx?filename=NPMR_ABC_2017-07-07_E.MP4$2570$2750","COMMERCIAL")</f>
        <v>COMMERCIAL</v>
      </c>
      <c r="E1405" s="3" t="s">
        <v>22</v>
      </c>
      <c r="F1405" s="3" t="s">
        <v>1551</v>
      </c>
      <c r="G1405" s="3" t="s">
        <v>1552</v>
      </c>
    </row>
    <row r="1406" spans="1:7">
      <c r="A1406" s="6">
        <v>42923</v>
      </c>
      <c r="B1406" s="3" t="s">
        <v>13</v>
      </c>
      <c r="C1406" s="3" t="s">
        <v>14</v>
      </c>
      <c r="D1406" s="8" t="str">
        <f>HYPERLINK("http://npthd.inbcu.com/ViewContent.aspx?filename=NPMR_ABC_2017-07-07_E.MP4$2750$2765","20/20")</f>
        <v>20/20</v>
      </c>
      <c r="E1406" s="3" t="s">
        <v>30</v>
      </c>
      <c r="F1406" s="3" t="s">
        <v>1552</v>
      </c>
      <c r="G1406" s="3" t="s">
        <v>1553</v>
      </c>
    </row>
    <row r="1407" spans="1:7">
      <c r="A1407" s="6">
        <v>42923</v>
      </c>
      <c r="B1407" s="3" t="s">
        <v>13</v>
      </c>
      <c r="C1407" s="3" t="s">
        <v>32</v>
      </c>
      <c r="D1407" s="8" t="str">
        <f>HYPERLINK("http://npthd.inbcu.com/ViewContent.aspx?filename=NPMR_ABC_2017-07-07_E.MP4$2765$2827","LOCAL")</f>
        <v>LOCAL</v>
      </c>
      <c r="E1407" s="3" t="s">
        <v>257</v>
      </c>
      <c r="F1407" s="3" t="s">
        <v>1553</v>
      </c>
      <c r="G1407" s="3" t="s">
        <v>1554</v>
      </c>
    </row>
    <row r="1408" spans="1:7">
      <c r="A1408" s="6">
        <v>42923</v>
      </c>
      <c r="B1408" s="3" t="s">
        <v>13</v>
      </c>
      <c r="C1408" s="3" t="s">
        <v>18</v>
      </c>
      <c r="D1408" s="8" t="str">
        <f>HYPERLINK("http://npthd.inbcu.com/ViewContent.aspx?filename=NPMR_ABC_2017-07-07_E.MP4$2827$3263","SHARK TANK: 817")</f>
        <v>SHARK TANK: 817</v>
      </c>
      <c r="E1408" s="3" t="s">
        <v>471</v>
      </c>
      <c r="F1408" s="3" t="s">
        <v>1554</v>
      </c>
      <c r="G1408" s="3" t="s">
        <v>1555</v>
      </c>
    </row>
    <row r="1409" spans="1:7">
      <c r="A1409" s="6">
        <v>42923</v>
      </c>
      <c r="B1409" s="3" t="s">
        <v>13</v>
      </c>
      <c r="C1409" s="3" t="s">
        <v>21</v>
      </c>
      <c r="D1409" s="8" t="str">
        <f>HYPERLINK("http://npthd.inbcu.com/ViewContent.aspx?filename=NPMR_ABC_2017-07-07_E.MP4$3263$3459","COMMERCIAL")</f>
        <v>COMMERCIAL</v>
      </c>
      <c r="E1409" s="3" t="s">
        <v>812</v>
      </c>
      <c r="F1409" s="3" t="s">
        <v>1555</v>
      </c>
      <c r="G1409" s="3" t="s">
        <v>1556</v>
      </c>
    </row>
    <row r="1410" spans="1:7">
      <c r="A1410" s="6">
        <v>42923</v>
      </c>
      <c r="B1410" s="3" t="s">
        <v>13</v>
      </c>
      <c r="C1410" s="3" t="s">
        <v>14</v>
      </c>
      <c r="D1410" s="8" t="str">
        <f>HYPERLINK("http://npthd.inbcu.com/ViewContent.aspx?filename=NPMR_ABC_2017-07-07_E.MP4$3459$3474","What Would You Do?")</f>
        <v>What Would You Do?</v>
      </c>
      <c r="E1410" s="3" t="s">
        <v>30</v>
      </c>
      <c r="F1410" s="3" t="s">
        <v>1556</v>
      </c>
      <c r="G1410" s="3" t="s">
        <v>1557</v>
      </c>
    </row>
    <row r="1411" spans="1:7">
      <c r="A1411" s="6">
        <v>42923</v>
      </c>
      <c r="B1411" s="3" t="s">
        <v>13</v>
      </c>
      <c r="C1411" s="3" t="s">
        <v>14</v>
      </c>
      <c r="D1411" s="8" t="str">
        <f>HYPERLINK("http://npthd.inbcu.com/ViewContent.aspx?filename=NPMR_ABC_2017-07-07_E.MP4$3474$3504","Bachelorette")</f>
        <v>Bachelorette</v>
      </c>
      <c r="E1411" s="3" t="s">
        <v>38</v>
      </c>
      <c r="F1411" s="3" t="s">
        <v>1557</v>
      </c>
      <c r="G1411" s="3" t="s">
        <v>1558</v>
      </c>
    </row>
    <row r="1412" spans="1:7">
      <c r="A1412" s="6">
        <v>42923</v>
      </c>
      <c r="B1412" s="3" t="s">
        <v>13</v>
      </c>
      <c r="C1412" s="3" t="s">
        <v>32</v>
      </c>
      <c r="D1412" s="8" t="str">
        <f>HYPERLINK("http://npthd.inbcu.com/ViewContent.aspx?filename=NPMR_ABC_2017-07-07_E.MP4$3504$3509","LOCAL")</f>
        <v>LOCAL</v>
      </c>
      <c r="E1412" s="3" t="s">
        <v>54</v>
      </c>
      <c r="F1412" s="3" t="s">
        <v>1558</v>
      </c>
      <c r="G1412" s="3" t="s">
        <v>1559</v>
      </c>
    </row>
    <row r="1413" spans="1:7">
      <c r="A1413" s="6">
        <v>42923</v>
      </c>
      <c r="B1413" s="3" t="s">
        <v>13</v>
      </c>
      <c r="C1413" s="3" t="s">
        <v>18</v>
      </c>
      <c r="D1413" s="8" t="str">
        <f>HYPERLINK("http://npthd.inbcu.com/ViewContent.aspx?filename=NPMR_ABC_2017-07-07_E.MP4$3509$3751","SHARK TANK: 817")</f>
        <v>SHARK TANK: 817</v>
      </c>
      <c r="E1413" s="3" t="s">
        <v>1405</v>
      </c>
      <c r="F1413" s="3" t="s">
        <v>1559</v>
      </c>
      <c r="G1413" s="3" t="s">
        <v>155</v>
      </c>
    </row>
    <row r="1414" spans="1:7">
      <c r="A1414" s="6">
        <v>42923</v>
      </c>
      <c r="B1414" s="3" t="s">
        <v>13</v>
      </c>
      <c r="C1414" s="3" t="s">
        <v>14</v>
      </c>
      <c r="D1414" s="8" t="str">
        <f>HYPERLINK("http://npthd.inbcu.com/ViewContent.aspx?filename=NPMR_ABC_2017-07-07_E.MP4$3751$3781","ABC Sunday")</f>
        <v>ABC Sunday</v>
      </c>
      <c r="E1414" s="3" t="s">
        <v>38</v>
      </c>
      <c r="F1414" s="3" t="s">
        <v>155</v>
      </c>
      <c r="G1414" s="3" t="s">
        <v>156</v>
      </c>
    </row>
    <row r="1415" spans="1:7">
      <c r="A1415" s="6">
        <v>42923</v>
      </c>
      <c r="B1415" s="3" t="s">
        <v>13</v>
      </c>
      <c r="C1415" s="3" t="s">
        <v>18</v>
      </c>
      <c r="D1415" s="8" t="str">
        <f>HYPERLINK("http://npthd.inbcu.com/ViewContent.aspx?filename=NPMR_ABC_2017-07-07_E.MP4$3781$3787","SHARK TANK: 817")</f>
        <v>SHARK TANK: 817</v>
      </c>
      <c r="E1415" s="3" t="s">
        <v>15</v>
      </c>
      <c r="F1415" s="3" t="s">
        <v>156</v>
      </c>
      <c r="G1415" s="3" t="s">
        <v>157</v>
      </c>
    </row>
    <row r="1416" spans="1:7">
      <c r="A1416" s="6">
        <v>42923</v>
      </c>
      <c r="B1416" s="3" t="s">
        <v>13</v>
      </c>
      <c r="C1416" s="3" t="s">
        <v>18</v>
      </c>
      <c r="D1416" s="8" t="str">
        <f>HYPERLINK("http://npthd.inbcu.com/ViewContent.aspx?filename=NPMR_ABC_2017-07-07_E.MP4$3787$4309","WHAT WOULD YOU DO?:")</f>
        <v>WHAT WOULD YOU DO?:</v>
      </c>
      <c r="E1416" s="3" t="s">
        <v>1560</v>
      </c>
      <c r="F1416" s="3" t="s">
        <v>157</v>
      </c>
      <c r="G1416" s="3" t="s">
        <v>1561</v>
      </c>
    </row>
    <row r="1417" spans="1:7">
      <c r="A1417" s="6">
        <v>42923</v>
      </c>
      <c r="B1417" s="3" t="s">
        <v>13</v>
      </c>
      <c r="C1417" s="3" t="s">
        <v>21</v>
      </c>
      <c r="D1417" s="8" t="str">
        <f>HYPERLINK("http://npthd.inbcu.com/ViewContent.aspx?filename=NPMR_ABC_2017-07-07_E.MP4$4309$4519","COMMERCIAL")</f>
        <v>COMMERCIAL</v>
      </c>
      <c r="E1417" s="3" t="s">
        <v>150</v>
      </c>
      <c r="F1417" s="3" t="s">
        <v>1561</v>
      </c>
      <c r="G1417" s="3" t="s">
        <v>1562</v>
      </c>
    </row>
    <row r="1418" spans="1:7">
      <c r="A1418" s="6">
        <v>42923</v>
      </c>
      <c r="B1418" s="3" t="s">
        <v>13</v>
      </c>
      <c r="C1418" s="3" t="s">
        <v>14</v>
      </c>
      <c r="D1418" s="8" t="str">
        <f>HYPERLINK("http://npthd.inbcu.com/ViewContent.aspx?filename=NPMR_ABC_2017-07-07_E.MP4$4519$4549","ABC Sunday")</f>
        <v>ABC Sunday</v>
      </c>
      <c r="E1418" s="3" t="s">
        <v>38</v>
      </c>
      <c r="F1418" s="3" t="s">
        <v>1562</v>
      </c>
      <c r="G1418" s="3" t="s">
        <v>1563</v>
      </c>
    </row>
    <row r="1419" spans="1:7">
      <c r="A1419" s="6">
        <v>42923</v>
      </c>
      <c r="B1419" s="3" t="s">
        <v>13</v>
      </c>
      <c r="C1419" s="3" t="s">
        <v>14</v>
      </c>
      <c r="D1419" s="8" t="str">
        <f>HYPERLINK("http://npthd.inbcu.com/ViewContent.aspx?filename=NPMR_ABC_2017-07-07_E.MP4$4549$4579","Espys")</f>
        <v>Espys</v>
      </c>
      <c r="E1419" s="3" t="s">
        <v>38</v>
      </c>
      <c r="F1419" s="3" t="s">
        <v>1563</v>
      </c>
      <c r="G1419" s="3" t="s">
        <v>1564</v>
      </c>
    </row>
    <row r="1420" spans="1:7">
      <c r="A1420" s="6">
        <v>42923</v>
      </c>
      <c r="B1420" s="3" t="s">
        <v>13</v>
      </c>
      <c r="C1420" s="3" t="s">
        <v>18</v>
      </c>
      <c r="D1420" s="8" t="str">
        <f>HYPERLINK("http://npthd.inbcu.com/ViewContent.aspx?filename=NPMR_ABC_2017-07-07_E.MP4$4579$5063","WHAT WOULD YOU DO?:")</f>
        <v>WHAT WOULD YOU DO?:</v>
      </c>
      <c r="E1420" s="3" t="s">
        <v>73</v>
      </c>
      <c r="F1420" s="3" t="s">
        <v>1564</v>
      </c>
      <c r="G1420" s="3" t="s">
        <v>1565</v>
      </c>
    </row>
    <row r="1421" spans="1:7">
      <c r="A1421" s="6">
        <v>42923</v>
      </c>
      <c r="B1421" s="3" t="s">
        <v>13</v>
      </c>
      <c r="C1421" s="3" t="s">
        <v>21</v>
      </c>
      <c r="D1421" s="8" t="str">
        <f>HYPERLINK("http://npthd.inbcu.com/ViewContent.aspx?filename=NPMR_ABC_2017-07-07_E.MP4$5063$5258","COMMERCIAL")</f>
        <v>COMMERCIAL</v>
      </c>
      <c r="E1421" s="3" t="s">
        <v>388</v>
      </c>
      <c r="F1421" s="3" t="s">
        <v>1565</v>
      </c>
      <c r="G1421" s="3" t="s">
        <v>1566</v>
      </c>
    </row>
    <row r="1422" spans="1:7">
      <c r="A1422" s="6">
        <v>42923</v>
      </c>
      <c r="B1422" s="3" t="s">
        <v>13</v>
      </c>
      <c r="C1422" s="3" t="s">
        <v>14</v>
      </c>
      <c r="D1422" s="8" t="str">
        <f>HYPERLINK("http://npthd.inbcu.com/ViewContent.aspx?filename=NPMR_ABC_2017-07-07_E.MP4$5258$5273","20/20")</f>
        <v>20/20</v>
      </c>
      <c r="E1422" s="3" t="s">
        <v>30</v>
      </c>
      <c r="F1422" s="3" t="s">
        <v>1566</v>
      </c>
      <c r="G1422" s="3" t="s">
        <v>1567</v>
      </c>
    </row>
    <row r="1423" spans="1:7">
      <c r="A1423" s="6">
        <v>42923</v>
      </c>
      <c r="B1423" s="3" t="s">
        <v>13</v>
      </c>
      <c r="C1423" s="3" t="s">
        <v>14</v>
      </c>
      <c r="D1423" s="8" t="str">
        <f>HYPERLINK("http://npthd.inbcu.com/ViewContent.aspx?filename=NPMR_ABC_2017-07-07_E.MP4$5273$5278","Celebrity Family Feud")</f>
        <v>Celebrity Family Feud</v>
      </c>
      <c r="E1423" s="3" t="s">
        <v>54</v>
      </c>
      <c r="F1423" s="3" t="s">
        <v>1567</v>
      </c>
      <c r="G1423" s="3" t="s">
        <v>1568</v>
      </c>
    </row>
    <row r="1424" spans="1:7">
      <c r="A1424" s="6">
        <v>42923</v>
      </c>
      <c r="B1424" s="3" t="s">
        <v>13</v>
      </c>
      <c r="C1424" s="3" t="s">
        <v>32</v>
      </c>
      <c r="D1424" s="8" t="str">
        <f>HYPERLINK("http://npthd.inbcu.com/ViewContent.aspx?filename=NPMR_ABC_2017-07-07_E.MP4$5278$5341","LOCAL")</f>
        <v>LOCAL</v>
      </c>
      <c r="E1424" s="3" t="s">
        <v>1344</v>
      </c>
      <c r="F1424" s="3" t="s">
        <v>1568</v>
      </c>
      <c r="G1424" s="3" t="s">
        <v>1569</v>
      </c>
    </row>
    <row r="1425" spans="1:7">
      <c r="A1425" s="6">
        <v>42923</v>
      </c>
      <c r="B1425" s="3" t="s">
        <v>13</v>
      </c>
      <c r="C1425" s="3" t="s">
        <v>18</v>
      </c>
      <c r="D1425" s="8" t="str">
        <f>HYPERLINK("http://npthd.inbcu.com/ViewContent.aspx?filename=NPMR_ABC_2017-07-07_E.MP4$5341$5853","WHAT WOULD YOU DO?:")</f>
        <v>WHAT WOULD YOU DO?:</v>
      </c>
      <c r="E1425" s="3" t="s">
        <v>1570</v>
      </c>
      <c r="F1425" s="3" t="s">
        <v>1569</v>
      </c>
      <c r="G1425" s="3" t="s">
        <v>1571</v>
      </c>
    </row>
    <row r="1426" spans="1:7">
      <c r="A1426" s="6">
        <v>42923</v>
      </c>
      <c r="B1426" s="3" t="s">
        <v>13</v>
      </c>
      <c r="C1426" s="3" t="s">
        <v>21</v>
      </c>
      <c r="D1426" s="8" t="str">
        <f>HYPERLINK("http://npthd.inbcu.com/ViewContent.aspx?filename=NPMR_ABC_2017-07-07_E.MP4$5853$5974","COMMERCIAL")</f>
        <v>COMMERCIAL</v>
      </c>
      <c r="E1426" s="3" t="s">
        <v>175</v>
      </c>
      <c r="F1426" s="3" t="s">
        <v>1571</v>
      </c>
      <c r="G1426" s="3" t="s">
        <v>1572</v>
      </c>
    </row>
    <row r="1427" spans="1:7">
      <c r="A1427" s="6">
        <v>42923</v>
      </c>
      <c r="B1427" s="3" t="s">
        <v>13</v>
      </c>
      <c r="C1427" s="3" t="s">
        <v>14</v>
      </c>
      <c r="D1427" s="8" t="str">
        <f>HYPERLINK("http://npthd.inbcu.com/ViewContent.aspx?filename=NPMR_ABC_2017-07-07_E.MP4$5974$6004","What Would You Do?")</f>
        <v>What Would You Do?</v>
      </c>
      <c r="E1427" s="3" t="s">
        <v>38</v>
      </c>
      <c r="F1427" s="3" t="s">
        <v>1572</v>
      </c>
      <c r="G1427" s="3" t="s">
        <v>1573</v>
      </c>
    </row>
    <row r="1428" spans="1:7">
      <c r="A1428" s="6">
        <v>42923</v>
      </c>
      <c r="B1428" s="3" t="s">
        <v>13</v>
      </c>
      <c r="C1428" s="3" t="s">
        <v>14</v>
      </c>
      <c r="D1428" s="8" t="str">
        <f>HYPERLINK("http://npthd.inbcu.com/ViewContent.aspx?filename=NPMR_ABC_2017-07-07_E.MP4$6004$6018","Bachelorette")</f>
        <v>Bachelorette</v>
      </c>
      <c r="E1428" s="3" t="s">
        <v>342</v>
      </c>
      <c r="F1428" s="3" t="s">
        <v>1573</v>
      </c>
      <c r="G1428" s="3" t="s">
        <v>1574</v>
      </c>
    </row>
    <row r="1429" spans="1:7">
      <c r="A1429" s="6">
        <v>42923</v>
      </c>
      <c r="B1429" s="3" t="s">
        <v>13</v>
      </c>
      <c r="C1429" s="3" t="s">
        <v>32</v>
      </c>
      <c r="D1429" s="8" t="str">
        <f>HYPERLINK("http://npthd.inbcu.com/ViewContent.aspx?filename=NPMR_ABC_2017-07-07_E.MP4$6018$6109","LOCAL")</f>
        <v>LOCAL</v>
      </c>
      <c r="E1429" s="3" t="s">
        <v>77</v>
      </c>
      <c r="F1429" s="3" t="s">
        <v>1574</v>
      </c>
      <c r="G1429" s="3" t="s">
        <v>1575</v>
      </c>
    </row>
    <row r="1430" spans="1:7">
      <c r="A1430" s="6">
        <v>42923</v>
      </c>
      <c r="B1430" s="3" t="s">
        <v>13</v>
      </c>
      <c r="C1430" s="3" t="s">
        <v>18</v>
      </c>
      <c r="D1430" s="8" t="str">
        <f>HYPERLINK("http://npthd.inbcu.com/ViewContent.aspx?filename=NPMR_ABC_2017-07-07_E.MP4$6109$6549","WHAT WOULD YOU DO?:")</f>
        <v>WHAT WOULD YOU DO?:</v>
      </c>
      <c r="E1430" s="3" t="s">
        <v>1116</v>
      </c>
      <c r="F1430" s="3" t="s">
        <v>1575</v>
      </c>
      <c r="G1430" s="3" t="s">
        <v>1576</v>
      </c>
    </row>
    <row r="1431" spans="1:7">
      <c r="A1431" s="6">
        <v>42923</v>
      </c>
      <c r="B1431" s="3" t="s">
        <v>13</v>
      </c>
      <c r="C1431" s="3" t="s">
        <v>21</v>
      </c>
      <c r="D1431" s="8" t="str">
        <f>HYPERLINK("http://npthd.inbcu.com/ViewContent.aspx?filename=NPMR_ABC_2017-07-07_E.MP4$6549$6759","COMMERCIAL")</f>
        <v>COMMERCIAL</v>
      </c>
      <c r="E1431" s="3" t="s">
        <v>150</v>
      </c>
      <c r="F1431" s="3" t="s">
        <v>1576</v>
      </c>
      <c r="G1431" s="3" t="s">
        <v>1577</v>
      </c>
    </row>
    <row r="1432" spans="1:7">
      <c r="A1432" s="6">
        <v>42923</v>
      </c>
      <c r="B1432" s="3" t="s">
        <v>13</v>
      </c>
      <c r="C1432" s="3" t="s">
        <v>14</v>
      </c>
      <c r="D1432" s="8" t="str">
        <f>HYPERLINK("http://npthd.inbcu.com/ViewContent.aspx?filename=NPMR_ABC_2017-07-07_E.MP4$6759$6774","20/20")</f>
        <v>20/20</v>
      </c>
      <c r="E1432" s="3" t="s">
        <v>30</v>
      </c>
      <c r="F1432" s="3" t="s">
        <v>1577</v>
      </c>
      <c r="G1432" s="3" t="s">
        <v>1578</v>
      </c>
    </row>
    <row r="1433" spans="1:7">
      <c r="A1433" s="6">
        <v>42923</v>
      </c>
      <c r="B1433" s="3" t="s">
        <v>13</v>
      </c>
      <c r="C1433" s="3" t="s">
        <v>14</v>
      </c>
      <c r="D1433" s="8" t="str">
        <f>HYPERLINK("http://npthd.inbcu.com/ViewContent.aspx?filename=NPMR_ABC_2017-07-07_E.MP4$6774$6805","Bachelorette")</f>
        <v>Bachelorette</v>
      </c>
      <c r="E1433" s="3" t="s">
        <v>98</v>
      </c>
      <c r="F1433" s="3" t="s">
        <v>1578</v>
      </c>
      <c r="G1433" s="3" t="s">
        <v>1579</v>
      </c>
    </row>
    <row r="1434" spans="1:7">
      <c r="A1434" s="6">
        <v>42923</v>
      </c>
      <c r="B1434" s="3" t="s">
        <v>13</v>
      </c>
      <c r="C1434" s="3" t="s">
        <v>14</v>
      </c>
      <c r="D1434" s="8" t="str">
        <f>HYPERLINK("http://npthd.inbcu.com/ViewContent.aspx?filename=NPMR_ABC_2017-07-07_E.MP4$6805$6820","Espys")</f>
        <v>Espys</v>
      </c>
      <c r="E1434" s="3" t="s">
        <v>30</v>
      </c>
      <c r="F1434" s="3" t="s">
        <v>1579</v>
      </c>
      <c r="G1434" s="3" t="s">
        <v>1580</v>
      </c>
    </row>
    <row r="1435" spans="1:7">
      <c r="A1435" s="6">
        <v>42923</v>
      </c>
      <c r="B1435" s="3" t="s">
        <v>13</v>
      </c>
      <c r="C1435" s="3" t="s">
        <v>18</v>
      </c>
      <c r="D1435" s="8" t="str">
        <f>HYPERLINK("http://npthd.inbcu.com/ViewContent.aspx?filename=NPMR_ABC_2017-07-07_E.MP4$6820$7327","WHAT WOULD YOU DO?:")</f>
        <v>WHAT WOULD YOU DO?:</v>
      </c>
      <c r="E1435" s="3" t="s">
        <v>1581</v>
      </c>
      <c r="F1435" s="3" t="s">
        <v>1580</v>
      </c>
      <c r="G1435" s="3" t="s">
        <v>394</v>
      </c>
    </row>
    <row r="1436" spans="1:7">
      <c r="A1436" s="6">
        <v>42923</v>
      </c>
      <c r="B1436" s="3" t="s">
        <v>13</v>
      </c>
      <c r="C1436" s="3" t="s">
        <v>18</v>
      </c>
      <c r="D1436" s="8" t="str">
        <f>HYPERLINK("http://npthd.inbcu.com/ViewContent.aspx?filename=NPMR_ABC_2017-07-07_E.MP4$7327$7791","20/20:")</f>
        <v>20/20:</v>
      </c>
      <c r="E1436" s="3" t="s">
        <v>1582</v>
      </c>
      <c r="F1436" s="3" t="s">
        <v>394</v>
      </c>
      <c r="G1436" s="3" t="s">
        <v>1583</v>
      </c>
    </row>
    <row r="1437" spans="1:7">
      <c r="A1437" s="6">
        <v>42923</v>
      </c>
      <c r="B1437" s="3" t="s">
        <v>13</v>
      </c>
      <c r="C1437" s="3" t="s">
        <v>21</v>
      </c>
      <c r="D1437" s="8" t="str">
        <f>HYPERLINK("http://npthd.inbcu.com/ViewContent.aspx?filename=NPMR_ABC_2017-07-07_E.MP4$7791$7972","COMMERCIAL")</f>
        <v>COMMERCIAL</v>
      </c>
      <c r="E1437" s="3" t="s">
        <v>108</v>
      </c>
      <c r="F1437" s="3" t="s">
        <v>1583</v>
      </c>
      <c r="G1437" s="3" t="s">
        <v>1584</v>
      </c>
    </row>
    <row r="1438" spans="1:7">
      <c r="A1438" s="6">
        <v>42923</v>
      </c>
      <c r="B1438" s="3" t="s">
        <v>13</v>
      </c>
      <c r="C1438" s="3" t="s">
        <v>14</v>
      </c>
      <c r="D1438" s="8" t="str">
        <f>HYPERLINK("http://npthd.inbcu.com/ViewContent.aspx?filename=NPMR_ABC_2017-07-07_E.MP4$7972$8002","World News Tonight")</f>
        <v>World News Tonight</v>
      </c>
      <c r="E1438" s="3" t="s">
        <v>38</v>
      </c>
      <c r="F1438" s="3" t="s">
        <v>1584</v>
      </c>
      <c r="G1438" s="3" t="s">
        <v>1238</v>
      </c>
    </row>
    <row r="1439" spans="1:7">
      <c r="A1439" s="6">
        <v>42923</v>
      </c>
      <c r="B1439" s="3" t="s">
        <v>13</v>
      </c>
      <c r="C1439" s="3" t="s">
        <v>18</v>
      </c>
      <c r="D1439" s="8" t="str">
        <f>HYPERLINK("http://npthd.inbcu.com/ViewContent.aspx?filename=NPMR_ABC_2017-07-07_E.MP4$8002$8558","20/20:")</f>
        <v>20/20:</v>
      </c>
      <c r="E1439" s="3" t="s">
        <v>1585</v>
      </c>
      <c r="F1439" s="3" t="s">
        <v>1238</v>
      </c>
      <c r="G1439" s="3" t="s">
        <v>1586</v>
      </c>
    </row>
    <row r="1440" spans="1:7">
      <c r="A1440" s="6">
        <v>42923</v>
      </c>
      <c r="B1440" s="3" t="s">
        <v>13</v>
      </c>
      <c r="C1440" s="3" t="s">
        <v>14</v>
      </c>
      <c r="D1440" s="8" t="str">
        <f>HYPERLINK("http://npthd.inbcu.com/ViewContent.aspx?filename=NPMR_ABC_2017-07-07_E.MP4$8558$8563","Espys")</f>
        <v>Espys</v>
      </c>
      <c r="E1440" s="3" t="s">
        <v>54</v>
      </c>
      <c r="F1440" s="3" t="s">
        <v>1586</v>
      </c>
      <c r="G1440" s="3" t="s">
        <v>1452</v>
      </c>
    </row>
    <row r="1441" spans="1:7">
      <c r="A1441" s="6">
        <v>42923</v>
      </c>
      <c r="B1441" s="3" t="s">
        <v>13</v>
      </c>
      <c r="C1441" s="3" t="s">
        <v>21</v>
      </c>
      <c r="D1441" s="8" t="str">
        <f>HYPERLINK("http://npthd.inbcu.com/ViewContent.aspx?filename=NPMR_ABC_2017-07-07_E.MP4$8563$8743","COMMERCIAL")</f>
        <v>COMMERCIAL</v>
      </c>
      <c r="E1441" s="3" t="s">
        <v>22</v>
      </c>
      <c r="F1441" s="3" t="s">
        <v>1452</v>
      </c>
      <c r="G1441" s="3" t="s">
        <v>1587</v>
      </c>
    </row>
    <row r="1442" spans="1:7">
      <c r="A1442" s="6">
        <v>42923</v>
      </c>
      <c r="B1442" s="3" t="s">
        <v>13</v>
      </c>
      <c r="C1442" s="3" t="s">
        <v>14</v>
      </c>
      <c r="D1442" s="8" t="str">
        <f>HYPERLINK("http://npthd.inbcu.com/ViewContent.aspx?filename=NPMR_ABC_2017-07-07_E.MP4$8743$8773","Bachelorette")</f>
        <v>Bachelorette</v>
      </c>
      <c r="E1442" s="3" t="s">
        <v>38</v>
      </c>
      <c r="F1442" s="3" t="s">
        <v>1587</v>
      </c>
      <c r="G1442" s="3" t="s">
        <v>1588</v>
      </c>
    </row>
    <row r="1443" spans="1:7">
      <c r="A1443" s="6">
        <v>42923</v>
      </c>
      <c r="B1443" s="3" t="s">
        <v>13</v>
      </c>
      <c r="C1443" s="3" t="s">
        <v>14</v>
      </c>
      <c r="D1443" s="8" t="str">
        <f>HYPERLINK("http://npthd.inbcu.com/ViewContent.aspx?filename=NPMR_ABC_2017-07-07_E.MP4$8773$8788","Espys")</f>
        <v>Espys</v>
      </c>
      <c r="E1443" s="3" t="s">
        <v>30</v>
      </c>
      <c r="F1443" s="3" t="s">
        <v>1588</v>
      </c>
      <c r="G1443" s="3" t="s">
        <v>1589</v>
      </c>
    </row>
    <row r="1444" spans="1:7">
      <c r="A1444" s="6">
        <v>42923</v>
      </c>
      <c r="B1444" s="3" t="s">
        <v>13</v>
      </c>
      <c r="C1444" s="3" t="s">
        <v>18</v>
      </c>
      <c r="D1444" s="8" t="str">
        <f>HYPERLINK("http://npthd.inbcu.com/ViewContent.aspx?filename=NPMR_ABC_2017-07-07_E.MP4$8788$9128","20/20:")</f>
        <v>20/20:</v>
      </c>
      <c r="E1444" s="3" t="s">
        <v>142</v>
      </c>
      <c r="F1444" s="3" t="s">
        <v>1589</v>
      </c>
      <c r="G1444" s="3" t="s">
        <v>1590</v>
      </c>
    </row>
    <row r="1445" spans="1:7">
      <c r="A1445" s="6">
        <v>42923</v>
      </c>
      <c r="B1445" s="3" t="s">
        <v>13</v>
      </c>
      <c r="C1445" s="3" t="s">
        <v>21</v>
      </c>
      <c r="D1445" s="8" t="str">
        <f>HYPERLINK("http://npthd.inbcu.com/ViewContent.aspx?filename=NPMR_ABC_2017-07-07_E.MP4$9128$9249","COMMERCIAL")</f>
        <v>COMMERCIAL</v>
      </c>
      <c r="E1445" s="3" t="s">
        <v>175</v>
      </c>
      <c r="F1445" s="3" t="s">
        <v>1590</v>
      </c>
      <c r="G1445" s="3" t="s">
        <v>1591</v>
      </c>
    </row>
    <row r="1446" spans="1:7">
      <c r="A1446" s="6">
        <v>42923</v>
      </c>
      <c r="B1446" s="3" t="s">
        <v>13</v>
      </c>
      <c r="C1446" s="3" t="s">
        <v>14</v>
      </c>
      <c r="D1446" s="8" t="str">
        <f>HYPERLINK("http://npthd.inbcu.com/ViewContent.aspx?filename=NPMR_ABC_2017-07-07_E.MP4$9249$9264","Funderdome")</f>
        <v>Funderdome</v>
      </c>
      <c r="E1446" s="3" t="s">
        <v>30</v>
      </c>
      <c r="F1446" s="3" t="s">
        <v>1591</v>
      </c>
      <c r="G1446" s="3" t="s">
        <v>1592</v>
      </c>
    </row>
    <row r="1447" spans="1:7">
      <c r="A1447" s="6">
        <v>42923</v>
      </c>
      <c r="B1447" s="3" t="s">
        <v>13</v>
      </c>
      <c r="C1447" s="3" t="s">
        <v>14</v>
      </c>
      <c r="D1447" s="8" t="str">
        <f>HYPERLINK("http://npthd.inbcu.com/ViewContent.aspx?filename=NPMR_ABC_2017-07-07_E.MP4$9264$9279","Good Morning America")</f>
        <v>Good Morning America</v>
      </c>
      <c r="E1447" s="3" t="s">
        <v>30</v>
      </c>
      <c r="F1447" s="3" t="s">
        <v>1592</v>
      </c>
      <c r="G1447" s="3" t="s">
        <v>1593</v>
      </c>
    </row>
    <row r="1448" spans="1:7">
      <c r="A1448" s="6">
        <v>42923</v>
      </c>
      <c r="B1448" s="3" t="s">
        <v>13</v>
      </c>
      <c r="C1448" s="3" t="s">
        <v>32</v>
      </c>
      <c r="D1448" s="8" t="str">
        <f>HYPERLINK("http://npthd.inbcu.com/ViewContent.aspx?filename=NPMR_ABC_2017-07-07_E.MP4$9279$9384","LOCAL")</f>
        <v>LOCAL</v>
      </c>
      <c r="E1448" s="3" t="s">
        <v>199</v>
      </c>
      <c r="F1448" s="3" t="s">
        <v>1593</v>
      </c>
      <c r="G1448" s="3" t="s">
        <v>1594</v>
      </c>
    </row>
    <row r="1449" spans="1:7">
      <c r="A1449" s="6">
        <v>42923</v>
      </c>
      <c r="B1449" s="3" t="s">
        <v>13</v>
      </c>
      <c r="C1449" s="3" t="s">
        <v>18</v>
      </c>
      <c r="D1449" s="8" t="str">
        <f>HYPERLINK("http://npthd.inbcu.com/ViewContent.aspx?filename=NPMR_ABC_2017-07-07_E.MP4$9384$9848","20/20:")</f>
        <v>20/20:</v>
      </c>
      <c r="E1449" s="3" t="s">
        <v>1582</v>
      </c>
      <c r="F1449" s="3" t="s">
        <v>1594</v>
      </c>
      <c r="G1449" s="3" t="s">
        <v>1595</v>
      </c>
    </row>
    <row r="1450" spans="1:7">
      <c r="A1450" s="6">
        <v>42923</v>
      </c>
      <c r="B1450" s="3" t="s">
        <v>13</v>
      </c>
      <c r="C1450" s="3" t="s">
        <v>21</v>
      </c>
      <c r="D1450" s="8" t="str">
        <f>HYPERLINK("http://npthd.inbcu.com/ViewContent.aspx?filename=NPMR_ABC_2017-07-07_E.MP4$9848$9939","COMMERCIAL")</f>
        <v>COMMERCIAL</v>
      </c>
      <c r="E1450" s="3" t="s">
        <v>77</v>
      </c>
      <c r="F1450" s="3" t="s">
        <v>1595</v>
      </c>
      <c r="G1450" s="3" t="s">
        <v>1596</v>
      </c>
    </row>
    <row r="1451" spans="1:7">
      <c r="A1451" s="6">
        <v>42923</v>
      </c>
      <c r="B1451" s="3" t="s">
        <v>13</v>
      </c>
      <c r="C1451" s="3" t="s">
        <v>14</v>
      </c>
      <c r="D1451" s="8" t="str">
        <f>HYPERLINK("http://npthd.inbcu.com/ViewContent.aspx?filename=NPMR_ABC_2017-07-07_E.MP4$9939$9969","20/20")</f>
        <v>20/20</v>
      </c>
      <c r="E1451" s="3" t="s">
        <v>38</v>
      </c>
      <c r="F1451" s="3" t="s">
        <v>1596</v>
      </c>
      <c r="G1451" s="3" t="s">
        <v>1597</v>
      </c>
    </row>
    <row r="1452" spans="1:7">
      <c r="A1452" s="6">
        <v>42923</v>
      </c>
      <c r="B1452" s="3" t="s">
        <v>13</v>
      </c>
      <c r="C1452" s="3" t="s">
        <v>14</v>
      </c>
      <c r="D1452" s="8" t="str">
        <f>HYPERLINK("http://npthd.inbcu.com/ViewContent.aspx?filename=NPMR_ABC_2017-07-07_E.MP4$9969$9999","Espys")</f>
        <v>Espys</v>
      </c>
      <c r="E1452" s="3" t="s">
        <v>38</v>
      </c>
      <c r="F1452" s="3" t="s">
        <v>1597</v>
      </c>
      <c r="G1452" s="3" t="s">
        <v>1598</v>
      </c>
    </row>
    <row r="1453" spans="1:7">
      <c r="A1453" s="6">
        <v>42923</v>
      </c>
      <c r="B1453" s="3" t="s">
        <v>13</v>
      </c>
      <c r="C1453" s="3" t="s">
        <v>32</v>
      </c>
      <c r="D1453" s="8" t="str">
        <f>HYPERLINK("http://npthd.inbcu.com/ViewContent.aspx?filename=NPMR_ABC_2017-07-07_E.MP4$9999$10089","LOCAL")</f>
        <v>LOCAL</v>
      </c>
      <c r="E1453" s="3" t="s">
        <v>46</v>
      </c>
      <c r="F1453" s="3" t="s">
        <v>1598</v>
      </c>
      <c r="G1453" s="3" t="s">
        <v>1599</v>
      </c>
    </row>
    <row r="1454" spans="1:7">
      <c r="A1454" s="6">
        <v>42923</v>
      </c>
      <c r="B1454" s="3" t="s">
        <v>13</v>
      </c>
      <c r="C1454" s="3" t="s">
        <v>18</v>
      </c>
      <c r="D1454" s="8" t="str">
        <f>HYPERLINK("http://npthd.inbcu.com/ViewContent.aspx?filename=NPMR_ABC_2017-07-07_E.MP4$10089$10524","20/20:")</f>
        <v>20/20:</v>
      </c>
      <c r="E1454" s="3" t="s">
        <v>415</v>
      </c>
      <c r="F1454" s="3" t="s">
        <v>1599</v>
      </c>
      <c r="G1454" s="3" t="s">
        <v>1600</v>
      </c>
    </row>
    <row r="1455" spans="1:7">
      <c r="A1455" s="6">
        <v>42923</v>
      </c>
      <c r="B1455" s="3" t="s">
        <v>13</v>
      </c>
      <c r="C1455" s="3" t="s">
        <v>32</v>
      </c>
      <c r="D1455" s="8" t="str">
        <f>HYPERLINK("http://npthd.inbcu.com/ViewContent.aspx?filename=NPMR_ABC_2017-07-07_E.MP4$10524$10540","LOCAL")</f>
        <v>LOCAL</v>
      </c>
      <c r="E1455" s="3" t="s">
        <v>64</v>
      </c>
      <c r="F1455" s="3" t="s">
        <v>1600</v>
      </c>
      <c r="G1455" s="3" t="s">
        <v>1601</v>
      </c>
    </row>
    <row r="1456" spans="1:7">
      <c r="A1456" s="6">
        <v>42923</v>
      </c>
      <c r="B1456" s="3" t="s">
        <v>13</v>
      </c>
      <c r="C1456" s="3" t="s">
        <v>21</v>
      </c>
      <c r="D1456" s="8" t="str">
        <f>HYPERLINK("http://npthd.inbcu.com/ViewContent.aspx?filename=NPMR_ABC_2017-07-07_E.MP4$10540$10751","COMMERCIAL")</f>
        <v>COMMERCIAL</v>
      </c>
      <c r="E1456" s="3" t="s">
        <v>334</v>
      </c>
      <c r="F1456" s="3" t="s">
        <v>1601</v>
      </c>
      <c r="G1456" s="3" t="s">
        <v>599</v>
      </c>
    </row>
    <row r="1457" spans="1:7">
      <c r="A1457" s="6">
        <v>42923</v>
      </c>
      <c r="B1457" s="3" t="s">
        <v>13</v>
      </c>
      <c r="C1457" s="3" t="s">
        <v>18</v>
      </c>
      <c r="D1457" s="8" t="str">
        <f>HYPERLINK("http://npthd.inbcu.com/ViewContent.aspx?filename=NPMR_ABC_2017-07-07_E.MP4$10751$10908","20/20:")</f>
        <v>20/20:</v>
      </c>
      <c r="E1457" s="3" t="s">
        <v>1602</v>
      </c>
      <c r="F1457" s="3" t="s">
        <v>599</v>
      </c>
      <c r="G1457" s="3" t="s">
        <v>1603</v>
      </c>
    </row>
    <row r="1458" spans="1:7">
      <c r="A1458" s="6">
        <v>42923</v>
      </c>
      <c r="B1458" s="3" t="s">
        <v>13</v>
      </c>
      <c r="C1458" s="3" t="s">
        <v>14</v>
      </c>
      <c r="D1458" s="8" t="str">
        <f>HYPERLINK("http://npthd.inbcu.com/ViewContent.aspx?filename=NPMR_ABC_2017-07-07_E.MP4$10908$10913","Funderdome")</f>
        <v>Funderdome</v>
      </c>
      <c r="E1458" s="3" t="s">
        <v>54</v>
      </c>
      <c r="F1458" s="3" t="s">
        <v>1603</v>
      </c>
      <c r="G1458" s="3" t="s">
        <v>698</v>
      </c>
    </row>
    <row r="1459" spans="1:7">
      <c r="A1459" s="6">
        <v>42923</v>
      </c>
      <c r="B1459" s="3" t="s">
        <v>13</v>
      </c>
      <c r="C1459" s="3" t="s">
        <v>32</v>
      </c>
      <c r="D1459" s="8" t="str">
        <f>HYPERLINK("http://npthd.inbcu.com/ViewContent.aspx?filename=NPMR_ABC_2017-07-07_E.MP4$10913$10927","LOCAL")</f>
        <v>LOCAL</v>
      </c>
      <c r="E1459" s="3" t="s">
        <v>342</v>
      </c>
      <c r="F1459" s="3" t="s">
        <v>698</v>
      </c>
      <c r="G1459" s="3" t="s">
        <v>124</v>
      </c>
    </row>
    <row r="1460" spans="1:7">
      <c r="A1460" s="6">
        <v>42924</v>
      </c>
      <c r="B1460" s="3" t="s">
        <v>13</v>
      </c>
      <c r="C1460" s="3" t="s">
        <v>14</v>
      </c>
      <c r="D1460" s="8" t="str">
        <f>HYPERLINK("http://npthd.inbcu.com/ViewContent.aspx?filename=NPMR_ABC_2017-07-08_E.MP4$118$123","ABC Open")</f>
        <v>ABC Open</v>
      </c>
      <c r="E1460" s="3" t="s">
        <v>54</v>
      </c>
      <c r="F1460" s="3" t="s">
        <v>16</v>
      </c>
      <c r="G1460" s="3" t="s">
        <v>125</v>
      </c>
    </row>
    <row r="1461" spans="1:7">
      <c r="A1461" s="6">
        <v>42924</v>
      </c>
      <c r="B1461" s="3" t="s">
        <v>13</v>
      </c>
      <c r="C1461" s="3" t="s">
        <v>18</v>
      </c>
      <c r="D1461" s="8" t="str">
        <f>HYPERLINK("http://npthd.inbcu.com/ViewContent.aspx?filename=NPMR_ABC_2017-07-08_E.MP4$123$785","20/20: IN AN INSTANT: frozen on the mountain")</f>
        <v>20/20: IN AN INSTANT: frozen on the mountain</v>
      </c>
      <c r="E1461" s="3" t="s">
        <v>1604</v>
      </c>
      <c r="F1461" s="3" t="s">
        <v>125</v>
      </c>
      <c r="G1461" s="3" t="s">
        <v>1605</v>
      </c>
    </row>
    <row r="1462" spans="1:7">
      <c r="A1462" s="6">
        <v>42924</v>
      </c>
      <c r="B1462" s="3" t="s">
        <v>13</v>
      </c>
      <c r="C1462" s="3" t="s">
        <v>21</v>
      </c>
      <c r="D1462" s="8" t="str">
        <f>HYPERLINK("http://npthd.inbcu.com/ViewContent.aspx?filename=NPMR_ABC_2017-07-08_E.MP4$785$937","COMMERCIAL")</f>
        <v>COMMERCIAL</v>
      </c>
      <c r="E1462" s="3" t="s">
        <v>128</v>
      </c>
      <c r="F1462" s="3" t="s">
        <v>1605</v>
      </c>
      <c r="G1462" s="3" t="s">
        <v>1606</v>
      </c>
    </row>
    <row r="1463" spans="1:7">
      <c r="A1463" s="6">
        <v>42924</v>
      </c>
      <c r="B1463" s="3" t="s">
        <v>13</v>
      </c>
      <c r="C1463" s="3" t="s">
        <v>14</v>
      </c>
      <c r="D1463" s="8" t="str">
        <f>HYPERLINK("http://npthd.inbcu.com/ViewContent.aspx?filename=NPMR_ABC_2017-07-08_E.MP4$937$952","Funderdome")</f>
        <v>Funderdome</v>
      </c>
      <c r="E1463" s="3" t="s">
        <v>30</v>
      </c>
      <c r="F1463" s="3" t="s">
        <v>1606</v>
      </c>
      <c r="G1463" s="3" t="s">
        <v>1607</v>
      </c>
    </row>
    <row r="1464" spans="1:7">
      <c r="A1464" s="6">
        <v>42924</v>
      </c>
      <c r="B1464" s="3" t="s">
        <v>13</v>
      </c>
      <c r="C1464" s="3" t="s">
        <v>14</v>
      </c>
      <c r="D1464" s="8" t="str">
        <f>HYPERLINK("http://npthd.inbcu.com/ViewContent.aspx?filename=NPMR_ABC_2017-07-08_E.MP4$952$982","Espys")</f>
        <v>Espys</v>
      </c>
      <c r="E1464" s="3" t="s">
        <v>38</v>
      </c>
      <c r="F1464" s="3" t="s">
        <v>1607</v>
      </c>
      <c r="G1464" s="3" t="s">
        <v>1608</v>
      </c>
    </row>
    <row r="1465" spans="1:7">
      <c r="A1465" s="6">
        <v>42924</v>
      </c>
      <c r="B1465" s="3" t="s">
        <v>13</v>
      </c>
      <c r="C1465" s="3" t="s">
        <v>18</v>
      </c>
      <c r="D1465" s="8" t="str">
        <f>HYPERLINK("http://npthd.inbcu.com/ViewContent.aspx?filename=NPMR_ABC_2017-07-08_E.MP4$982$1443","20/20: IN AN INSTANT: frozen on the mountain")</f>
        <v>20/20: IN AN INSTANT: frozen on the mountain</v>
      </c>
      <c r="E1465" s="3" t="s">
        <v>1609</v>
      </c>
      <c r="F1465" s="3" t="s">
        <v>1608</v>
      </c>
      <c r="G1465" s="3" t="s">
        <v>1610</v>
      </c>
    </row>
    <row r="1466" spans="1:7">
      <c r="A1466" s="6">
        <v>42924</v>
      </c>
      <c r="B1466" s="3" t="s">
        <v>13</v>
      </c>
      <c r="C1466" s="3" t="s">
        <v>21</v>
      </c>
      <c r="D1466" s="8" t="str">
        <f>HYPERLINK("http://npthd.inbcu.com/ViewContent.aspx?filename=NPMR_ABC_2017-07-08_E.MP4$1443$1594","COMMERCIAL")</f>
        <v>COMMERCIAL</v>
      </c>
      <c r="E1466" s="3" t="s">
        <v>91</v>
      </c>
      <c r="F1466" s="3" t="s">
        <v>1610</v>
      </c>
      <c r="G1466" s="3" t="s">
        <v>1611</v>
      </c>
    </row>
    <row r="1467" spans="1:7">
      <c r="A1467" s="6">
        <v>42924</v>
      </c>
      <c r="B1467" s="3" t="s">
        <v>13</v>
      </c>
      <c r="C1467" s="3" t="s">
        <v>14</v>
      </c>
      <c r="D1467" s="8" t="str">
        <f>HYPERLINK("http://npthd.inbcu.com/ViewContent.aspx?filename=NPMR_ABC_2017-07-08_E.MP4$1594$1624","Chew, The")</f>
        <v>Chew, The</v>
      </c>
      <c r="E1467" s="3" t="s">
        <v>38</v>
      </c>
      <c r="F1467" s="3" t="s">
        <v>1611</v>
      </c>
      <c r="G1467" s="3" t="s">
        <v>1612</v>
      </c>
    </row>
    <row r="1468" spans="1:7">
      <c r="A1468" s="6">
        <v>42924</v>
      </c>
      <c r="B1468" s="3" t="s">
        <v>13</v>
      </c>
      <c r="C1468" s="3" t="s">
        <v>14</v>
      </c>
      <c r="D1468" s="8" t="str">
        <f>HYPERLINK("http://npthd.inbcu.com/ViewContent.aspx?filename=NPMR_ABC_2017-07-08_E.MP4$1624$1654","Bachelorette")</f>
        <v>Bachelorette</v>
      </c>
      <c r="E1468" s="3" t="s">
        <v>38</v>
      </c>
      <c r="F1468" s="3" t="s">
        <v>1612</v>
      </c>
      <c r="G1468" s="3" t="s">
        <v>1613</v>
      </c>
    </row>
    <row r="1469" spans="1:7">
      <c r="A1469" s="6">
        <v>42924</v>
      </c>
      <c r="B1469" s="3" t="s">
        <v>13</v>
      </c>
      <c r="C1469" s="3" t="s">
        <v>32</v>
      </c>
      <c r="D1469" s="8" t="str">
        <f>HYPERLINK("http://npthd.inbcu.com/ViewContent.aspx?filename=NPMR_ABC_2017-07-08_E.MP4$1654$1716","LOCAL")</f>
        <v>LOCAL</v>
      </c>
      <c r="E1469" s="3" t="s">
        <v>257</v>
      </c>
      <c r="F1469" s="3" t="s">
        <v>1613</v>
      </c>
      <c r="G1469" s="3" t="s">
        <v>1614</v>
      </c>
    </row>
    <row r="1470" spans="1:7">
      <c r="A1470" s="6">
        <v>42924</v>
      </c>
      <c r="B1470" s="3" t="s">
        <v>13</v>
      </c>
      <c r="C1470" s="3" t="s">
        <v>18</v>
      </c>
      <c r="D1470" s="8" t="str">
        <f>HYPERLINK("http://npthd.inbcu.com/ViewContent.aspx?filename=NPMR_ABC_2017-07-08_E.MP4$1716$2327","20/20: IN AN INSTANT: frozen on the mountain")</f>
        <v>20/20: IN AN INSTANT: frozen on the mountain</v>
      </c>
      <c r="E1470" s="3" t="s">
        <v>1615</v>
      </c>
      <c r="F1470" s="3" t="s">
        <v>1614</v>
      </c>
      <c r="G1470" s="3" t="s">
        <v>1616</v>
      </c>
    </row>
    <row r="1471" spans="1:7">
      <c r="A1471" s="6">
        <v>42924</v>
      </c>
      <c r="B1471" s="3" t="s">
        <v>13</v>
      </c>
      <c r="C1471" s="3" t="s">
        <v>21</v>
      </c>
      <c r="D1471" s="8" t="str">
        <f>HYPERLINK("http://npthd.inbcu.com/ViewContent.aspx?filename=NPMR_ABC_2017-07-08_E.MP4$2327$2537","COMMERCIAL")</f>
        <v>COMMERCIAL</v>
      </c>
      <c r="E1471" s="3" t="s">
        <v>150</v>
      </c>
      <c r="F1471" s="3" t="s">
        <v>1616</v>
      </c>
      <c r="G1471" s="3" t="s">
        <v>1617</v>
      </c>
    </row>
    <row r="1472" spans="1:7">
      <c r="A1472" s="6">
        <v>42924</v>
      </c>
      <c r="B1472" s="3" t="s">
        <v>13</v>
      </c>
      <c r="C1472" s="3" t="s">
        <v>1618</v>
      </c>
      <c r="D1472" s="8" t="str">
        <f>HYPERLINK("http://npthd.inbcu.com/ViewContent.aspx?filename=NPMR_ABC_2017-07-08_E.MP4$2537$2567","PSA")</f>
        <v>PSA</v>
      </c>
      <c r="E1472" s="3" t="s">
        <v>38</v>
      </c>
      <c r="F1472" s="3" t="s">
        <v>1617</v>
      </c>
      <c r="G1472" s="3" t="s">
        <v>1619</v>
      </c>
    </row>
    <row r="1473" spans="1:7">
      <c r="A1473" s="6">
        <v>42924</v>
      </c>
      <c r="B1473" s="3" t="s">
        <v>13</v>
      </c>
      <c r="C1473" s="3" t="s">
        <v>14</v>
      </c>
      <c r="D1473" s="8" t="str">
        <f>HYPERLINK("http://npthd.inbcu.com/ViewContent.aspx?filename=NPMR_ABC_2017-07-08_E.MP4$2567$2597","ABC Sunday")</f>
        <v>ABC Sunday</v>
      </c>
      <c r="E1473" s="3" t="s">
        <v>38</v>
      </c>
      <c r="F1473" s="3" t="s">
        <v>1619</v>
      </c>
      <c r="G1473" s="3" t="s">
        <v>1620</v>
      </c>
    </row>
    <row r="1474" spans="1:7">
      <c r="A1474" s="6">
        <v>42924</v>
      </c>
      <c r="B1474" s="3" t="s">
        <v>13</v>
      </c>
      <c r="C1474" s="3" t="s">
        <v>14</v>
      </c>
      <c r="D1474" s="8" t="str">
        <f>HYPERLINK("http://npthd.inbcu.com/ViewContent.aspx?filename=NPMR_ABC_2017-07-08_E.MP4$2597$2627","Somewhere Between")</f>
        <v>Somewhere Between</v>
      </c>
      <c r="E1474" s="3" t="s">
        <v>38</v>
      </c>
      <c r="F1474" s="3" t="s">
        <v>1620</v>
      </c>
      <c r="G1474" s="3" t="s">
        <v>1621</v>
      </c>
    </row>
    <row r="1475" spans="1:7">
      <c r="A1475" s="6">
        <v>42924</v>
      </c>
      <c r="B1475" s="3" t="s">
        <v>13</v>
      </c>
      <c r="C1475" s="3" t="s">
        <v>18</v>
      </c>
      <c r="D1475" s="8" t="str">
        <f>HYPERLINK("http://npthd.inbcu.com/ViewContent.aspx?filename=NPMR_ABC_2017-07-08_E.MP4$2627$2988","20/20: IN AN INSTANT: frozen on the mountain")</f>
        <v>20/20: IN AN INSTANT: frozen on the mountain</v>
      </c>
      <c r="E1475" s="3" t="s">
        <v>222</v>
      </c>
      <c r="F1475" s="3" t="s">
        <v>1621</v>
      </c>
      <c r="G1475" s="3" t="s">
        <v>1622</v>
      </c>
    </row>
    <row r="1476" spans="1:7">
      <c r="A1476" s="6">
        <v>42924</v>
      </c>
      <c r="B1476" s="3" t="s">
        <v>13</v>
      </c>
      <c r="C1476" s="3" t="s">
        <v>21</v>
      </c>
      <c r="D1476" s="8" t="str">
        <f>HYPERLINK("http://npthd.inbcu.com/ViewContent.aspx?filename=NPMR_ABC_2017-07-08_E.MP4$2988$3078","COMMERCIAL")</f>
        <v>COMMERCIAL</v>
      </c>
      <c r="E1476" s="3" t="s">
        <v>46</v>
      </c>
      <c r="F1476" s="3" t="s">
        <v>1622</v>
      </c>
      <c r="G1476" s="3" t="s">
        <v>1623</v>
      </c>
    </row>
    <row r="1477" spans="1:7">
      <c r="A1477" s="6">
        <v>42924</v>
      </c>
      <c r="B1477" s="3" t="s">
        <v>13</v>
      </c>
      <c r="C1477" s="3" t="s">
        <v>14</v>
      </c>
      <c r="D1477" s="8" t="str">
        <f>HYPERLINK("http://npthd.inbcu.com/ViewContent.aspx?filename=NPMR_ABC_2017-07-08_E.MP4$3078$3108","World News Tonight")</f>
        <v>World News Tonight</v>
      </c>
      <c r="E1477" s="3" t="s">
        <v>38</v>
      </c>
      <c r="F1477" s="3" t="s">
        <v>1623</v>
      </c>
      <c r="G1477" s="3" t="s">
        <v>1624</v>
      </c>
    </row>
    <row r="1478" spans="1:7">
      <c r="A1478" s="6">
        <v>42924</v>
      </c>
      <c r="B1478" s="3" t="s">
        <v>13</v>
      </c>
      <c r="C1478" s="3" t="s">
        <v>14</v>
      </c>
      <c r="D1478" s="8" t="str">
        <f>HYPERLINK("http://npthd.inbcu.com/ViewContent.aspx?filename=NPMR_ABC_2017-07-08_E.MP4$3108$3123","This Week")</f>
        <v>This Week</v>
      </c>
      <c r="E1478" s="3" t="s">
        <v>30</v>
      </c>
      <c r="F1478" s="3" t="s">
        <v>1624</v>
      </c>
      <c r="G1478" s="3" t="s">
        <v>1625</v>
      </c>
    </row>
    <row r="1479" spans="1:7">
      <c r="A1479" s="6">
        <v>42924</v>
      </c>
      <c r="B1479" s="3" t="s">
        <v>13</v>
      </c>
      <c r="C1479" s="3" t="s">
        <v>14</v>
      </c>
      <c r="D1479" s="8" t="str">
        <f>HYPERLINK("http://npthd.inbcu.com/ViewContent.aspx?filename=NPMR_ABC_2017-07-08_E.MP4$3123$3153","Battle of the Network Stars")</f>
        <v>Battle of the Network Stars</v>
      </c>
      <c r="E1479" s="3" t="s">
        <v>38</v>
      </c>
      <c r="F1479" s="3" t="s">
        <v>1625</v>
      </c>
      <c r="G1479" s="3" t="s">
        <v>1626</v>
      </c>
    </row>
    <row r="1480" spans="1:7">
      <c r="A1480" s="6">
        <v>42924</v>
      </c>
      <c r="B1480" s="3" t="s">
        <v>13</v>
      </c>
      <c r="C1480" s="3" t="s">
        <v>32</v>
      </c>
      <c r="D1480" s="8" t="str">
        <f>HYPERLINK("http://npthd.inbcu.com/ViewContent.aspx?filename=NPMR_ABC_2017-07-08_E.MP4$3153$3246","LOCAL")</f>
        <v>LOCAL</v>
      </c>
      <c r="E1480" s="3" t="s">
        <v>955</v>
      </c>
      <c r="F1480" s="3" t="s">
        <v>1626</v>
      </c>
      <c r="G1480" s="3" t="s">
        <v>49</v>
      </c>
    </row>
    <row r="1481" spans="1:7">
      <c r="A1481" s="6">
        <v>42924</v>
      </c>
      <c r="B1481" s="3" t="s">
        <v>13</v>
      </c>
      <c r="C1481" s="3" t="s">
        <v>18</v>
      </c>
      <c r="D1481" s="8" t="str">
        <f>HYPERLINK("http://npthd.inbcu.com/ViewContent.aspx?filename=NPMR_ABC_2017-07-08_E.MP4$3246$3687","20/20: IN AN INSTANT: frozen on the mountain")</f>
        <v>20/20: IN AN INSTANT: frozen on the mountain</v>
      </c>
      <c r="E1481" s="3" t="s">
        <v>318</v>
      </c>
      <c r="F1481" s="3" t="s">
        <v>49</v>
      </c>
      <c r="G1481" s="3" t="s">
        <v>1627</v>
      </c>
    </row>
    <row r="1482" spans="1:7">
      <c r="A1482" s="6">
        <v>42924</v>
      </c>
      <c r="B1482" s="3" t="s">
        <v>13</v>
      </c>
      <c r="C1482" s="3" t="s">
        <v>21</v>
      </c>
      <c r="D1482" s="8" t="str">
        <f>HYPERLINK("http://npthd.inbcu.com/ViewContent.aspx?filename=NPMR_ABC_2017-07-08_E.MP4$3687$3868","COMMERCIAL")</f>
        <v>COMMERCIAL</v>
      </c>
      <c r="E1482" s="3" t="s">
        <v>108</v>
      </c>
      <c r="F1482" s="3" t="s">
        <v>1627</v>
      </c>
      <c r="G1482" s="3" t="s">
        <v>1628</v>
      </c>
    </row>
    <row r="1483" spans="1:7">
      <c r="A1483" s="6">
        <v>42924</v>
      </c>
      <c r="B1483" s="3" t="s">
        <v>13</v>
      </c>
      <c r="C1483" s="3" t="s">
        <v>14</v>
      </c>
      <c r="D1483" s="8" t="str">
        <f>HYPERLINK("http://npthd.inbcu.com/ViewContent.aspx?filename=NPMR_ABC_2017-07-08_E.MP4$3868$3883","Good Morning America")</f>
        <v>Good Morning America</v>
      </c>
      <c r="E1483" s="3" t="s">
        <v>30</v>
      </c>
      <c r="F1483" s="3" t="s">
        <v>1628</v>
      </c>
      <c r="G1483" s="3" t="s">
        <v>1629</v>
      </c>
    </row>
    <row r="1484" spans="1:7">
      <c r="A1484" s="6">
        <v>42924</v>
      </c>
      <c r="B1484" s="3" t="s">
        <v>13</v>
      </c>
      <c r="C1484" s="3" t="s">
        <v>14</v>
      </c>
      <c r="D1484" s="8" t="str">
        <f>HYPERLINK("http://npthd.inbcu.com/ViewContent.aspx?filename=NPMR_ABC_2017-07-08_E.MP4$3883$3898","Funderdome")</f>
        <v>Funderdome</v>
      </c>
      <c r="E1484" s="3" t="s">
        <v>30</v>
      </c>
      <c r="F1484" s="3" t="s">
        <v>1629</v>
      </c>
      <c r="G1484" s="3" t="s">
        <v>1630</v>
      </c>
    </row>
    <row r="1485" spans="1:7">
      <c r="A1485" s="6">
        <v>42924</v>
      </c>
      <c r="B1485" s="3" t="s">
        <v>13</v>
      </c>
      <c r="C1485" s="3" t="s">
        <v>14</v>
      </c>
      <c r="D1485" s="8" t="str">
        <f>HYPERLINK("http://npthd.inbcu.com/ViewContent.aspx?filename=NPMR_ABC_2017-07-08_E.MP4$3898$3928","General Hospital")</f>
        <v>General Hospital</v>
      </c>
      <c r="E1485" s="3" t="s">
        <v>38</v>
      </c>
      <c r="F1485" s="3" t="s">
        <v>1630</v>
      </c>
      <c r="G1485" s="3" t="s">
        <v>1631</v>
      </c>
    </row>
    <row r="1486" spans="1:7">
      <c r="A1486" s="6">
        <v>42924</v>
      </c>
      <c r="B1486" s="3" t="s">
        <v>13</v>
      </c>
      <c r="C1486" s="3" t="s">
        <v>32</v>
      </c>
      <c r="D1486" s="8" t="str">
        <f>HYPERLINK("http://npthd.inbcu.com/ViewContent.aspx?filename=NPMR_ABC_2017-07-08_E.MP4$3928$3933","LOCAL")</f>
        <v>LOCAL</v>
      </c>
      <c r="E1486" s="3" t="s">
        <v>54</v>
      </c>
      <c r="F1486" s="3" t="s">
        <v>1631</v>
      </c>
      <c r="G1486" s="3" t="s">
        <v>1632</v>
      </c>
    </row>
    <row r="1487" spans="1:7">
      <c r="A1487" s="6">
        <v>42924</v>
      </c>
      <c r="B1487" s="3" t="s">
        <v>13</v>
      </c>
      <c r="C1487" s="3" t="s">
        <v>18</v>
      </c>
      <c r="D1487" s="8" t="str">
        <f>HYPERLINK("http://npthd.inbcu.com/ViewContent.aspx?filename=NPMR_ABC_2017-07-08_E.MP4$3933$4434","20/20: IN AN INSTANT: frozen on the mountain")</f>
        <v>20/20: IN AN INSTANT: frozen on the mountain</v>
      </c>
      <c r="E1487" s="3" t="s">
        <v>1633</v>
      </c>
      <c r="F1487" s="3" t="s">
        <v>1632</v>
      </c>
      <c r="G1487" s="3" t="s">
        <v>1634</v>
      </c>
    </row>
    <row r="1488" spans="1:7">
      <c r="A1488" s="6">
        <v>42924</v>
      </c>
      <c r="B1488" s="3" t="s">
        <v>13</v>
      </c>
      <c r="C1488" s="3" t="s">
        <v>21</v>
      </c>
      <c r="D1488" s="8" t="str">
        <f>HYPERLINK("http://npthd.inbcu.com/ViewContent.aspx?filename=NPMR_ABC_2017-07-08_E.MP4$4434$4615","COMMERCIAL")</f>
        <v>COMMERCIAL</v>
      </c>
      <c r="E1488" s="3" t="s">
        <v>108</v>
      </c>
      <c r="F1488" s="3" t="s">
        <v>1634</v>
      </c>
      <c r="G1488" s="3" t="s">
        <v>1429</v>
      </c>
    </row>
    <row r="1489" spans="1:7">
      <c r="A1489" s="6">
        <v>42924</v>
      </c>
      <c r="B1489" s="3" t="s">
        <v>13</v>
      </c>
      <c r="C1489" s="3" t="s">
        <v>14</v>
      </c>
      <c r="D1489" s="8" t="str">
        <f>HYPERLINK("http://npthd.inbcu.com/ViewContent.aspx?filename=NPMR_ABC_2017-07-08_E.MP4$4615$4645","ABC Sunday")</f>
        <v>ABC Sunday</v>
      </c>
      <c r="E1489" s="3" t="s">
        <v>38</v>
      </c>
      <c r="F1489" s="3" t="s">
        <v>1429</v>
      </c>
      <c r="G1489" s="3" t="s">
        <v>1635</v>
      </c>
    </row>
    <row r="1490" spans="1:7">
      <c r="A1490" s="6">
        <v>42924</v>
      </c>
      <c r="B1490" s="3" t="s">
        <v>13</v>
      </c>
      <c r="C1490" s="3" t="s">
        <v>14</v>
      </c>
      <c r="D1490" s="8" t="str">
        <f>HYPERLINK("http://npthd.inbcu.com/ViewContent.aspx?filename=NPMR_ABC_2017-07-08_E.MP4$4645$4675","Espys")</f>
        <v>Espys</v>
      </c>
      <c r="E1490" s="3" t="s">
        <v>38</v>
      </c>
      <c r="F1490" s="3" t="s">
        <v>1635</v>
      </c>
      <c r="G1490" s="3" t="s">
        <v>1636</v>
      </c>
    </row>
    <row r="1491" spans="1:7">
      <c r="A1491" s="6">
        <v>42924</v>
      </c>
      <c r="B1491" s="3" t="s">
        <v>13</v>
      </c>
      <c r="C1491" s="3" t="s">
        <v>14</v>
      </c>
      <c r="D1491" s="8" t="str">
        <f>HYPERLINK("http://npthd.inbcu.com/ViewContent.aspx?filename=NPMR_ABC_2017-07-08_E.MP4$4675$4690","Jimmy Kimmel Live!")</f>
        <v>Jimmy Kimmel Live!</v>
      </c>
      <c r="E1491" s="3" t="s">
        <v>30</v>
      </c>
      <c r="F1491" s="3" t="s">
        <v>1636</v>
      </c>
      <c r="G1491" s="3" t="s">
        <v>1637</v>
      </c>
    </row>
    <row r="1492" spans="1:7">
      <c r="A1492" s="6">
        <v>42924</v>
      </c>
      <c r="B1492" s="3" t="s">
        <v>13</v>
      </c>
      <c r="C1492" s="3" t="s">
        <v>18</v>
      </c>
      <c r="D1492" s="8" t="str">
        <f>HYPERLINK("http://npthd.inbcu.com/ViewContent.aspx?filename=NPMR_ABC_2017-07-08_E.MP4$4690$5176","20/20: IN AN INSTANT: frozen on the mountain")</f>
        <v>20/20: IN AN INSTANT: frozen on the mountain</v>
      </c>
      <c r="E1492" s="3" t="s">
        <v>588</v>
      </c>
      <c r="F1492" s="3" t="s">
        <v>1637</v>
      </c>
      <c r="G1492" s="3" t="s">
        <v>1638</v>
      </c>
    </row>
    <row r="1493" spans="1:7">
      <c r="A1493" s="6">
        <v>42924</v>
      </c>
      <c r="B1493" s="3" t="s">
        <v>13</v>
      </c>
      <c r="C1493" s="3" t="s">
        <v>21</v>
      </c>
      <c r="D1493" s="8" t="str">
        <f>HYPERLINK("http://npthd.inbcu.com/ViewContent.aspx?filename=NPMR_ABC_2017-07-08_E.MP4$5176$5297","COMMERCIAL")</f>
        <v>COMMERCIAL</v>
      </c>
      <c r="E1493" s="3" t="s">
        <v>175</v>
      </c>
      <c r="F1493" s="3" t="s">
        <v>1638</v>
      </c>
      <c r="G1493" s="3" t="s">
        <v>1639</v>
      </c>
    </row>
    <row r="1494" spans="1:7">
      <c r="A1494" s="6">
        <v>42924</v>
      </c>
      <c r="B1494" s="3" t="s">
        <v>13</v>
      </c>
      <c r="C1494" s="3" t="s">
        <v>14</v>
      </c>
      <c r="D1494" s="8" t="str">
        <f>HYPERLINK("http://npthd.inbcu.com/ViewContent.aspx?filename=NPMR_ABC_2017-07-08_E.MP4$5297$5327","Bold Type (Freeform)")</f>
        <v>Bold Type (Freeform)</v>
      </c>
      <c r="E1494" s="3" t="s">
        <v>38</v>
      </c>
      <c r="F1494" s="3" t="s">
        <v>1639</v>
      </c>
      <c r="G1494" s="3" t="s">
        <v>813</v>
      </c>
    </row>
    <row r="1495" spans="1:7">
      <c r="A1495" s="6">
        <v>42924</v>
      </c>
      <c r="B1495" s="3" t="s">
        <v>13</v>
      </c>
      <c r="C1495" s="3" t="s">
        <v>14</v>
      </c>
      <c r="D1495" s="8" t="str">
        <f>HYPERLINK("http://npthd.inbcu.com/ViewContent.aspx?filename=NPMR_ABC_2017-07-08_E.MP4$5327$5357","Somewhere Between")</f>
        <v>Somewhere Between</v>
      </c>
      <c r="E1495" s="3" t="s">
        <v>38</v>
      </c>
      <c r="F1495" s="3" t="s">
        <v>813</v>
      </c>
      <c r="G1495" s="3" t="s">
        <v>1640</v>
      </c>
    </row>
    <row r="1496" spans="1:7">
      <c r="A1496" s="6">
        <v>42924</v>
      </c>
      <c r="B1496" s="3" t="s">
        <v>13</v>
      </c>
      <c r="C1496" s="3" t="s">
        <v>32</v>
      </c>
      <c r="D1496" s="8" t="str">
        <f>HYPERLINK("http://npthd.inbcu.com/ViewContent.aspx?filename=NPMR_ABC_2017-07-08_E.MP4$5357$5419","LOCAL")</f>
        <v>LOCAL</v>
      </c>
      <c r="E1496" s="3" t="s">
        <v>257</v>
      </c>
      <c r="F1496" s="3" t="s">
        <v>1640</v>
      </c>
      <c r="G1496" s="3" t="s">
        <v>1641</v>
      </c>
    </row>
    <row r="1497" spans="1:7">
      <c r="A1497" s="6">
        <v>42924</v>
      </c>
      <c r="B1497" s="3" t="s">
        <v>13</v>
      </c>
      <c r="C1497" s="3" t="s">
        <v>18</v>
      </c>
      <c r="D1497" s="8" t="str">
        <f>HYPERLINK("http://npthd.inbcu.com/ViewContent.aspx?filename=NPMR_ABC_2017-07-08_E.MP4$5419$5741","20/20: IN AN INSTANT: frozen on the mountain")</f>
        <v>20/20: IN AN INSTANT: frozen on the mountain</v>
      </c>
      <c r="E1497" s="3" t="s">
        <v>1642</v>
      </c>
      <c r="F1497" s="3" t="s">
        <v>1641</v>
      </c>
      <c r="G1497" s="3" t="s">
        <v>1643</v>
      </c>
    </row>
    <row r="1498" spans="1:7">
      <c r="A1498" s="6">
        <v>42924</v>
      </c>
      <c r="B1498" s="3" t="s">
        <v>13</v>
      </c>
      <c r="C1498" s="3" t="s">
        <v>21</v>
      </c>
      <c r="D1498" s="8" t="str">
        <f>HYPERLINK("http://npthd.inbcu.com/ViewContent.aspx?filename=NPMR_ABC_2017-07-08_E.MP4$5741$5802","COMMERCIAL")</f>
        <v>COMMERCIAL</v>
      </c>
      <c r="E1498" s="3" t="s">
        <v>33</v>
      </c>
      <c r="F1498" s="3" t="s">
        <v>1643</v>
      </c>
      <c r="G1498" s="3" t="s">
        <v>1644</v>
      </c>
    </row>
    <row r="1499" spans="1:7">
      <c r="A1499" s="6">
        <v>42924</v>
      </c>
      <c r="B1499" s="3" t="s">
        <v>13</v>
      </c>
      <c r="C1499" s="3" t="s">
        <v>14</v>
      </c>
      <c r="D1499" s="8" t="str">
        <f>HYPERLINK("http://npthd.inbcu.com/ViewContent.aspx?filename=NPMR_ABC_2017-07-08_E.MP4$5802$5832","What Would You Do?")</f>
        <v>What Would You Do?</v>
      </c>
      <c r="E1499" s="3" t="s">
        <v>38</v>
      </c>
      <c r="F1499" s="3" t="s">
        <v>1644</v>
      </c>
      <c r="G1499" s="3" t="s">
        <v>1645</v>
      </c>
    </row>
    <row r="1500" spans="1:7">
      <c r="A1500" s="6">
        <v>42924</v>
      </c>
      <c r="B1500" s="3" t="s">
        <v>13</v>
      </c>
      <c r="C1500" s="3" t="s">
        <v>14</v>
      </c>
      <c r="D1500" s="8" t="str">
        <f>HYPERLINK("http://npthd.inbcu.com/ViewContent.aspx?filename=NPMR_ABC_2017-07-08_E.MP4$5832$5862","Espys")</f>
        <v>Espys</v>
      </c>
      <c r="E1500" s="3" t="s">
        <v>38</v>
      </c>
      <c r="F1500" s="3" t="s">
        <v>1645</v>
      </c>
      <c r="G1500" s="3" t="s">
        <v>1646</v>
      </c>
    </row>
    <row r="1501" spans="1:7">
      <c r="A1501" s="6">
        <v>42924</v>
      </c>
      <c r="B1501" s="3" t="s">
        <v>13</v>
      </c>
      <c r="C1501" s="3" t="s">
        <v>14</v>
      </c>
      <c r="D1501" s="8" t="str">
        <f>HYPERLINK("http://npthd.inbcu.com/ViewContent.aspx?filename=NPMR_ABC_2017-07-08_E.MP4$5862$5892","Battle of the Network Stars")</f>
        <v>Battle of the Network Stars</v>
      </c>
      <c r="E1501" s="3" t="s">
        <v>38</v>
      </c>
      <c r="F1501" s="3" t="s">
        <v>1646</v>
      </c>
      <c r="G1501" s="3" t="s">
        <v>1647</v>
      </c>
    </row>
    <row r="1502" spans="1:7">
      <c r="A1502" s="6">
        <v>42924</v>
      </c>
      <c r="B1502" s="3" t="s">
        <v>13</v>
      </c>
      <c r="C1502" s="3" t="s">
        <v>32</v>
      </c>
      <c r="D1502" s="8" t="str">
        <f>HYPERLINK("http://npthd.inbcu.com/ViewContent.aspx?filename=NPMR_ABC_2017-07-08_E.MP4$5892$5983","LOCAL")</f>
        <v>LOCAL</v>
      </c>
      <c r="E1502" s="3" t="s">
        <v>77</v>
      </c>
      <c r="F1502" s="3" t="s">
        <v>1647</v>
      </c>
      <c r="G1502" s="3" t="s">
        <v>1648</v>
      </c>
    </row>
    <row r="1503" spans="1:7">
      <c r="A1503" s="6">
        <v>42924</v>
      </c>
      <c r="B1503" s="3" t="s">
        <v>13</v>
      </c>
      <c r="C1503" s="3" t="s">
        <v>18</v>
      </c>
      <c r="D1503" s="8" t="str">
        <f>HYPERLINK("http://npthd.inbcu.com/ViewContent.aspx?filename=NPMR_ABC_2017-07-08_E.MP4$5983$6444","20/20: IN AN INSTANT: frozen on the mountain")</f>
        <v>20/20: IN AN INSTANT: frozen on the mountain</v>
      </c>
      <c r="E1503" s="3" t="s">
        <v>1609</v>
      </c>
      <c r="F1503" s="3" t="s">
        <v>1648</v>
      </c>
      <c r="G1503" s="3" t="s">
        <v>1649</v>
      </c>
    </row>
    <row r="1504" spans="1:7">
      <c r="A1504" s="6">
        <v>42924</v>
      </c>
      <c r="B1504" s="3" t="s">
        <v>13</v>
      </c>
      <c r="C1504" s="3" t="s">
        <v>21</v>
      </c>
      <c r="D1504" s="8" t="str">
        <f>HYPERLINK("http://npthd.inbcu.com/ViewContent.aspx?filename=NPMR_ABC_2017-07-08_E.MP4$6444$6624","COMMERCIAL")</f>
        <v>COMMERCIAL</v>
      </c>
      <c r="E1504" s="3" t="s">
        <v>22</v>
      </c>
      <c r="F1504" s="3" t="s">
        <v>1649</v>
      </c>
      <c r="G1504" s="3" t="s">
        <v>1650</v>
      </c>
    </row>
    <row r="1505" spans="1:7">
      <c r="A1505" s="6">
        <v>42924</v>
      </c>
      <c r="B1505" s="3" t="s">
        <v>13</v>
      </c>
      <c r="C1505" s="3" t="s">
        <v>14</v>
      </c>
      <c r="D1505" s="8" t="str">
        <f>HYPERLINK("http://npthd.inbcu.com/ViewContent.aspx?filename=NPMR_ABC_2017-07-08_E.MP4$6624$6654","World News Tonight")</f>
        <v>World News Tonight</v>
      </c>
      <c r="E1505" s="3" t="s">
        <v>38</v>
      </c>
      <c r="F1505" s="3" t="s">
        <v>1650</v>
      </c>
      <c r="G1505" s="3" t="s">
        <v>1651</v>
      </c>
    </row>
    <row r="1506" spans="1:7">
      <c r="A1506" s="6">
        <v>42924</v>
      </c>
      <c r="B1506" s="3" t="s">
        <v>13</v>
      </c>
      <c r="C1506" s="3" t="s">
        <v>14</v>
      </c>
      <c r="D1506" s="8" t="str">
        <f>HYPERLINK("http://npthd.inbcu.com/ViewContent.aspx?filename=NPMR_ABC_2017-07-08_E.MP4$6654$6684","ABC Sunday")</f>
        <v>ABC Sunday</v>
      </c>
      <c r="E1506" s="3" t="s">
        <v>38</v>
      </c>
      <c r="F1506" s="3" t="s">
        <v>1651</v>
      </c>
      <c r="G1506" s="3" t="s">
        <v>1652</v>
      </c>
    </row>
    <row r="1507" spans="1:7">
      <c r="A1507" s="6">
        <v>42924</v>
      </c>
      <c r="B1507" s="3" t="s">
        <v>13</v>
      </c>
      <c r="C1507" s="3" t="s">
        <v>14</v>
      </c>
      <c r="D1507" s="8" t="str">
        <f>HYPERLINK("http://npthd.inbcu.com/ViewContent.aspx?filename=NPMR_ABC_2017-07-08_E.MP4$6684$6714","Bachelorette")</f>
        <v>Bachelorette</v>
      </c>
      <c r="E1507" s="3" t="s">
        <v>38</v>
      </c>
      <c r="F1507" s="3" t="s">
        <v>1652</v>
      </c>
      <c r="G1507" s="3" t="s">
        <v>1653</v>
      </c>
    </row>
    <row r="1508" spans="1:7">
      <c r="A1508" s="6">
        <v>42924</v>
      </c>
      <c r="B1508" s="3" t="s">
        <v>13</v>
      </c>
      <c r="C1508" s="3" t="s">
        <v>32</v>
      </c>
      <c r="D1508" s="8" t="str">
        <f>HYPERLINK("http://npthd.inbcu.com/ViewContent.aspx?filename=NPMR_ABC_2017-07-08_E.MP4$6714$6719","LOCAL")</f>
        <v>LOCAL</v>
      </c>
      <c r="E1508" s="3" t="s">
        <v>54</v>
      </c>
      <c r="F1508" s="3" t="s">
        <v>1653</v>
      </c>
      <c r="G1508" s="3" t="s">
        <v>1654</v>
      </c>
    </row>
    <row r="1509" spans="1:7">
      <c r="A1509" s="6">
        <v>42924</v>
      </c>
      <c r="B1509" s="3" t="s">
        <v>13</v>
      </c>
      <c r="C1509" s="3" t="s">
        <v>18</v>
      </c>
      <c r="D1509" s="8" t="str">
        <f>HYPERLINK("http://npthd.inbcu.com/ViewContent.aspx?filename=NPMR_ABC_2017-07-08_E.MP4$6719$7288","20/20: IN AN INSTANT: frozen on the mountain")</f>
        <v>20/20: IN AN INSTANT: frozen on the mountain</v>
      </c>
      <c r="E1509" s="3" t="s">
        <v>673</v>
      </c>
      <c r="F1509" s="3" t="s">
        <v>1654</v>
      </c>
      <c r="G1509" s="3" t="s">
        <v>1515</v>
      </c>
    </row>
    <row r="1510" spans="1:7">
      <c r="A1510" s="6">
        <v>42924</v>
      </c>
      <c r="B1510" s="3" t="s">
        <v>13</v>
      </c>
      <c r="C1510" s="3" t="s">
        <v>14</v>
      </c>
      <c r="D1510" s="8" t="str">
        <f>HYPERLINK("http://npthd.inbcu.com/ViewContent.aspx?filename=NPMR_ABC_2017-07-08_E.MP4$7288$7319","In An Instant")</f>
        <v>In An Instant</v>
      </c>
      <c r="E1510" s="3" t="s">
        <v>98</v>
      </c>
      <c r="F1510" s="3" t="s">
        <v>1515</v>
      </c>
      <c r="G1510" s="3" t="s">
        <v>87</v>
      </c>
    </row>
    <row r="1511" spans="1:7">
      <c r="A1511" s="6">
        <v>42924</v>
      </c>
      <c r="B1511" s="3" t="s">
        <v>13</v>
      </c>
      <c r="C1511" s="3" t="s">
        <v>14</v>
      </c>
      <c r="D1511" s="8" t="str">
        <f>HYPERLINK("http://npthd.inbcu.com/ViewContent.aspx?filename=NPMR_ABC_2017-07-08_E.MP4$7319$7323","Still Star Crossed")</f>
        <v>Still Star Crossed</v>
      </c>
      <c r="E1511" s="3" t="s">
        <v>84</v>
      </c>
      <c r="F1511" s="3" t="s">
        <v>87</v>
      </c>
      <c r="G1511" s="3" t="s">
        <v>395</v>
      </c>
    </row>
    <row r="1512" spans="1:7">
      <c r="A1512" s="6">
        <v>42924</v>
      </c>
      <c r="B1512" s="3" t="s">
        <v>13</v>
      </c>
      <c r="C1512" s="3" t="s">
        <v>18</v>
      </c>
      <c r="D1512" s="8" t="str">
        <f>HYPERLINK("http://npthd.inbcu.com/ViewContent.aspx?filename=NPMR_ABC_2017-07-08_E.MP4$7323$7718","STILL STAR CROSSED: pluck out the heart of my mystery")</f>
        <v>STILL STAR CROSSED: pluck out the heart of my mystery</v>
      </c>
      <c r="E1512" s="3" t="s">
        <v>1655</v>
      </c>
      <c r="F1512" s="3" t="s">
        <v>395</v>
      </c>
      <c r="G1512" s="3" t="s">
        <v>1656</v>
      </c>
    </row>
    <row r="1513" spans="1:7">
      <c r="A1513" s="6">
        <v>42924</v>
      </c>
      <c r="B1513" s="3" t="s">
        <v>13</v>
      </c>
      <c r="C1513" s="3" t="s">
        <v>21</v>
      </c>
      <c r="D1513" s="8" t="str">
        <f>HYPERLINK("http://npthd.inbcu.com/ViewContent.aspx?filename=NPMR_ABC_2017-07-08_E.MP4$7718$7869","COMMERCIAL")</f>
        <v>COMMERCIAL</v>
      </c>
      <c r="E1513" s="3" t="s">
        <v>91</v>
      </c>
      <c r="F1513" s="3" t="s">
        <v>1656</v>
      </c>
      <c r="G1513" s="3" t="s">
        <v>1657</v>
      </c>
    </row>
    <row r="1514" spans="1:7">
      <c r="A1514" s="6">
        <v>42924</v>
      </c>
      <c r="B1514" s="3" t="s">
        <v>13</v>
      </c>
      <c r="C1514" s="3" t="s">
        <v>14</v>
      </c>
      <c r="D1514" s="8" t="str">
        <f>HYPERLINK("http://npthd.inbcu.com/ViewContent.aspx?filename=NPMR_ABC_2017-07-08_E.MP4$7869$7899","Celebrity Family Feud")</f>
        <v>Celebrity Family Feud</v>
      </c>
      <c r="E1514" s="3" t="s">
        <v>38</v>
      </c>
      <c r="F1514" s="3" t="s">
        <v>1657</v>
      </c>
      <c r="G1514" s="3" t="s">
        <v>90</v>
      </c>
    </row>
    <row r="1515" spans="1:7">
      <c r="A1515" s="6">
        <v>42924</v>
      </c>
      <c r="B1515" s="3" t="s">
        <v>13</v>
      </c>
      <c r="C1515" s="3" t="s">
        <v>14</v>
      </c>
      <c r="D1515" s="8" t="str">
        <f>HYPERLINK("http://npthd.inbcu.com/ViewContent.aspx?filename=NPMR_ABC_2017-07-08_E.MP4$7899$7914","Bachelorette")</f>
        <v>Bachelorette</v>
      </c>
      <c r="E1515" s="3" t="s">
        <v>30</v>
      </c>
      <c r="F1515" s="3" t="s">
        <v>90</v>
      </c>
      <c r="G1515" s="3" t="s">
        <v>1658</v>
      </c>
    </row>
    <row r="1516" spans="1:7">
      <c r="A1516" s="6">
        <v>42924</v>
      </c>
      <c r="B1516" s="3" t="s">
        <v>13</v>
      </c>
      <c r="C1516" s="3" t="s">
        <v>18</v>
      </c>
      <c r="D1516" s="8" t="str">
        <f>HYPERLINK("http://npthd.inbcu.com/ViewContent.aspx?filename=NPMR_ABC_2017-07-08_E.MP4$7914$8469","STILL STAR CROSSED: pluck out the heart of my mystery")</f>
        <v>STILL STAR CROSSED: pluck out the heart of my mystery</v>
      </c>
      <c r="E1516" s="3" t="s">
        <v>1659</v>
      </c>
      <c r="F1516" s="3" t="s">
        <v>1658</v>
      </c>
      <c r="G1516" s="3" t="s">
        <v>1660</v>
      </c>
    </row>
    <row r="1517" spans="1:7">
      <c r="A1517" s="6">
        <v>42924</v>
      </c>
      <c r="B1517" s="3" t="s">
        <v>13</v>
      </c>
      <c r="C1517" s="3" t="s">
        <v>14</v>
      </c>
      <c r="D1517" s="8" t="str">
        <f>HYPERLINK("http://npthd.inbcu.com/ViewContent.aspx?filename=NPMR_ABC_2017-07-08_E.MP4$8469$8474","Espys")</f>
        <v>Espys</v>
      </c>
      <c r="E1517" s="3" t="s">
        <v>54</v>
      </c>
      <c r="F1517" s="3" t="s">
        <v>1660</v>
      </c>
      <c r="G1517" s="3" t="s">
        <v>1661</v>
      </c>
    </row>
    <row r="1518" spans="1:7">
      <c r="A1518" s="6">
        <v>42924</v>
      </c>
      <c r="B1518" s="3" t="s">
        <v>13</v>
      </c>
      <c r="C1518" s="3" t="s">
        <v>21</v>
      </c>
      <c r="D1518" s="8" t="str">
        <f>HYPERLINK("http://npthd.inbcu.com/ViewContent.aspx?filename=NPMR_ABC_2017-07-08_E.MP4$8474$8685","COMMERCIAL")</f>
        <v>COMMERCIAL</v>
      </c>
      <c r="E1518" s="3" t="s">
        <v>334</v>
      </c>
      <c r="F1518" s="3" t="s">
        <v>1661</v>
      </c>
      <c r="G1518" s="3" t="s">
        <v>1662</v>
      </c>
    </row>
    <row r="1519" spans="1:7">
      <c r="A1519" s="6">
        <v>42924</v>
      </c>
      <c r="B1519" s="3" t="s">
        <v>13</v>
      </c>
      <c r="C1519" s="3" t="s">
        <v>14</v>
      </c>
      <c r="D1519" s="8" t="str">
        <f>HYPERLINK("http://npthd.inbcu.com/ViewContent.aspx?filename=NPMR_ABC_2017-07-08_E.MP4$8685$8715","Somewhere Between")</f>
        <v>Somewhere Between</v>
      </c>
      <c r="E1519" s="3" t="s">
        <v>38</v>
      </c>
      <c r="F1519" s="3" t="s">
        <v>1662</v>
      </c>
      <c r="G1519" s="3" t="s">
        <v>1663</v>
      </c>
    </row>
    <row r="1520" spans="1:7">
      <c r="A1520" s="6">
        <v>42924</v>
      </c>
      <c r="B1520" s="3" t="s">
        <v>13</v>
      </c>
      <c r="C1520" s="3" t="s">
        <v>18</v>
      </c>
      <c r="D1520" s="8" t="str">
        <f>HYPERLINK("http://npthd.inbcu.com/ViewContent.aspx?filename=NPMR_ABC_2017-07-08_E.MP4$8715$9014","STILL STAR CROSSED: pluck out the heart of my mystery")</f>
        <v>STILL STAR CROSSED: pluck out the heart of my mystery</v>
      </c>
      <c r="E1520" s="3" t="s">
        <v>1522</v>
      </c>
      <c r="F1520" s="3" t="s">
        <v>1663</v>
      </c>
      <c r="G1520" s="3" t="s">
        <v>1664</v>
      </c>
    </row>
    <row r="1521" spans="1:7">
      <c r="A1521" s="6">
        <v>42924</v>
      </c>
      <c r="B1521" s="3" t="s">
        <v>13</v>
      </c>
      <c r="C1521" s="3" t="s">
        <v>21</v>
      </c>
      <c r="D1521" s="8" t="str">
        <f>HYPERLINK("http://npthd.inbcu.com/ViewContent.aspx?filename=NPMR_ABC_2017-07-08_E.MP4$9014$9105","COMMERCIAL")</f>
        <v>COMMERCIAL</v>
      </c>
      <c r="E1521" s="3" t="s">
        <v>77</v>
      </c>
      <c r="F1521" s="3" t="s">
        <v>1664</v>
      </c>
      <c r="G1521" s="3" t="s">
        <v>1665</v>
      </c>
    </row>
    <row r="1522" spans="1:7">
      <c r="A1522" s="6">
        <v>42924</v>
      </c>
      <c r="B1522" s="3" t="s">
        <v>13</v>
      </c>
      <c r="C1522" s="3" t="s">
        <v>14</v>
      </c>
      <c r="D1522" s="8" t="str">
        <f>HYPERLINK("http://npthd.inbcu.com/ViewContent.aspx?filename=NPMR_ABC_2017-07-08_E.MP4$9105$9135","Bold Type (Freeform)")</f>
        <v>Bold Type (Freeform)</v>
      </c>
      <c r="E1522" s="3" t="s">
        <v>38</v>
      </c>
      <c r="F1522" s="3" t="s">
        <v>1665</v>
      </c>
      <c r="G1522" s="3" t="s">
        <v>1666</v>
      </c>
    </row>
    <row r="1523" spans="1:7">
      <c r="A1523" s="6">
        <v>42924</v>
      </c>
      <c r="B1523" s="3" t="s">
        <v>13</v>
      </c>
      <c r="C1523" s="3" t="s">
        <v>32</v>
      </c>
      <c r="D1523" s="8" t="str">
        <f>HYPERLINK("http://npthd.inbcu.com/ViewContent.aspx?filename=NPMR_ABC_2017-07-08_E.MP4$9135$9242","LOCAL")</f>
        <v>LOCAL</v>
      </c>
      <c r="E1523" s="3" t="s">
        <v>104</v>
      </c>
      <c r="F1523" s="3" t="s">
        <v>1666</v>
      </c>
      <c r="G1523" s="3" t="s">
        <v>1667</v>
      </c>
    </row>
    <row r="1524" spans="1:7">
      <c r="A1524" s="6">
        <v>42924</v>
      </c>
      <c r="B1524" s="3" t="s">
        <v>13</v>
      </c>
      <c r="C1524" s="3" t="s">
        <v>18</v>
      </c>
      <c r="D1524" s="8" t="str">
        <f>HYPERLINK("http://npthd.inbcu.com/ViewContent.aspx?filename=NPMR_ABC_2017-07-08_E.MP4$9242$9577","STILL STAR CROSSED: pluck out the heart of my mystery")</f>
        <v>STILL STAR CROSSED: pluck out the heart of my mystery</v>
      </c>
      <c r="E1524" s="3" t="s">
        <v>1668</v>
      </c>
      <c r="F1524" s="3" t="s">
        <v>1667</v>
      </c>
      <c r="G1524" s="3" t="s">
        <v>1669</v>
      </c>
    </row>
    <row r="1525" spans="1:7">
      <c r="A1525" s="6">
        <v>42924</v>
      </c>
      <c r="B1525" s="3" t="s">
        <v>13</v>
      </c>
      <c r="C1525" s="3" t="s">
        <v>21</v>
      </c>
      <c r="D1525" s="8" t="str">
        <f>HYPERLINK("http://npthd.inbcu.com/ViewContent.aspx?filename=NPMR_ABC_2017-07-08_E.MP4$9577$9668","COMMERCIAL")</f>
        <v>COMMERCIAL</v>
      </c>
      <c r="E1525" s="3" t="s">
        <v>77</v>
      </c>
      <c r="F1525" s="3" t="s">
        <v>1669</v>
      </c>
      <c r="G1525" s="3" t="s">
        <v>1670</v>
      </c>
    </row>
    <row r="1526" spans="1:7">
      <c r="A1526" s="6">
        <v>42924</v>
      </c>
      <c r="B1526" s="3" t="s">
        <v>13</v>
      </c>
      <c r="C1526" s="3" t="s">
        <v>14</v>
      </c>
      <c r="D1526" s="8" t="str">
        <f>HYPERLINK("http://npthd.inbcu.com/ViewContent.aspx?filename=NPMR_ABC_2017-07-08_E.MP4$9668$9698","Espys")</f>
        <v>Espys</v>
      </c>
      <c r="E1526" s="3" t="s">
        <v>38</v>
      </c>
      <c r="F1526" s="3" t="s">
        <v>1670</v>
      </c>
      <c r="G1526" s="3" t="s">
        <v>1671</v>
      </c>
    </row>
    <row r="1527" spans="1:7">
      <c r="A1527" s="6">
        <v>42924</v>
      </c>
      <c r="B1527" s="3" t="s">
        <v>13</v>
      </c>
      <c r="C1527" s="3" t="s">
        <v>32</v>
      </c>
      <c r="D1527" s="8" t="str">
        <f>HYPERLINK("http://npthd.inbcu.com/ViewContent.aspx?filename=NPMR_ABC_2017-07-08_E.MP4$9698$9789","LOCAL")</f>
        <v>LOCAL</v>
      </c>
      <c r="E1527" s="3" t="s">
        <v>77</v>
      </c>
      <c r="F1527" s="3" t="s">
        <v>1671</v>
      </c>
      <c r="G1527" s="3" t="s">
        <v>590</v>
      </c>
    </row>
    <row r="1528" spans="1:7">
      <c r="A1528" s="6">
        <v>42924</v>
      </c>
      <c r="B1528" s="3" t="s">
        <v>13</v>
      </c>
      <c r="C1528" s="3" t="s">
        <v>18</v>
      </c>
      <c r="D1528" s="8" t="str">
        <f>HYPERLINK("http://npthd.inbcu.com/ViewContent.aspx?filename=NPMR_ABC_2017-07-08_E.MP4$9789$10253","STILL STAR CROSSED: pluck out the heart of my mystery")</f>
        <v>STILL STAR CROSSED: pluck out the heart of my mystery</v>
      </c>
      <c r="E1528" s="3" t="s">
        <v>1582</v>
      </c>
      <c r="F1528" s="3" t="s">
        <v>590</v>
      </c>
      <c r="G1528" s="3" t="s">
        <v>1672</v>
      </c>
    </row>
    <row r="1529" spans="1:7">
      <c r="A1529" s="6">
        <v>42924</v>
      </c>
      <c r="B1529" s="3" t="s">
        <v>13</v>
      </c>
      <c r="C1529" s="3" t="s">
        <v>32</v>
      </c>
      <c r="D1529" s="8" t="str">
        <f>HYPERLINK("http://npthd.inbcu.com/ViewContent.aspx?filename=NPMR_ABC_2017-07-08_E.MP4$10253$10269","LOCAL")</f>
        <v>LOCAL</v>
      </c>
      <c r="E1529" s="3" t="s">
        <v>64</v>
      </c>
      <c r="F1529" s="3" t="s">
        <v>1672</v>
      </c>
      <c r="G1529" s="3" t="s">
        <v>769</v>
      </c>
    </row>
    <row r="1530" spans="1:7">
      <c r="A1530" s="6">
        <v>42924</v>
      </c>
      <c r="B1530" s="3" t="s">
        <v>13</v>
      </c>
      <c r="C1530" s="3" t="s">
        <v>21</v>
      </c>
      <c r="D1530" s="8" t="str">
        <f>HYPERLINK("http://npthd.inbcu.com/ViewContent.aspx?filename=NPMR_ABC_2017-07-08_E.MP4$10269$10419","COMMERCIAL")</f>
        <v>COMMERCIAL</v>
      </c>
      <c r="E1530" s="3" t="s">
        <v>28</v>
      </c>
      <c r="F1530" s="3" t="s">
        <v>769</v>
      </c>
      <c r="G1530" s="3" t="s">
        <v>936</v>
      </c>
    </row>
    <row r="1531" spans="1:7">
      <c r="A1531" s="6">
        <v>42924</v>
      </c>
      <c r="B1531" s="3" t="s">
        <v>13</v>
      </c>
      <c r="C1531" s="3" t="s">
        <v>14</v>
      </c>
      <c r="D1531" s="8" t="str">
        <f>HYPERLINK("http://npthd.inbcu.com/ViewContent.aspx?filename=NPMR_ABC_2017-07-08_E.MP4$10419$10434","Jimmy Kimmel Live!")</f>
        <v>Jimmy Kimmel Live!</v>
      </c>
      <c r="E1531" s="3" t="s">
        <v>30</v>
      </c>
      <c r="F1531" s="3" t="s">
        <v>936</v>
      </c>
      <c r="G1531" s="3" t="s">
        <v>1673</v>
      </c>
    </row>
    <row r="1532" spans="1:7">
      <c r="A1532" s="6">
        <v>42924</v>
      </c>
      <c r="B1532" s="3" t="s">
        <v>13</v>
      </c>
      <c r="C1532" s="3" t="s">
        <v>18</v>
      </c>
      <c r="D1532" s="8" t="str">
        <f>HYPERLINK("http://npthd.inbcu.com/ViewContent.aspx?filename=NPMR_ABC_2017-07-08_E.MP4$10434$10873","STILL STAR CROSSED: pluck out the heart of my mystery")</f>
        <v>STILL STAR CROSSED: pluck out the heart of my mystery</v>
      </c>
      <c r="E1532" s="3" t="s">
        <v>1674</v>
      </c>
      <c r="F1532" s="3" t="s">
        <v>1673</v>
      </c>
      <c r="G1532" s="3" t="s">
        <v>310</v>
      </c>
    </row>
    <row r="1533" spans="1:7">
      <c r="A1533" s="6">
        <v>42924</v>
      </c>
      <c r="B1533" s="3" t="s">
        <v>13</v>
      </c>
      <c r="C1533" s="3" t="s">
        <v>14</v>
      </c>
      <c r="D1533" s="8" t="str">
        <f>HYPERLINK("http://npthd.inbcu.com/ViewContent.aspx?filename=NPMR_ABC_2017-07-08_E.MP4$10873$10903","Still Star Crossed")</f>
        <v>Still Star Crossed</v>
      </c>
      <c r="E1533" s="3" t="s">
        <v>38</v>
      </c>
      <c r="F1533" s="3" t="s">
        <v>310</v>
      </c>
      <c r="G1533" s="3" t="s">
        <v>123</v>
      </c>
    </row>
    <row r="1534" spans="1:7">
      <c r="A1534" s="6">
        <v>42924</v>
      </c>
      <c r="B1534" s="3" t="s">
        <v>13</v>
      </c>
      <c r="C1534" s="3" t="s">
        <v>32</v>
      </c>
      <c r="D1534" s="8" t="str">
        <f>HYPERLINK("http://npthd.inbcu.com/ViewContent.aspx?filename=NPMR_ABC_2017-07-08_E.MP4$10903$10918","LOCAL")</f>
        <v>LOCAL</v>
      </c>
      <c r="E1534" s="3" t="s">
        <v>30</v>
      </c>
      <c r="F1534" s="3" t="s">
        <v>123</v>
      </c>
      <c r="G1534" s="3" t="s">
        <v>124</v>
      </c>
    </row>
    <row r="1535" spans="1:7">
      <c r="A1535" s="6">
        <v>42925</v>
      </c>
      <c r="B1535" s="3" t="s">
        <v>13</v>
      </c>
      <c r="C1535" s="3" t="s">
        <v>14</v>
      </c>
      <c r="D1535" s="8" t="str">
        <f>HYPERLINK("http://npthd.inbcu.com/ViewContent.aspx?filename=NPMR_ABC_2017-07-09_E.MP4$105$110","ABC Open")</f>
        <v>ABC Open</v>
      </c>
      <c r="E1535" s="3" t="s">
        <v>54</v>
      </c>
      <c r="F1535" s="3" t="s">
        <v>311</v>
      </c>
      <c r="G1535" s="3" t="s">
        <v>312</v>
      </c>
    </row>
    <row r="1536" spans="1:7">
      <c r="A1536" s="6">
        <v>42925</v>
      </c>
      <c r="B1536" s="3" t="s">
        <v>13</v>
      </c>
      <c r="C1536" s="3" t="s">
        <v>18</v>
      </c>
      <c r="D1536" s="8" t="str">
        <f>HYPERLINK("http://npthd.inbcu.com/ViewContent.aspx?filename=NPMR_ABC_2017-07-09_E.MP4$110$653","AMERICAS FUNNIEST HOME VIDEOS: 2715")</f>
        <v>AMERICAS FUNNIEST HOME VIDEOS: 2715</v>
      </c>
      <c r="E1536" s="3" t="s">
        <v>148</v>
      </c>
      <c r="F1536" s="3" t="s">
        <v>312</v>
      </c>
      <c r="G1536" s="3" t="s">
        <v>1675</v>
      </c>
    </row>
    <row r="1537" spans="1:7">
      <c r="A1537" s="6">
        <v>42925</v>
      </c>
      <c r="B1537" s="3" t="s">
        <v>13</v>
      </c>
      <c r="C1537" s="3" t="s">
        <v>21</v>
      </c>
      <c r="D1537" s="8" t="str">
        <f>HYPERLINK("http://npthd.inbcu.com/ViewContent.aspx?filename=NPMR_ABC_2017-07-09_E.MP4$653$744","COMMERCIAL")</f>
        <v>COMMERCIAL</v>
      </c>
      <c r="E1537" s="3" t="s">
        <v>77</v>
      </c>
      <c r="F1537" s="3" t="s">
        <v>1675</v>
      </c>
      <c r="G1537" s="3" t="s">
        <v>1676</v>
      </c>
    </row>
    <row r="1538" spans="1:7">
      <c r="A1538" s="6">
        <v>42925</v>
      </c>
      <c r="B1538" s="3" t="s">
        <v>13</v>
      </c>
      <c r="C1538" s="3" t="s">
        <v>14</v>
      </c>
      <c r="D1538" s="8" t="str">
        <f>HYPERLINK("http://npthd.inbcu.com/ViewContent.aspx?filename=NPMR_ABC_2017-07-09_E.MP4$744$758","World News Tonight")</f>
        <v>World News Tonight</v>
      </c>
      <c r="E1538" s="3" t="s">
        <v>342</v>
      </c>
      <c r="F1538" s="3" t="s">
        <v>1676</v>
      </c>
      <c r="G1538" s="3" t="s">
        <v>1677</v>
      </c>
    </row>
    <row r="1539" spans="1:7">
      <c r="A1539" s="6">
        <v>42925</v>
      </c>
      <c r="B1539" s="3" t="s">
        <v>13</v>
      </c>
      <c r="C1539" s="3" t="s">
        <v>14</v>
      </c>
      <c r="D1539" s="8" t="str">
        <f>HYPERLINK("http://npthd.inbcu.com/ViewContent.aspx?filename=NPMR_ABC_2017-07-09_E.MP4$758$774","Espys")</f>
        <v>Espys</v>
      </c>
      <c r="E1539" s="3" t="s">
        <v>64</v>
      </c>
      <c r="F1539" s="3" t="s">
        <v>1677</v>
      </c>
      <c r="G1539" s="3" t="s">
        <v>1678</v>
      </c>
    </row>
    <row r="1540" spans="1:7">
      <c r="A1540" s="6">
        <v>42925</v>
      </c>
      <c r="B1540" s="3" t="s">
        <v>13</v>
      </c>
      <c r="C1540" s="3" t="s">
        <v>18</v>
      </c>
      <c r="D1540" s="8" t="str">
        <f>HYPERLINK("http://npthd.inbcu.com/ViewContent.aspx?filename=NPMR_ABC_2017-07-09_E.MP4$774$1186","AMERICAS FUNNIEST HOME VIDEOS: 2715")</f>
        <v>AMERICAS FUNNIEST HOME VIDEOS: 2715</v>
      </c>
      <c r="E1540" s="3" t="s">
        <v>1125</v>
      </c>
      <c r="F1540" s="3" t="s">
        <v>1678</v>
      </c>
      <c r="G1540" s="3" t="s">
        <v>1679</v>
      </c>
    </row>
    <row r="1541" spans="1:7">
      <c r="A1541" s="6">
        <v>42925</v>
      </c>
      <c r="B1541" s="3" t="s">
        <v>13</v>
      </c>
      <c r="C1541" s="3" t="s">
        <v>21</v>
      </c>
      <c r="D1541" s="8" t="str">
        <f>HYPERLINK("http://npthd.inbcu.com/ViewContent.aspx?filename=NPMR_ABC_2017-07-09_E.MP4$1186$1276","COMMERCIAL")</f>
        <v>COMMERCIAL</v>
      </c>
      <c r="E1541" s="3" t="s">
        <v>46</v>
      </c>
      <c r="F1541" s="3" t="s">
        <v>1679</v>
      </c>
      <c r="G1541" s="3" t="s">
        <v>1680</v>
      </c>
    </row>
    <row r="1542" spans="1:7">
      <c r="A1542" s="6">
        <v>42925</v>
      </c>
      <c r="B1542" s="3" t="s">
        <v>13</v>
      </c>
      <c r="C1542" s="3" t="s">
        <v>14</v>
      </c>
      <c r="D1542" s="8" t="str">
        <f>HYPERLINK("http://npthd.inbcu.com/ViewContent.aspx?filename=NPMR_ABC_2017-07-09_E.MP4$1276$1306","Bold Type (Freeform)")</f>
        <v>Bold Type (Freeform)</v>
      </c>
      <c r="E1542" s="3" t="s">
        <v>38</v>
      </c>
      <c r="F1542" s="3" t="s">
        <v>1680</v>
      </c>
      <c r="G1542" s="3" t="s">
        <v>1681</v>
      </c>
    </row>
    <row r="1543" spans="1:7">
      <c r="A1543" s="6">
        <v>42925</v>
      </c>
      <c r="B1543" s="3" t="s">
        <v>13</v>
      </c>
      <c r="C1543" s="3" t="s">
        <v>32</v>
      </c>
      <c r="D1543" s="8" t="str">
        <f>HYPERLINK("http://npthd.inbcu.com/ViewContent.aspx?filename=NPMR_ABC_2017-07-09_E.MP4$1306$1397","LOCAL")</f>
        <v>LOCAL</v>
      </c>
      <c r="E1543" s="3" t="s">
        <v>77</v>
      </c>
      <c r="F1543" s="3" t="s">
        <v>1681</v>
      </c>
      <c r="G1543" s="3" t="s">
        <v>1682</v>
      </c>
    </row>
    <row r="1544" spans="1:7">
      <c r="A1544" s="6">
        <v>42925</v>
      </c>
      <c r="B1544" s="3" t="s">
        <v>13</v>
      </c>
      <c r="C1544" s="3" t="s">
        <v>18</v>
      </c>
      <c r="D1544" s="8" t="str">
        <f>HYPERLINK("http://npthd.inbcu.com/ViewContent.aspx?filename=NPMR_ABC_2017-07-09_E.MP4$1397$1853","AMERICAS FUNNIEST HOME VIDEOS: 2715")</f>
        <v>AMERICAS FUNNIEST HOME VIDEOS: 2715</v>
      </c>
      <c r="E1544" s="3" t="s">
        <v>1683</v>
      </c>
      <c r="F1544" s="3" t="s">
        <v>1682</v>
      </c>
      <c r="G1544" s="3" t="s">
        <v>1684</v>
      </c>
    </row>
    <row r="1545" spans="1:7">
      <c r="A1545" s="6">
        <v>42925</v>
      </c>
      <c r="B1545" s="3" t="s">
        <v>13</v>
      </c>
      <c r="C1545" s="3" t="s">
        <v>21</v>
      </c>
      <c r="D1545" s="8" t="str">
        <f>HYPERLINK("http://npthd.inbcu.com/ViewContent.aspx?filename=NPMR_ABC_2017-07-09_E.MP4$1853$2033","COMMERCIAL")</f>
        <v>COMMERCIAL</v>
      </c>
      <c r="E1545" s="3" t="s">
        <v>22</v>
      </c>
      <c r="F1545" s="3" t="s">
        <v>1684</v>
      </c>
      <c r="G1545" s="3" t="s">
        <v>1685</v>
      </c>
    </row>
    <row r="1546" spans="1:7">
      <c r="A1546" s="6">
        <v>42925</v>
      </c>
      <c r="B1546" s="3" t="s">
        <v>13</v>
      </c>
      <c r="C1546" s="3" t="s">
        <v>14</v>
      </c>
      <c r="D1546" s="8" t="str">
        <f>HYPERLINK("http://npthd.inbcu.com/ViewContent.aspx?filename=NPMR_ABC_2017-07-09_E.MP4$2033$2063","Espys")</f>
        <v>Espys</v>
      </c>
      <c r="E1546" s="3" t="s">
        <v>38</v>
      </c>
      <c r="F1546" s="3" t="s">
        <v>1685</v>
      </c>
      <c r="G1546" s="3" t="s">
        <v>1686</v>
      </c>
    </row>
    <row r="1547" spans="1:7">
      <c r="A1547" s="6">
        <v>42925</v>
      </c>
      <c r="B1547" s="3" t="s">
        <v>13</v>
      </c>
      <c r="C1547" s="3" t="s">
        <v>18</v>
      </c>
      <c r="D1547" s="8" t="str">
        <f>HYPERLINK("http://npthd.inbcu.com/ViewContent.aspx?filename=NPMR_ABC_2017-07-09_E.MP4$2063$2486","AMERICAS FUNNIEST HOME VIDEOS: 2715")</f>
        <v>AMERICAS FUNNIEST HOME VIDEOS: 2715</v>
      </c>
      <c r="E1547" s="3" t="s">
        <v>598</v>
      </c>
      <c r="F1547" s="3" t="s">
        <v>1686</v>
      </c>
      <c r="G1547" s="3" t="s">
        <v>1687</v>
      </c>
    </row>
    <row r="1548" spans="1:7">
      <c r="A1548" s="6">
        <v>42925</v>
      </c>
      <c r="B1548" s="3" t="s">
        <v>13</v>
      </c>
      <c r="C1548" s="3" t="s">
        <v>21</v>
      </c>
      <c r="D1548" s="8" t="str">
        <f>HYPERLINK("http://npthd.inbcu.com/ViewContent.aspx?filename=NPMR_ABC_2017-07-09_E.MP4$2486$2637","COMMERCIAL")</f>
        <v>COMMERCIAL</v>
      </c>
      <c r="E1548" s="3" t="s">
        <v>91</v>
      </c>
      <c r="F1548" s="3" t="s">
        <v>1687</v>
      </c>
      <c r="G1548" s="3" t="s">
        <v>1688</v>
      </c>
    </row>
    <row r="1549" spans="1:7">
      <c r="A1549" s="6">
        <v>42925</v>
      </c>
      <c r="B1549" s="3" t="s">
        <v>13</v>
      </c>
      <c r="C1549" s="3" t="s">
        <v>14</v>
      </c>
      <c r="D1549" s="8" t="str">
        <f>HYPERLINK("http://npthd.inbcu.com/ViewContent.aspx?filename=NPMR_ABC_2017-07-09_E.MP4$2637$2667","Battle of the Network Stars")</f>
        <v>Battle of the Network Stars</v>
      </c>
      <c r="E1549" s="3" t="s">
        <v>38</v>
      </c>
      <c r="F1549" s="3" t="s">
        <v>1688</v>
      </c>
      <c r="G1549" s="3" t="s">
        <v>1689</v>
      </c>
    </row>
    <row r="1550" spans="1:7">
      <c r="A1550" s="6">
        <v>42925</v>
      </c>
      <c r="B1550" s="3" t="s">
        <v>13</v>
      </c>
      <c r="C1550" s="3" t="s">
        <v>32</v>
      </c>
      <c r="D1550" s="8" t="str">
        <f>HYPERLINK("http://npthd.inbcu.com/ViewContent.aspx?filename=NPMR_ABC_2017-07-09_E.MP4$2667$2758","LOCAL")</f>
        <v>LOCAL</v>
      </c>
      <c r="E1550" s="3" t="s">
        <v>77</v>
      </c>
      <c r="F1550" s="3" t="s">
        <v>1689</v>
      </c>
      <c r="G1550" s="3" t="s">
        <v>1690</v>
      </c>
    </row>
    <row r="1551" spans="1:7">
      <c r="A1551" s="6">
        <v>42925</v>
      </c>
      <c r="B1551" s="3" t="s">
        <v>13</v>
      </c>
      <c r="C1551" s="3" t="s">
        <v>18</v>
      </c>
      <c r="D1551" s="8" t="str">
        <f>HYPERLINK("http://npthd.inbcu.com/ViewContent.aspx?filename=NPMR_ABC_2017-07-09_E.MP4$2758$3165","AMERICAS FUNNIEST HOME VIDEOS: 2715")</f>
        <v>AMERICAS FUNNIEST HOME VIDEOS: 2715</v>
      </c>
      <c r="E1551" s="3" t="s">
        <v>1464</v>
      </c>
      <c r="F1551" s="3" t="s">
        <v>1690</v>
      </c>
      <c r="G1551" s="3" t="s">
        <v>1691</v>
      </c>
    </row>
    <row r="1552" spans="1:7">
      <c r="A1552" s="6">
        <v>42925</v>
      </c>
      <c r="B1552" s="3" t="s">
        <v>13</v>
      </c>
      <c r="C1552" s="3" t="s">
        <v>21</v>
      </c>
      <c r="D1552" s="8" t="str">
        <f>HYPERLINK("http://npthd.inbcu.com/ViewContent.aspx?filename=NPMR_ABC_2017-07-09_E.MP4$3165$3375","COMMERCIAL")</f>
        <v>COMMERCIAL</v>
      </c>
      <c r="E1552" s="3" t="s">
        <v>150</v>
      </c>
      <c r="F1552" s="3" t="s">
        <v>1691</v>
      </c>
      <c r="G1552" s="3" t="s">
        <v>337</v>
      </c>
    </row>
    <row r="1553" spans="1:7">
      <c r="A1553" s="6">
        <v>42925</v>
      </c>
      <c r="B1553" s="3" t="s">
        <v>13</v>
      </c>
      <c r="C1553" s="3" t="s">
        <v>14</v>
      </c>
      <c r="D1553" s="8" t="str">
        <f>HYPERLINK("http://npthd.inbcu.com/ViewContent.aspx?filename=NPMR_ABC_2017-07-09_E.MP4$3375$3405","ABC Sunday Fun and Games")</f>
        <v>ABC Sunday Fun and Games</v>
      </c>
      <c r="E1553" s="3" t="s">
        <v>38</v>
      </c>
      <c r="F1553" s="3" t="s">
        <v>337</v>
      </c>
      <c r="G1553" s="3" t="s">
        <v>1692</v>
      </c>
    </row>
    <row r="1554" spans="1:7">
      <c r="A1554" s="6">
        <v>42925</v>
      </c>
      <c r="B1554" s="3" t="s">
        <v>13</v>
      </c>
      <c r="C1554" s="3" t="s">
        <v>32</v>
      </c>
      <c r="D1554" s="8" t="str">
        <f>HYPERLINK("http://npthd.inbcu.com/ViewContent.aspx?filename=NPMR_ABC_2017-07-09_E.MP4$3405$3410","LOCAL")</f>
        <v>LOCAL</v>
      </c>
      <c r="E1554" s="3" t="s">
        <v>54</v>
      </c>
      <c r="F1554" s="3" t="s">
        <v>1692</v>
      </c>
      <c r="G1554" s="3" t="s">
        <v>1693</v>
      </c>
    </row>
    <row r="1555" spans="1:7">
      <c r="A1555" s="6">
        <v>42925</v>
      </c>
      <c r="B1555" s="3" t="s">
        <v>13</v>
      </c>
      <c r="C1555" s="3" t="s">
        <v>18</v>
      </c>
      <c r="D1555" s="8" t="str">
        <f>HYPERLINK("http://npthd.inbcu.com/ViewContent.aspx?filename=NPMR_ABC_2017-07-09_E.MP4$3410$3705","AMERICAS FUNNIEST HOME VIDEOS: 2715")</f>
        <v>AMERICAS FUNNIEST HOME VIDEOS: 2715</v>
      </c>
      <c r="E1555" s="3" t="s">
        <v>1694</v>
      </c>
      <c r="F1555" s="3" t="s">
        <v>1693</v>
      </c>
      <c r="G1555" s="3" t="s">
        <v>16</v>
      </c>
    </row>
    <row r="1556" spans="1:7">
      <c r="A1556" s="6">
        <v>42925</v>
      </c>
      <c r="B1556" s="3" t="s">
        <v>13</v>
      </c>
      <c r="C1556" s="3" t="s">
        <v>14</v>
      </c>
      <c r="D1556" s="8" t="str">
        <f>HYPERLINK("http://npthd.inbcu.com/ViewContent.aspx?filename=NPMR_ABC_2017-07-09_E.MP4$3705$3710","Celebrity Family Feud")</f>
        <v>Celebrity Family Feud</v>
      </c>
      <c r="E1556" s="3" t="s">
        <v>54</v>
      </c>
      <c r="F1556" s="3" t="s">
        <v>16</v>
      </c>
      <c r="G1556" s="3" t="s">
        <v>125</v>
      </c>
    </row>
    <row r="1557" spans="1:7">
      <c r="A1557" s="6">
        <v>42925</v>
      </c>
      <c r="B1557" s="3" t="s">
        <v>13</v>
      </c>
      <c r="C1557" s="3" t="s">
        <v>18</v>
      </c>
      <c r="D1557" s="8" t="str">
        <f>HYPERLINK("http://npthd.inbcu.com/ViewContent.aspx?filename=NPMR_ABC_2017-07-09_E.MP4$3710$4222","CELEBRITY FAMILY FEUD: mlb legends vs nba legends and nfl all stars vs nfl legends")</f>
        <v>CELEBRITY FAMILY FEUD: mlb legends vs nba legends and nfl all stars vs nfl legends</v>
      </c>
      <c r="E1557" s="3" t="s">
        <v>1570</v>
      </c>
      <c r="F1557" s="3" t="s">
        <v>125</v>
      </c>
      <c r="G1557" s="3" t="s">
        <v>1695</v>
      </c>
    </row>
    <row r="1558" spans="1:7">
      <c r="A1558" s="6">
        <v>42925</v>
      </c>
      <c r="B1558" s="3" t="s">
        <v>13</v>
      </c>
      <c r="C1558" s="3" t="s">
        <v>21</v>
      </c>
      <c r="D1558" s="8" t="str">
        <f>HYPERLINK("http://npthd.inbcu.com/ViewContent.aspx?filename=NPMR_ABC_2017-07-09_E.MP4$4222$4403","COMMERCIAL")</f>
        <v>COMMERCIAL</v>
      </c>
      <c r="E1558" s="3" t="s">
        <v>108</v>
      </c>
      <c r="F1558" s="3" t="s">
        <v>1695</v>
      </c>
      <c r="G1558" s="3" t="s">
        <v>777</v>
      </c>
    </row>
    <row r="1559" spans="1:7">
      <c r="A1559" s="6">
        <v>42925</v>
      </c>
      <c r="B1559" s="3" t="s">
        <v>13</v>
      </c>
      <c r="C1559" s="3" t="s">
        <v>14</v>
      </c>
      <c r="D1559" s="8" t="str">
        <f>HYPERLINK("http://npthd.inbcu.com/ViewContent.aspx?filename=NPMR_ABC_2017-07-09_E.MP4$4403$4433","Espys")</f>
        <v>Espys</v>
      </c>
      <c r="E1559" s="3" t="s">
        <v>38</v>
      </c>
      <c r="F1559" s="3" t="s">
        <v>777</v>
      </c>
      <c r="G1559" s="3" t="s">
        <v>778</v>
      </c>
    </row>
    <row r="1560" spans="1:7">
      <c r="A1560" s="6">
        <v>42925</v>
      </c>
      <c r="B1560" s="3" t="s">
        <v>13</v>
      </c>
      <c r="C1560" s="3" t="s">
        <v>18</v>
      </c>
      <c r="D1560" s="8" t="str">
        <f>HYPERLINK("http://npthd.inbcu.com/ViewContent.aspx?filename=NPMR_ABC_2017-07-09_E.MP4$4433$4841","CELEBRITY FAMILY FEUD: mlb legends vs nba legends and nfl all stars vs nfl legends")</f>
        <v>CELEBRITY FAMILY FEUD: mlb legends vs nba legends and nfl all stars vs nfl legends</v>
      </c>
      <c r="E1560" s="3" t="s">
        <v>1696</v>
      </c>
      <c r="F1560" s="3" t="s">
        <v>778</v>
      </c>
      <c r="G1560" s="3" t="s">
        <v>1697</v>
      </c>
    </row>
    <row r="1561" spans="1:7">
      <c r="A1561" s="6">
        <v>42925</v>
      </c>
      <c r="B1561" s="3" t="s">
        <v>13</v>
      </c>
      <c r="C1561" s="3" t="s">
        <v>21</v>
      </c>
      <c r="D1561" s="8" t="str">
        <f>HYPERLINK("http://npthd.inbcu.com/ViewContent.aspx?filename=NPMR_ABC_2017-07-09_E.MP4$4841$4992","COMMERCIAL")</f>
        <v>COMMERCIAL</v>
      </c>
      <c r="E1561" s="3" t="s">
        <v>91</v>
      </c>
      <c r="F1561" s="3" t="s">
        <v>1697</v>
      </c>
      <c r="G1561" s="3" t="s">
        <v>1698</v>
      </c>
    </row>
    <row r="1562" spans="1:7">
      <c r="A1562" s="6">
        <v>42925</v>
      </c>
      <c r="B1562" s="3" t="s">
        <v>13</v>
      </c>
      <c r="C1562" s="3" t="s">
        <v>14</v>
      </c>
      <c r="D1562" s="8" t="str">
        <f>HYPERLINK("http://npthd.inbcu.com/ViewContent.aspx?filename=NPMR_ABC_2017-07-09_E.MP4$4992$5007","World News Tonight")</f>
        <v>World News Tonight</v>
      </c>
      <c r="E1562" s="3" t="s">
        <v>30</v>
      </c>
      <c r="F1562" s="3" t="s">
        <v>1698</v>
      </c>
      <c r="G1562" s="3" t="s">
        <v>1115</v>
      </c>
    </row>
    <row r="1563" spans="1:7">
      <c r="A1563" s="6">
        <v>42925</v>
      </c>
      <c r="B1563" s="3" t="s">
        <v>13</v>
      </c>
      <c r="C1563" s="3" t="s">
        <v>32</v>
      </c>
      <c r="D1563" s="8" t="str">
        <f>HYPERLINK("http://npthd.inbcu.com/ViewContent.aspx?filename=NPMR_ABC_2017-07-09_E.MP4$5007$5067","LOCAL")</f>
        <v>LOCAL</v>
      </c>
      <c r="E1563" s="3" t="s">
        <v>66</v>
      </c>
      <c r="F1563" s="3" t="s">
        <v>1115</v>
      </c>
      <c r="G1563" s="3" t="s">
        <v>1699</v>
      </c>
    </row>
    <row r="1564" spans="1:7">
      <c r="A1564" s="6">
        <v>42925</v>
      </c>
      <c r="B1564" s="3" t="s">
        <v>13</v>
      </c>
      <c r="C1564" s="3" t="s">
        <v>18</v>
      </c>
      <c r="D1564" s="8" t="str">
        <f>HYPERLINK("http://npthd.inbcu.com/ViewContent.aspx?filename=NPMR_ABC_2017-07-09_E.MP4$5067$5394","CELEBRITY FAMILY FEUD: mlb legends vs nba legends and nfl all stars vs nfl legends")</f>
        <v>CELEBRITY FAMILY FEUD: mlb legends vs nba legends and nfl all stars vs nfl legends</v>
      </c>
      <c r="E1564" s="3" t="s">
        <v>1333</v>
      </c>
      <c r="F1564" s="3" t="s">
        <v>1699</v>
      </c>
      <c r="G1564" s="3" t="s">
        <v>1700</v>
      </c>
    </row>
    <row r="1565" spans="1:7">
      <c r="A1565" s="6">
        <v>42925</v>
      </c>
      <c r="B1565" s="3" t="s">
        <v>13</v>
      </c>
      <c r="C1565" s="3" t="s">
        <v>21</v>
      </c>
      <c r="D1565" s="8" t="str">
        <f>HYPERLINK("http://npthd.inbcu.com/ViewContent.aspx?filename=NPMR_ABC_2017-07-09_E.MP4$5394$5544","COMMERCIAL")</f>
        <v>COMMERCIAL</v>
      </c>
      <c r="E1565" s="3" t="s">
        <v>28</v>
      </c>
      <c r="F1565" s="3" t="s">
        <v>1700</v>
      </c>
      <c r="G1565" s="3" t="s">
        <v>1701</v>
      </c>
    </row>
    <row r="1566" spans="1:7">
      <c r="A1566" s="6">
        <v>42925</v>
      </c>
      <c r="B1566" s="3" t="s">
        <v>13</v>
      </c>
      <c r="C1566" s="3" t="s">
        <v>14</v>
      </c>
      <c r="D1566" s="8" t="str">
        <f>HYPERLINK("http://npthd.inbcu.com/ViewContent.aspx?filename=NPMR_ABC_2017-07-09_E.MP4$5544$5559","100,000 Pyramid")</f>
        <v>100,000 Pyramid</v>
      </c>
      <c r="E1566" s="3" t="s">
        <v>30</v>
      </c>
      <c r="F1566" s="3" t="s">
        <v>1701</v>
      </c>
      <c r="G1566" s="3" t="s">
        <v>1702</v>
      </c>
    </row>
    <row r="1567" spans="1:7">
      <c r="A1567" s="6">
        <v>42925</v>
      </c>
      <c r="B1567" s="3" t="s">
        <v>13</v>
      </c>
      <c r="C1567" s="3" t="s">
        <v>14</v>
      </c>
      <c r="D1567" s="8" t="str">
        <f>HYPERLINK("http://npthd.inbcu.com/ViewContent.aspx?filename=NPMR_ABC_2017-07-09_E.MP4$5559$5574","Bachelorette")</f>
        <v>Bachelorette</v>
      </c>
      <c r="E1567" s="3" t="s">
        <v>30</v>
      </c>
      <c r="F1567" s="3" t="s">
        <v>1702</v>
      </c>
      <c r="G1567" s="3" t="s">
        <v>1703</v>
      </c>
    </row>
    <row r="1568" spans="1:7">
      <c r="A1568" s="6">
        <v>42925</v>
      </c>
      <c r="B1568" s="3" t="s">
        <v>13</v>
      </c>
      <c r="C1568" s="3" t="s">
        <v>18</v>
      </c>
      <c r="D1568" s="8" t="str">
        <f>HYPERLINK("http://npthd.inbcu.com/ViewContent.aspx?filename=NPMR_ABC_2017-07-09_E.MP4$5574$6184","CELEBRITY FAMILY FEUD: mlb legends vs nba legends and nfl all stars vs nfl legends")</f>
        <v>CELEBRITY FAMILY FEUD: mlb legends vs nba legends and nfl all stars vs nfl legends</v>
      </c>
      <c r="E1568" s="3" t="s">
        <v>1704</v>
      </c>
      <c r="F1568" s="3" t="s">
        <v>1703</v>
      </c>
      <c r="G1568" s="3" t="s">
        <v>1620</v>
      </c>
    </row>
    <row r="1569" spans="1:7">
      <c r="A1569" s="6">
        <v>42925</v>
      </c>
      <c r="B1569" s="3" t="s">
        <v>13</v>
      </c>
      <c r="C1569" s="3" t="s">
        <v>21</v>
      </c>
      <c r="D1569" s="8" t="str">
        <f>HYPERLINK("http://npthd.inbcu.com/ViewContent.aspx?filename=NPMR_ABC_2017-07-09_E.MP4$6184$6304","COMMERCIAL")</f>
        <v>COMMERCIAL</v>
      </c>
      <c r="E1569" s="3" t="s">
        <v>43</v>
      </c>
      <c r="F1569" s="3" t="s">
        <v>1620</v>
      </c>
      <c r="G1569" s="3" t="s">
        <v>1705</v>
      </c>
    </row>
    <row r="1570" spans="1:7">
      <c r="A1570" s="6">
        <v>42925</v>
      </c>
      <c r="B1570" s="3" t="s">
        <v>13</v>
      </c>
      <c r="C1570" s="3" t="s">
        <v>14</v>
      </c>
      <c r="D1570" s="8" t="str">
        <f>HYPERLINK("http://npthd.inbcu.com/ViewContent.aspx?filename=NPMR_ABC_2017-07-09_E.MP4$6304$6319","Boy Band")</f>
        <v>Boy Band</v>
      </c>
      <c r="E1570" s="3" t="s">
        <v>30</v>
      </c>
      <c r="F1570" s="3" t="s">
        <v>1705</v>
      </c>
      <c r="G1570" s="3" t="s">
        <v>1706</v>
      </c>
    </row>
    <row r="1571" spans="1:7">
      <c r="A1571" s="6">
        <v>42925</v>
      </c>
      <c r="B1571" s="3" t="s">
        <v>13</v>
      </c>
      <c r="C1571" s="3" t="s">
        <v>14</v>
      </c>
      <c r="D1571" s="8" t="str">
        <f>HYPERLINK("http://npthd.inbcu.com/ViewContent.aspx?filename=NPMR_ABC_2017-07-09_E.MP4$6319$6334","Battle of the Network Stars")</f>
        <v>Battle of the Network Stars</v>
      </c>
      <c r="E1571" s="3" t="s">
        <v>30</v>
      </c>
      <c r="F1571" s="3" t="s">
        <v>1706</v>
      </c>
      <c r="G1571" s="3" t="s">
        <v>1707</v>
      </c>
    </row>
    <row r="1572" spans="1:7">
      <c r="A1572" s="6">
        <v>42925</v>
      </c>
      <c r="B1572" s="3" t="s">
        <v>13</v>
      </c>
      <c r="C1572" s="3" t="s">
        <v>32</v>
      </c>
      <c r="D1572" s="8" t="str">
        <f>HYPERLINK("http://npthd.inbcu.com/ViewContent.aspx?filename=NPMR_ABC_2017-07-09_E.MP4$6334$6424","LOCAL")</f>
        <v>LOCAL</v>
      </c>
      <c r="E1572" s="3" t="s">
        <v>46</v>
      </c>
      <c r="F1572" s="3" t="s">
        <v>1707</v>
      </c>
      <c r="G1572" s="3" t="s">
        <v>1708</v>
      </c>
    </row>
    <row r="1573" spans="1:7">
      <c r="A1573" s="6">
        <v>42925</v>
      </c>
      <c r="B1573" s="3" t="s">
        <v>13</v>
      </c>
      <c r="C1573" s="3" t="s">
        <v>18</v>
      </c>
      <c r="D1573" s="8" t="str">
        <f>HYPERLINK("http://npthd.inbcu.com/ViewContent.aspx?filename=NPMR_ABC_2017-07-09_E.MP4$6424$6851","CELEBRITY FAMILY FEUD: mlb legends vs nba legends and nfl all stars vs nfl legends")</f>
        <v>CELEBRITY FAMILY FEUD: mlb legends vs nba legends and nfl all stars vs nfl legends</v>
      </c>
      <c r="E1573" s="3" t="s">
        <v>1709</v>
      </c>
      <c r="F1573" s="3" t="s">
        <v>1708</v>
      </c>
      <c r="G1573" s="3" t="s">
        <v>1710</v>
      </c>
    </row>
    <row r="1574" spans="1:7">
      <c r="A1574" s="6">
        <v>42925</v>
      </c>
      <c r="B1574" s="3" t="s">
        <v>13</v>
      </c>
      <c r="C1574" s="3" t="s">
        <v>21</v>
      </c>
      <c r="D1574" s="8" t="str">
        <f>HYPERLINK("http://npthd.inbcu.com/ViewContent.aspx?filename=NPMR_ABC_2017-07-09_E.MP4$6851$7046","COMMERCIAL")</f>
        <v>COMMERCIAL</v>
      </c>
      <c r="E1574" s="3" t="s">
        <v>388</v>
      </c>
      <c r="F1574" s="3" t="s">
        <v>1710</v>
      </c>
      <c r="G1574" s="3" t="s">
        <v>1711</v>
      </c>
    </row>
    <row r="1575" spans="1:7">
      <c r="A1575" s="6">
        <v>42925</v>
      </c>
      <c r="B1575" s="3" t="s">
        <v>13</v>
      </c>
      <c r="C1575" s="3" t="s">
        <v>14</v>
      </c>
      <c r="D1575" s="8" t="str">
        <f>HYPERLINK("http://npthd.inbcu.com/ViewContent.aspx?filename=NPMR_ABC_2017-07-09_E.MP4$7046$7061","Funderdome")</f>
        <v>Funderdome</v>
      </c>
      <c r="E1575" s="3" t="s">
        <v>30</v>
      </c>
      <c r="F1575" s="3" t="s">
        <v>1711</v>
      </c>
      <c r="G1575" s="3" t="s">
        <v>240</v>
      </c>
    </row>
    <row r="1576" spans="1:7">
      <c r="A1576" s="6">
        <v>42925</v>
      </c>
      <c r="B1576" s="3" t="s">
        <v>13</v>
      </c>
      <c r="C1576" s="3" t="s">
        <v>14</v>
      </c>
      <c r="D1576" s="8" t="str">
        <f>HYPERLINK("http://npthd.inbcu.com/ViewContent.aspx?filename=NPMR_ABC_2017-07-09_E.MP4$7061$7076","Espys")</f>
        <v>Espys</v>
      </c>
      <c r="E1576" s="3" t="s">
        <v>30</v>
      </c>
      <c r="F1576" s="3" t="s">
        <v>240</v>
      </c>
      <c r="G1576" s="3" t="s">
        <v>1712</v>
      </c>
    </row>
    <row r="1577" spans="1:7">
      <c r="A1577" s="6">
        <v>42925</v>
      </c>
      <c r="B1577" s="3" t="s">
        <v>13</v>
      </c>
      <c r="C1577" s="3" t="s">
        <v>32</v>
      </c>
      <c r="D1577" s="8" t="str">
        <f>HYPERLINK("http://npthd.inbcu.com/ViewContent.aspx?filename=NPMR_ABC_2017-07-09_E.MP4$7076$7081","LOCAL")</f>
        <v>LOCAL</v>
      </c>
      <c r="E1577" s="3" t="s">
        <v>54</v>
      </c>
      <c r="F1577" s="3" t="s">
        <v>1712</v>
      </c>
      <c r="G1577" s="3" t="s">
        <v>1713</v>
      </c>
    </row>
    <row r="1578" spans="1:7">
      <c r="A1578" s="6">
        <v>42925</v>
      </c>
      <c r="B1578" s="3" t="s">
        <v>13</v>
      </c>
      <c r="C1578" s="3" t="s">
        <v>18</v>
      </c>
      <c r="D1578" s="8" t="str">
        <f>HYPERLINK("http://npthd.inbcu.com/ViewContent.aspx?filename=NPMR_ABC_2017-07-09_E.MP4$7081$7305","CELEBRITY FAMILY FEUD: mlb legends vs nba legends and nfl all stars vs nfl legends")</f>
        <v>CELEBRITY FAMILY FEUD: mlb legends vs nba legends and nfl all stars vs nfl legends</v>
      </c>
      <c r="E1578" s="3" t="s">
        <v>1714</v>
      </c>
      <c r="F1578" s="3" t="s">
        <v>1713</v>
      </c>
      <c r="G1578" s="3" t="s">
        <v>242</v>
      </c>
    </row>
    <row r="1579" spans="1:7">
      <c r="A1579" s="6">
        <v>42925</v>
      </c>
      <c r="B1579" s="3" t="s">
        <v>13</v>
      </c>
      <c r="C1579" s="3" t="s">
        <v>14</v>
      </c>
      <c r="D1579" s="8" t="str">
        <f>HYPERLINK("http://npthd.inbcu.com/ViewContent.aspx?filename=NPMR_ABC_2017-07-09_E.MP4$7305$7310","Funderdome")</f>
        <v>Funderdome</v>
      </c>
      <c r="E1579" s="3" t="s">
        <v>54</v>
      </c>
      <c r="F1579" s="3" t="s">
        <v>242</v>
      </c>
      <c r="G1579" s="3" t="s">
        <v>243</v>
      </c>
    </row>
    <row r="1580" spans="1:7">
      <c r="A1580" s="6">
        <v>42925</v>
      </c>
      <c r="B1580" s="3" t="s">
        <v>13</v>
      </c>
      <c r="C1580" s="3" t="s">
        <v>18</v>
      </c>
      <c r="D1580" s="8" t="str">
        <f>HYPERLINK("http://npthd.inbcu.com/ViewContent.aspx?filename=NPMR_ABC_2017-07-09_E.MP4$7310$7969","STEVE HARVEYS FUNDERDOME: 104")</f>
        <v>STEVE HARVEYS FUNDERDOME: 104</v>
      </c>
      <c r="E1580" s="3" t="s">
        <v>1715</v>
      </c>
      <c r="F1580" s="3" t="s">
        <v>243</v>
      </c>
      <c r="G1580" s="3" t="s">
        <v>1716</v>
      </c>
    </row>
    <row r="1581" spans="1:7">
      <c r="A1581" s="6">
        <v>42925</v>
      </c>
      <c r="B1581" s="3" t="s">
        <v>13</v>
      </c>
      <c r="C1581" s="3" t="s">
        <v>21</v>
      </c>
      <c r="D1581" s="8" t="str">
        <f>HYPERLINK("http://npthd.inbcu.com/ViewContent.aspx?filename=NPMR_ABC_2017-07-09_E.MP4$7969$8119","COMMERCIAL")</f>
        <v>COMMERCIAL</v>
      </c>
      <c r="E1581" s="3" t="s">
        <v>28</v>
      </c>
      <c r="F1581" s="3" t="s">
        <v>1716</v>
      </c>
      <c r="G1581" s="3" t="s">
        <v>1717</v>
      </c>
    </row>
    <row r="1582" spans="1:7">
      <c r="A1582" s="6">
        <v>42925</v>
      </c>
      <c r="B1582" s="3" t="s">
        <v>13</v>
      </c>
      <c r="C1582" s="3" t="s">
        <v>14</v>
      </c>
      <c r="D1582" s="8" t="str">
        <f>HYPERLINK("http://npthd.inbcu.com/ViewContent.aspx?filename=NPMR_ABC_2017-07-09_E.MP4$8119$8134","Bachelorette")</f>
        <v>Bachelorette</v>
      </c>
      <c r="E1582" s="3" t="s">
        <v>30</v>
      </c>
      <c r="F1582" s="3" t="s">
        <v>1717</v>
      </c>
      <c r="G1582" s="3" t="s">
        <v>1718</v>
      </c>
    </row>
    <row r="1583" spans="1:7">
      <c r="A1583" s="6">
        <v>42925</v>
      </c>
      <c r="B1583" s="3" t="s">
        <v>13</v>
      </c>
      <c r="C1583" s="3" t="s">
        <v>14</v>
      </c>
      <c r="D1583" s="8" t="str">
        <f>HYPERLINK("http://npthd.inbcu.com/ViewContent.aspx?filename=NPMR_ABC_2017-07-09_E.MP4$8134$8164","Espys")</f>
        <v>Espys</v>
      </c>
      <c r="E1583" s="3" t="s">
        <v>38</v>
      </c>
      <c r="F1583" s="3" t="s">
        <v>1718</v>
      </c>
      <c r="G1583" s="3" t="s">
        <v>1719</v>
      </c>
    </row>
    <row r="1584" spans="1:7">
      <c r="A1584" s="6">
        <v>42925</v>
      </c>
      <c r="B1584" s="3" t="s">
        <v>13</v>
      </c>
      <c r="C1584" s="3" t="s">
        <v>18</v>
      </c>
      <c r="D1584" s="8" t="str">
        <f>HYPERLINK("http://npthd.inbcu.com/ViewContent.aspx?filename=NPMR_ABC_2017-07-09_E.MP4$8164$8441","STEVE HARVEYS FUNDERDOME: 104")</f>
        <v>STEVE HARVEYS FUNDERDOME: 104</v>
      </c>
      <c r="E1584" s="3" t="s">
        <v>1376</v>
      </c>
      <c r="F1584" s="3" t="s">
        <v>1719</v>
      </c>
      <c r="G1584" s="3" t="s">
        <v>1720</v>
      </c>
    </row>
    <row r="1585" spans="1:7">
      <c r="A1585" s="6">
        <v>42925</v>
      </c>
      <c r="B1585" s="3" t="s">
        <v>13</v>
      </c>
      <c r="C1585" s="3" t="s">
        <v>21</v>
      </c>
      <c r="D1585" s="8" t="str">
        <f>HYPERLINK("http://npthd.inbcu.com/ViewContent.aspx?filename=NPMR_ABC_2017-07-09_E.MP4$8441$8546","COMMERCIAL")</f>
        <v>COMMERCIAL</v>
      </c>
      <c r="E1585" s="3" t="s">
        <v>199</v>
      </c>
      <c r="F1585" s="3" t="s">
        <v>1720</v>
      </c>
      <c r="G1585" s="3" t="s">
        <v>1721</v>
      </c>
    </row>
    <row r="1586" spans="1:7">
      <c r="A1586" s="6">
        <v>42925</v>
      </c>
      <c r="B1586" s="3" t="s">
        <v>13</v>
      </c>
      <c r="C1586" s="3" t="s">
        <v>14</v>
      </c>
      <c r="D1586" s="8" t="str">
        <f>HYPERLINK("http://npthd.inbcu.com/ViewContent.aspx?filename=NPMR_ABC_2017-07-09_E.MP4$8546$8577","Somewhere Between")</f>
        <v>Somewhere Between</v>
      </c>
      <c r="E1586" s="3" t="s">
        <v>98</v>
      </c>
      <c r="F1586" s="3" t="s">
        <v>1721</v>
      </c>
      <c r="G1586" s="3" t="s">
        <v>1722</v>
      </c>
    </row>
    <row r="1587" spans="1:7">
      <c r="A1587" s="6">
        <v>42925</v>
      </c>
      <c r="B1587" s="3" t="s">
        <v>13</v>
      </c>
      <c r="C1587" s="3" t="s">
        <v>32</v>
      </c>
      <c r="D1587" s="8" t="str">
        <f>HYPERLINK("http://npthd.inbcu.com/ViewContent.aspx?filename=NPMR_ABC_2017-07-09_E.MP4$8577$8667","LOCAL")</f>
        <v>LOCAL</v>
      </c>
      <c r="E1587" s="3" t="s">
        <v>46</v>
      </c>
      <c r="F1587" s="3" t="s">
        <v>1722</v>
      </c>
      <c r="G1587" s="3" t="s">
        <v>1723</v>
      </c>
    </row>
    <row r="1588" spans="1:7">
      <c r="A1588" s="6">
        <v>42925</v>
      </c>
      <c r="B1588" s="3" t="s">
        <v>13</v>
      </c>
      <c r="C1588" s="3" t="s">
        <v>18</v>
      </c>
      <c r="D1588" s="8" t="str">
        <f>HYPERLINK("http://npthd.inbcu.com/ViewContent.aspx?filename=NPMR_ABC_2017-07-09_E.MP4$8667$9202","STEVE HARVEYS FUNDERDOME: 104")</f>
        <v>STEVE HARVEYS FUNDERDOME: 104</v>
      </c>
      <c r="E1588" s="3" t="s">
        <v>1724</v>
      </c>
      <c r="F1588" s="3" t="s">
        <v>1723</v>
      </c>
      <c r="G1588" s="3" t="s">
        <v>1725</v>
      </c>
    </row>
    <row r="1589" spans="1:7">
      <c r="A1589" s="6">
        <v>42925</v>
      </c>
      <c r="B1589" s="3" t="s">
        <v>13</v>
      </c>
      <c r="C1589" s="3" t="s">
        <v>21</v>
      </c>
      <c r="D1589" s="8" t="str">
        <f>HYPERLINK("http://npthd.inbcu.com/ViewContent.aspx?filename=NPMR_ABC_2017-07-09_E.MP4$9202$9382","COMMERCIAL")</f>
        <v>COMMERCIAL</v>
      </c>
      <c r="E1589" s="3" t="s">
        <v>22</v>
      </c>
      <c r="F1589" s="3" t="s">
        <v>1725</v>
      </c>
      <c r="G1589" s="3" t="s">
        <v>1726</v>
      </c>
    </row>
    <row r="1590" spans="1:7">
      <c r="A1590" s="6">
        <v>42925</v>
      </c>
      <c r="B1590" s="3" t="s">
        <v>13</v>
      </c>
      <c r="C1590" s="3" t="s">
        <v>14</v>
      </c>
      <c r="D1590" s="8" t="str">
        <f>HYPERLINK("http://npthd.inbcu.com/ViewContent.aspx?filename=NPMR_ABC_2017-07-09_E.MP4$9382$9397","Boy Band")</f>
        <v>Boy Band</v>
      </c>
      <c r="E1590" s="3" t="s">
        <v>30</v>
      </c>
      <c r="F1590" s="3" t="s">
        <v>1726</v>
      </c>
      <c r="G1590" s="3" t="s">
        <v>1727</v>
      </c>
    </row>
    <row r="1591" spans="1:7">
      <c r="A1591" s="6">
        <v>42925</v>
      </c>
      <c r="B1591" s="3" t="s">
        <v>13</v>
      </c>
      <c r="C1591" s="3" t="s">
        <v>14</v>
      </c>
      <c r="D1591" s="8" t="str">
        <f>HYPERLINK("http://npthd.inbcu.com/ViewContent.aspx?filename=NPMR_ABC_2017-07-09_E.MP4$9397$9427","Battle of the Network Stars")</f>
        <v>Battle of the Network Stars</v>
      </c>
      <c r="E1591" s="3" t="s">
        <v>38</v>
      </c>
      <c r="F1591" s="3" t="s">
        <v>1727</v>
      </c>
      <c r="G1591" s="3" t="s">
        <v>1728</v>
      </c>
    </row>
    <row r="1592" spans="1:7">
      <c r="A1592" s="6">
        <v>42925</v>
      </c>
      <c r="B1592" s="3" t="s">
        <v>13</v>
      </c>
      <c r="C1592" s="3" t="s">
        <v>18</v>
      </c>
      <c r="D1592" s="8" t="str">
        <f>HYPERLINK("http://npthd.inbcu.com/ViewContent.aspx?filename=NPMR_ABC_2017-07-09_E.MP4$9427$9699","STEVE HARVEYS FUNDERDOME: 104")</f>
        <v>STEVE HARVEYS FUNDERDOME: 104</v>
      </c>
      <c r="E1592" s="3" t="s">
        <v>381</v>
      </c>
      <c r="F1592" s="3" t="s">
        <v>1728</v>
      </c>
      <c r="G1592" s="3" t="s">
        <v>1729</v>
      </c>
    </row>
    <row r="1593" spans="1:7">
      <c r="A1593" s="6">
        <v>42925</v>
      </c>
      <c r="B1593" s="3" t="s">
        <v>13</v>
      </c>
      <c r="C1593" s="3" t="s">
        <v>21</v>
      </c>
      <c r="D1593" s="8" t="str">
        <f>HYPERLINK("http://npthd.inbcu.com/ViewContent.aspx?filename=NPMR_ABC_2017-07-09_E.MP4$9699$9848","COMMERCIAL")</f>
        <v>COMMERCIAL</v>
      </c>
      <c r="E1593" s="3" t="s">
        <v>952</v>
      </c>
      <c r="F1593" s="3" t="s">
        <v>1729</v>
      </c>
      <c r="G1593" s="3" t="s">
        <v>1730</v>
      </c>
    </row>
    <row r="1594" spans="1:7">
      <c r="A1594" s="6">
        <v>42925</v>
      </c>
      <c r="B1594" s="3" t="s">
        <v>13</v>
      </c>
      <c r="C1594" s="3" t="s">
        <v>14</v>
      </c>
      <c r="D1594" s="8" t="str">
        <f>HYPERLINK("http://npthd.inbcu.com/ViewContent.aspx?filename=NPMR_ABC_2017-07-09_E.MP4$9848$9863","Gong Show, The")</f>
        <v>Gong Show, The</v>
      </c>
      <c r="E1594" s="3" t="s">
        <v>30</v>
      </c>
      <c r="F1594" s="3" t="s">
        <v>1730</v>
      </c>
      <c r="G1594" s="3" t="s">
        <v>1731</v>
      </c>
    </row>
    <row r="1595" spans="1:7">
      <c r="A1595" s="6">
        <v>42925</v>
      </c>
      <c r="B1595" s="3" t="s">
        <v>13</v>
      </c>
      <c r="C1595" s="3" t="s">
        <v>32</v>
      </c>
      <c r="D1595" s="8" t="str">
        <f>HYPERLINK("http://npthd.inbcu.com/ViewContent.aspx?filename=NPMR_ABC_2017-07-09_E.MP4$9863$9925","LOCAL")</f>
        <v>LOCAL</v>
      </c>
      <c r="E1595" s="3" t="s">
        <v>257</v>
      </c>
      <c r="F1595" s="3" t="s">
        <v>1731</v>
      </c>
      <c r="G1595" s="3" t="s">
        <v>1732</v>
      </c>
    </row>
    <row r="1596" spans="1:7">
      <c r="A1596" s="6">
        <v>42925</v>
      </c>
      <c r="B1596" s="3" t="s">
        <v>13</v>
      </c>
      <c r="C1596" s="3" t="s">
        <v>18</v>
      </c>
      <c r="D1596" s="8" t="str">
        <f>HYPERLINK("http://npthd.inbcu.com/ViewContent.aspx?filename=NPMR_ABC_2017-07-09_E.MP4$9925$10412","STEVE HARVEYS FUNDERDOME: 104")</f>
        <v>STEVE HARVEYS FUNDERDOME: 104</v>
      </c>
      <c r="E1596" s="3" t="s">
        <v>1733</v>
      </c>
      <c r="F1596" s="3" t="s">
        <v>1732</v>
      </c>
      <c r="G1596" s="3" t="s">
        <v>1734</v>
      </c>
    </row>
    <row r="1597" spans="1:7">
      <c r="A1597" s="6">
        <v>42925</v>
      </c>
      <c r="B1597" s="3" t="s">
        <v>13</v>
      </c>
      <c r="C1597" s="3" t="s">
        <v>21</v>
      </c>
      <c r="D1597" s="8" t="str">
        <f>HYPERLINK("http://npthd.inbcu.com/ViewContent.aspx?filename=NPMR_ABC_2017-07-09_E.MP4$10412$10565","COMMERCIAL")</f>
        <v>COMMERCIAL</v>
      </c>
      <c r="E1597" s="3" t="s">
        <v>1735</v>
      </c>
      <c r="F1597" s="3" t="s">
        <v>1734</v>
      </c>
      <c r="G1597" s="3" t="s">
        <v>389</v>
      </c>
    </row>
    <row r="1598" spans="1:7">
      <c r="A1598" s="6">
        <v>42925</v>
      </c>
      <c r="B1598" s="3" t="s">
        <v>13</v>
      </c>
      <c r="C1598" s="3" t="s">
        <v>14</v>
      </c>
      <c r="D1598" s="8" t="str">
        <f>HYPERLINK("http://npthd.inbcu.com/ViewContent.aspx?filename=NPMR_ABC_2017-07-09_E.MP4$10565$10580","100,000 Pyramid")</f>
        <v>100,000 Pyramid</v>
      </c>
      <c r="E1598" s="3" t="s">
        <v>30</v>
      </c>
      <c r="F1598" s="3" t="s">
        <v>389</v>
      </c>
      <c r="G1598" s="3" t="s">
        <v>390</v>
      </c>
    </row>
    <row r="1599" spans="1:7">
      <c r="A1599" s="6">
        <v>42925</v>
      </c>
      <c r="B1599" s="3" t="s">
        <v>13</v>
      </c>
      <c r="C1599" s="3" t="s">
        <v>14</v>
      </c>
      <c r="D1599" s="8" t="str">
        <f>HYPERLINK("http://npthd.inbcu.com/ViewContent.aspx?filename=NPMR_ABC_2017-07-09_E.MP4$10580$10595","Espys")</f>
        <v>Espys</v>
      </c>
      <c r="E1599" s="3" t="s">
        <v>30</v>
      </c>
      <c r="F1599" s="3" t="s">
        <v>390</v>
      </c>
      <c r="G1599" s="3" t="s">
        <v>1736</v>
      </c>
    </row>
    <row r="1600" spans="1:7">
      <c r="A1600" s="6">
        <v>42925</v>
      </c>
      <c r="B1600" s="3" t="s">
        <v>13</v>
      </c>
      <c r="C1600" s="3" t="s">
        <v>32</v>
      </c>
      <c r="D1600" s="8" t="str">
        <f>HYPERLINK("http://npthd.inbcu.com/ViewContent.aspx?filename=NPMR_ABC_2017-07-09_E.MP4$10595$10599","LOCAL")</f>
        <v>LOCAL</v>
      </c>
      <c r="E1600" s="3" t="s">
        <v>84</v>
      </c>
      <c r="F1600" s="3" t="s">
        <v>1736</v>
      </c>
      <c r="G1600" s="3" t="s">
        <v>1076</v>
      </c>
    </row>
    <row r="1601" spans="1:7">
      <c r="A1601" s="6">
        <v>42925</v>
      </c>
      <c r="B1601" s="3" t="s">
        <v>13</v>
      </c>
      <c r="C1601" s="3" t="s">
        <v>18</v>
      </c>
      <c r="D1601" s="8" t="str">
        <f>HYPERLINK("http://npthd.inbcu.com/ViewContent.aspx?filename=NPMR_ABC_2017-07-09_E.MP4$10599$10872","STEVE HARVEYS FUNDERDOME: 104")</f>
        <v>STEVE HARVEYS FUNDERDOME: 104</v>
      </c>
      <c r="E1601" s="3" t="s">
        <v>1737</v>
      </c>
      <c r="F1601" s="3" t="s">
        <v>1076</v>
      </c>
      <c r="G1601" s="3" t="s">
        <v>277</v>
      </c>
    </row>
    <row r="1602" spans="1:7">
      <c r="A1602" s="6">
        <v>42925</v>
      </c>
      <c r="B1602" s="3" t="s">
        <v>13</v>
      </c>
      <c r="C1602" s="3" t="s">
        <v>14</v>
      </c>
      <c r="D1602" s="8" t="str">
        <f>HYPERLINK("http://npthd.inbcu.com/ViewContent.aspx?filename=NPMR_ABC_2017-07-09_E.MP4$10872$10902","Funderdome")</f>
        <v>Funderdome</v>
      </c>
      <c r="E1602" s="3" t="s">
        <v>38</v>
      </c>
      <c r="F1602" s="3" t="s">
        <v>277</v>
      </c>
      <c r="G1602" s="3" t="s">
        <v>278</v>
      </c>
    </row>
    <row r="1603" spans="1:7">
      <c r="A1603" s="6">
        <v>42925</v>
      </c>
      <c r="B1603" s="3" t="s">
        <v>13</v>
      </c>
      <c r="C1603" s="3" t="s">
        <v>18</v>
      </c>
      <c r="D1603" s="8" t="str">
        <f>HYPERLINK("http://npthd.inbcu.com/ViewContent.aspx?filename=NPMR_ABC_2017-07-09_E.MP4$10902$10905","STEVE HARVEYS FUNDERDOME: 104")</f>
        <v>STEVE HARVEYS FUNDERDOME: 104</v>
      </c>
      <c r="E1603" s="3" t="s">
        <v>393</v>
      </c>
      <c r="F1603" s="3" t="s">
        <v>278</v>
      </c>
      <c r="G1603" s="3" t="s">
        <v>394</v>
      </c>
    </row>
    <row r="1604" spans="1:7">
      <c r="A1604" s="6">
        <v>42925</v>
      </c>
      <c r="B1604" s="3" t="s">
        <v>13</v>
      </c>
      <c r="C1604" s="3" t="s">
        <v>14</v>
      </c>
      <c r="D1604" s="8" t="str">
        <f>HYPERLINK("http://npthd.inbcu.com/ViewContent.aspx?filename=NPMR_ABC_2017-07-09_E.MP4$10905$10910","100,000 Pyramid")</f>
        <v>100,000 Pyramid</v>
      </c>
      <c r="E1604" s="3" t="s">
        <v>54</v>
      </c>
      <c r="F1604" s="3" t="s">
        <v>394</v>
      </c>
      <c r="G1604" s="3" t="s">
        <v>395</v>
      </c>
    </row>
    <row r="1605" spans="1:7">
      <c r="A1605" s="6">
        <v>42925</v>
      </c>
      <c r="B1605" s="3" t="s">
        <v>13</v>
      </c>
      <c r="C1605" s="3" t="s">
        <v>18</v>
      </c>
      <c r="D1605" s="8" t="str">
        <f>HYPERLINK("http://npthd.inbcu.com/ViewContent.aspx?filename=NPMR_ABC_2017-07-09_E.MP4$10910$11479","THE $100,000 PYRAMID: newton vs marshall &amp; decker vs ohno")</f>
        <v>THE $100,000 PYRAMID: newton vs marshall &amp; decker vs ohno</v>
      </c>
      <c r="E1605" s="3" t="s">
        <v>673</v>
      </c>
      <c r="F1605" s="3" t="s">
        <v>395</v>
      </c>
      <c r="G1605" s="3" t="s">
        <v>674</v>
      </c>
    </row>
    <row r="1606" spans="1:7">
      <c r="A1606" s="6">
        <v>42925</v>
      </c>
      <c r="B1606" s="3" t="s">
        <v>13</v>
      </c>
      <c r="C1606" s="3" t="s">
        <v>21</v>
      </c>
      <c r="D1606" s="8" t="str">
        <f>HYPERLINK("http://npthd.inbcu.com/ViewContent.aspx?filename=NPMR_ABC_2017-07-09_E.MP4$11479$11600","COMMERCIAL")</f>
        <v>COMMERCIAL</v>
      </c>
      <c r="E1606" s="3" t="s">
        <v>175</v>
      </c>
      <c r="F1606" s="3" t="s">
        <v>674</v>
      </c>
      <c r="G1606" s="3" t="s">
        <v>286</v>
      </c>
    </row>
    <row r="1607" spans="1:7">
      <c r="A1607" s="6">
        <v>42925</v>
      </c>
      <c r="B1607" s="3" t="s">
        <v>13</v>
      </c>
      <c r="C1607" s="3" t="s">
        <v>14</v>
      </c>
      <c r="D1607" s="8" t="str">
        <f>HYPERLINK("http://npthd.inbcu.com/ViewContent.aspx?filename=NPMR_ABC_2017-07-09_E.MP4$11600$11630","Espys")</f>
        <v>Espys</v>
      </c>
      <c r="E1607" s="3" t="s">
        <v>38</v>
      </c>
      <c r="F1607" s="3" t="s">
        <v>286</v>
      </c>
      <c r="G1607" s="3" t="s">
        <v>1738</v>
      </c>
    </row>
    <row r="1608" spans="1:7">
      <c r="A1608" s="6">
        <v>42925</v>
      </c>
      <c r="B1608" s="3" t="s">
        <v>13</v>
      </c>
      <c r="C1608" s="3" t="s">
        <v>14</v>
      </c>
      <c r="D1608" s="8" t="str">
        <f>HYPERLINK("http://npthd.inbcu.com/ViewContent.aspx?filename=NPMR_ABC_2017-07-09_E.MP4$11630$11645","Battle of the Network Stars")</f>
        <v>Battle of the Network Stars</v>
      </c>
      <c r="E1608" s="3" t="s">
        <v>30</v>
      </c>
      <c r="F1608" s="3" t="s">
        <v>1738</v>
      </c>
      <c r="G1608" s="3" t="s">
        <v>1739</v>
      </c>
    </row>
    <row r="1609" spans="1:7">
      <c r="A1609" s="6">
        <v>42925</v>
      </c>
      <c r="B1609" s="3" t="s">
        <v>13</v>
      </c>
      <c r="C1609" s="3" t="s">
        <v>18</v>
      </c>
      <c r="D1609" s="8" t="str">
        <f>HYPERLINK("http://npthd.inbcu.com/ViewContent.aspx?filename=NPMR_ABC_2017-07-09_E.MP4$11645$11800","THE $100,000 PYRAMID: newton vs marshall &amp; decker vs ohno")</f>
        <v>THE $100,000 PYRAMID: newton vs marshall &amp; decker vs ohno</v>
      </c>
      <c r="E1609" s="3" t="s">
        <v>1029</v>
      </c>
      <c r="F1609" s="3" t="s">
        <v>1739</v>
      </c>
      <c r="G1609" s="3" t="s">
        <v>1740</v>
      </c>
    </row>
    <row r="1610" spans="1:7">
      <c r="A1610" s="6">
        <v>42925</v>
      </c>
      <c r="B1610" s="3" t="s">
        <v>13</v>
      </c>
      <c r="C1610" s="3" t="s">
        <v>14</v>
      </c>
      <c r="D1610" s="8" t="str">
        <f>HYPERLINK("http://npthd.inbcu.com/ViewContent.aspx?filename=NPMR_ABC_2017-07-09_E.MP4$11800$11805","Espys")</f>
        <v>Espys</v>
      </c>
      <c r="E1610" s="3" t="s">
        <v>54</v>
      </c>
      <c r="F1610" s="3" t="s">
        <v>1740</v>
      </c>
      <c r="G1610" s="3" t="s">
        <v>913</v>
      </c>
    </row>
    <row r="1611" spans="1:7">
      <c r="A1611" s="6">
        <v>42925</v>
      </c>
      <c r="B1611" s="3" t="s">
        <v>13</v>
      </c>
      <c r="C1611" s="3" t="s">
        <v>21</v>
      </c>
      <c r="D1611" s="8" t="str">
        <f>HYPERLINK("http://npthd.inbcu.com/ViewContent.aspx?filename=NPMR_ABC_2017-07-09_E.MP4$11805$11925","COMMERCIAL")</f>
        <v>COMMERCIAL</v>
      </c>
      <c r="E1611" s="3" t="s">
        <v>43</v>
      </c>
      <c r="F1611" s="3" t="s">
        <v>913</v>
      </c>
      <c r="G1611" s="3" t="s">
        <v>1741</v>
      </c>
    </row>
    <row r="1612" spans="1:7">
      <c r="A1612" s="6">
        <v>42925</v>
      </c>
      <c r="B1612" s="3" t="s">
        <v>13</v>
      </c>
      <c r="C1612" s="3" t="s">
        <v>14</v>
      </c>
      <c r="D1612" s="8" t="str">
        <f>HYPERLINK("http://npthd.inbcu.com/ViewContent.aspx?filename=NPMR_ABC_2017-07-09_E.MP4$11925$11940","Bachelorette")</f>
        <v>Bachelorette</v>
      </c>
      <c r="E1612" s="3" t="s">
        <v>30</v>
      </c>
      <c r="F1612" s="3" t="s">
        <v>1741</v>
      </c>
      <c r="G1612" s="3" t="s">
        <v>1742</v>
      </c>
    </row>
    <row r="1613" spans="1:7">
      <c r="A1613" s="6">
        <v>42925</v>
      </c>
      <c r="B1613" s="3" t="s">
        <v>13</v>
      </c>
      <c r="C1613" s="3" t="s">
        <v>18</v>
      </c>
      <c r="D1613" s="8" t="str">
        <f>HYPERLINK("http://npthd.inbcu.com/ViewContent.aspx?filename=NPMR_ABC_2017-07-09_E.MP4$11940$12358","THE $100,000 PYRAMID: newton vs marshall &amp; decker vs ohno")</f>
        <v>THE $100,000 PYRAMID: newton vs marshall &amp; decker vs ohno</v>
      </c>
      <c r="E1613" s="3" t="s">
        <v>1743</v>
      </c>
      <c r="F1613" s="3" t="s">
        <v>1742</v>
      </c>
      <c r="G1613" s="3" t="s">
        <v>1744</v>
      </c>
    </row>
    <row r="1614" spans="1:7">
      <c r="A1614" s="6">
        <v>42925</v>
      </c>
      <c r="B1614" s="3" t="s">
        <v>13</v>
      </c>
      <c r="C1614" s="3" t="s">
        <v>21</v>
      </c>
      <c r="D1614" s="8" t="str">
        <f>HYPERLINK("http://npthd.inbcu.com/ViewContent.aspx?filename=NPMR_ABC_2017-07-09_E.MP4$12358$12433","COMMERCIAL")</f>
        <v>COMMERCIAL</v>
      </c>
      <c r="E1614" s="3" t="s">
        <v>531</v>
      </c>
      <c r="F1614" s="3" t="s">
        <v>1744</v>
      </c>
      <c r="G1614" s="3" t="s">
        <v>1745</v>
      </c>
    </row>
    <row r="1615" spans="1:7">
      <c r="A1615" s="6">
        <v>42925</v>
      </c>
      <c r="B1615" s="3" t="s">
        <v>13</v>
      </c>
      <c r="C1615" s="3" t="s">
        <v>14</v>
      </c>
      <c r="D1615" s="8" t="str">
        <f>HYPERLINK("http://npthd.inbcu.com/ViewContent.aspx?filename=NPMR_ABC_2017-07-09_E.MP4$12433$12448","Jimmy Kimmel Live!")</f>
        <v>Jimmy Kimmel Live!</v>
      </c>
      <c r="E1615" s="3" t="s">
        <v>30</v>
      </c>
      <c r="F1615" s="3" t="s">
        <v>1745</v>
      </c>
      <c r="G1615" s="3" t="s">
        <v>1746</v>
      </c>
    </row>
    <row r="1616" spans="1:7">
      <c r="A1616" s="6">
        <v>42925</v>
      </c>
      <c r="B1616" s="3" t="s">
        <v>13</v>
      </c>
      <c r="C1616" s="3" t="s">
        <v>14</v>
      </c>
      <c r="D1616" s="8" t="str">
        <f>HYPERLINK("http://npthd.inbcu.com/ViewContent.aspx?filename=NPMR_ABC_2017-07-09_E.MP4$12448$12463","Gong Show, The")</f>
        <v>Gong Show, The</v>
      </c>
      <c r="E1616" s="3" t="s">
        <v>30</v>
      </c>
      <c r="F1616" s="3" t="s">
        <v>1746</v>
      </c>
      <c r="G1616" s="3" t="s">
        <v>1747</v>
      </c>
    </row>
    <row r="1617" spans="1:7">
      <c r="A1617" s="6">
        <v>42925</v>
      </c>
      <c r="B1617" s="3" t="s">
        <v>13</v>
      </c>
      <c r="C1617" s="3" t="s">
        <v>32</v>
      </c>
      <c r="D1617" s="8" t="str">
        <f>HYPERLINK("http://npthd.inbcu.com/ViewContent.aspx?filename=NPMR_ABC_2017-07-09_E.MP4$12463$12569","LOCAL")</f>
        <v>LOCAL</v>
      </c>
      <c r="E1617" s="3" t="s">
        <v>293</v>
      </c>
      <c r="F1617" s="3" t="s">
        <v>1747</v>
      </c>
      <c r="G1617" s="3" t="s">
        <v>1748</v>
      </c>
    </row>
    <row r="1618" spans="1:7">
      <c r="A1618" s="6">
        <v>42925</v>
      </c>
      <c r="B1618" s="3" t="s">
        <v>13</v>
      </c>
      <c r="C1618" s="3" t="s">
        <v>18</v>
      </c>
      <c r="D1618" s="8" t="str">
        <f>HYPERLINK("http://npthd.inbcu.com/ViewContent.aspx?filename=NPMR_ABC_2017-07-09_E.MP4$12569$13208","THE $100,000 PYRAMID: newton vs marshall &amp; decker vs ohno")</f>
        <v>THE $100,000 PYRAMID: newton vs marshall &amp; decker vs ohno</v>
      </c>
      <c r="E1618" s="3" t="s">
        <v>1749</v>
      </c>
      <c r="F1618" s="3" t="s">
        <v>1748</v>
      </c>
      <c r="G1618" s="3" t="s">
        <v>1750</v>
      </c>
    </row>
    <row r="1619" spans="1:7">
      <c r="A1619" s="6">
        <v>42925</v>
      </c>
      <c r="B1619" s="3" t="s">
        <v>13</v>
      </c>
      <c r="C1619" s="3" t="s">
        <v>21</v>
      </c>
      <c r="D1619" s="8" t="str">
        <f>HYPERLINK("http://npthd.inbcu.com/ViewContent.aspx?filename=NPMR_ABC_2017-07-09_E.MP4$13208$13388","COMMERCIAL")</f>
        <v>COMMERCIAL</v>
      </c>
      <c r="E1619" s="3" t="s">
        <v>22</v>
      </c>
      <c r="F1619" s="3" t="s">
        <v>1750</v>
      </c>
      <c r="G1619" s="3" t="s">
        <v>1751</v>
      </c>
    </row>
    <row r="1620" spans="1:7">
      <c r="A1620" s="6">
        <v>42925</v>
      </c>
      <c r="B1620" s="3" t="s">
        <v>13</v>
      </c>
      <c r="C1620" s="3" t="s">
        <v>14</v>
      </c>
      <c r="D1620" s="8" t="str">
        <f>HYPERLINK("http://npthd.inbcu.com/ViewContent.aspx?filename=NPMR_ABC_2017-07-09_E.MP4$13388$13403","Good Morning America")</f>
        <v>Good Morning America</v>
      </c>
      <c r="E1620" s="3" t="s">
        <v>30</v>
      </c>
      <c r="F1620" s="3" t="s">
        <v>1751</v>
      </c>
      <c r="G1620" s="3" t="s">
        <v>1752</v>
      </c>
    </row>
    <row r="1621" spans="1:7">
      <c r="A1621" s="6">
        <v>42925</v>
      </c>
      <c r="B1621" s="3" t="s">
        <v>13</v>
      </c>
      <c r="C1621" s="3" t="s">
        <v>18</v>
      </c>
      <c r="D1621" s="8" t="str">
        <f>HYPERLINK("http://npthd.inbcu.com/ViewContent.aspx?filename=NPMR_ABC_2017-07-09_E.MP4$13403$13544","THE $100,000 PYRAMID: newton vs marshall &amp; decker vs ohno")</f>
        <v>THE $100,000 PYRAMID: newton vs marshall &amp; decker vs ohno</v>
      </c>
      <c r="E1621" s="3" t="s">
        <v>1753</v>
      </c>
      <c r="F1621" s="3" t="s">
        <v>1752</v>
      </c>
      <c r="G1621" s="3" t="s">
        <v>1754</v>
      </c>
    </row>
    <row r="1622" spans="1:7">
      <c r="A1622" s="6">
        <v>42925</v>
      </c>
      <c r="B1622" s="3" t="s">
        <v>13</v>
      </c>
      <c r="C1622" s="3" t="s">
        <v>21</v>
      </c>
      <c r="D1622" s="8" t="str">
        <f>HYPERLINK("http://npthd.inbcu.com/ViewContent.aspx?filename=NPMR_ABC_2017-07-09_E.MP4$13544$13604","COMMERCIAL")</f>
        <v>COMMERCIAL</v>
      </c>
      <c r="E1622" s="3" t="s">
        <v>66</v>
      </c>
      <c r="F1622" s="3" t="s">
        <v>1754</v>
      </c>
      <c r="G1622" s="3" t="s">
        <v>1755</v>
      </c>
    </row>
    <row r="1623" spans="1:7">
      <c r="A1623" s="6">
        <v>42925</v>
      </c>
      <c r="B1623" s="3" t="s">
        <v>13</v>
      </c>
      <c r="C1623" s="3" t="s">
        <v>14</v>
      </c>
      <c r="D1623" s="8" t="str">
        <f>HYPERLINK("http://npthd.inbcu.com/ViewContent.aspx?filename=NPMR_ABC_2017-07-09_E.MP4$13604$13619","Espys")</f>
        <v>Espys</v>
      </c>
      <c r="E1623" s="3" t="s">
        <v>30</v>
      </c>
      <c r="F1623" s="3" t="s">
        <v>1755</v>
      </c>
      <c r="G1623" s="3" t="s">
        <v>1756</v>
      </c>
    </row>
    <row r="1624" spans="1:7">
      <c r="A1624" s="6">
        <v>42925</v>
      </c>
      <c r="B1624" s="3" t="s">
        <v>13</v>
      </c>
      <c r="C1624" s="3" t="s">
        <v>32</v>
      </c>
      <c r="D1624" s="8" t="str">
        <f>HYPERLINK("http://npthd.inbcu.com/ViewContent.aspx?filename=NPMR_ABC_2017-07-09_E.MP4$13619$13709","LOCAL")</f>
        <v>LOCAL</v>
      </c>
      <c r="E1624" s="3" t="s">
        <v>46</v>
      </c>
      <c r="F1624" s="3" t="s">
        <v>1756</v>
      </c>
      <c r="G1624" s="3" t="s">
        <v>1757</v>
      </c>
    </row>
    <row r="1625" spans="1:7">
      <c r="A1625" s="6">
        <v>42925</v>
      </c>
      <c r="B1625" s="3" t="s">
        <v>13</v>
      </c>
      <c r="C1625" s="3" t="s">
        <v>18</v>
      </c>
      <c r="D1625" s="8" t="str">
        <f>HYPERLINK("http://npthd.inbcu.com/ViewContent.aspx?filename=NPMR_ABC_2017-07-09_E.MP4$13709$14162","THE $100,000 PYRAMID: newton vs marshall &amp; decker vs ohno")</f>
        <v>THE $100,000 PYRAMID: newton vs marshall &amp; decker vs ohno</v>
      </c>
      <c r="E1625" s="3" t="s">
        <v>1758</v>
      </c>
      <c r="F1625" s="3" t="s">
        <v>1757</v>
      </c>
      <c r="G1625" s="3" t="s">
        <v>1759</v>
      </c>
    </row>
    <row r="1626" spans="1:7">
      <c r="A1626" s="6">
        <v>42925</v>
      </c>
      <c r="B1626" s="3" t="s">
        <v>13</v>
      </c>
      <c r="C1626" s="3" t="s">
        <v>32</v>
      </c>
      <c r="D1626" s="8" t="str">
        <f>HYPERLINK("http://npthd.inbcu.com/ViewContent.aspx?filename=NPMR_ABC_2017-07-09_E.MP4$14162$14178","LOCAL")</f>
        <v>LOCAL</v>
      </c>
      <c r="E1626" s="3" t="s">
        <v>64</v>
      </c>
      <c r="F1626" s="3" t="s">
        <v>1759</v>
      </c>
      <c r="G1626" s="3" t="s">
        <v>1760</v>
      </c>
    </row>
    <row r="1627" spans="1:7">
      <c r="A1627" s="6">
        <v>42925</v>
      </c>
      <c r="B1627" s="3" t="s">
        <v>13</v>
      </c>
      <c r="C1627" s="3" t="s">
        <v>21</v>
      </c>
      <c r="D1627" s="8" t="str">
        <f>HYPERLINK("http://npthd.inbcu.com/ViewContent.aspx?filename=NPMR_ABC_2017-07-09_E.MP4$14178$14298","COMMERCIAL")</f>
        <v>COMMERCIAL</v>
      </c>
      <c r="E1627" s="3" t="s">
        <v>43</v>
      </c>
      <c r="F1627" s="3" t="s">
        <v>1760</v>
      </c>
      <c r="G1627" s="3" t="s">
        <v>1761</v>
      </c>
    </row>
    <row r="1628" spans="1:7">
      <c r="A1628" s="6">
        <v>42925</v>
      </c>
      <c r="B1628" s="3" t="s">
        <v>13</v>
      </c>
      <c r="C1628" s="3" t="s">
        <v>14</v>
      </c>
      <c r="D1628" s="8" t="str">
        <f>HYPERLINK("http://npthd.inbcu.com/ViewContent.aspx?filename=NPMR_ABC_2017-07-09_E.MP4$14298$14328","Somewhere Between")</f>
        <v>Somewhere Between</v>
      </c>
      <c r="E1628" s="3" t="s">
        <v>38</v>
      </c>
      <c r="F1628" s="3" t="s">
        <v>1761</v>
      </c>
      <c r="G1628" s="3" t="s">
        <v>1762</v>
      </c>
    </row>
    <row r="1629" spans="1:7">
      <c r="A1629" s="6">
        <v>42925</v>
      </c>
      <c r="B1629" s="3" t="s">
        <v>13</v>
      </c>
      <c r="C1629" s="3" t="s">
        <v>18</v>
      </c>
      <c r="D1629" s="8" t="str">
        <f>HYPERLINK("http://npthd.inbcu.com/ViewContent.aspx?filename=NPMR_ABC_2017-07-09_E.MP4$14328$14491","THE $100,000 PYRAMID: newton vs marshall &amp; decker vs ohno")</f>
        <v>THE $100,000 PYRAMID: newton vs marshall &amp; decker vs ohno</v>
      </c>
      <c r="E1629" s="3" t="s">
        <v>1763</v>
      </c>
      <c r="F1629" s="3" t="s">
        <v>1762</v>
      </c>
      <c r="G1629" s="3" t="s">
        <v>698</v>
      </c>
    </row>
    <row r="1630" spans="1:7">
      <c r="A1630" s="6">
        <v>42925</v>
      </c>
      <c r="B1630" s="3" t="s">
        <v>13</v>
      </c>
      <c r="C1630" s="3" t="s">
        <v>32</v>
      </c>
      <c r="D1630" s="8" t="str">
        <f>HYPERLINK("http://npthd.inbcu.com/ViewContent.aspx?filename=NPMR_ABC_2017-07-09_E.MP4$14491$14505","LOCAL")</f>
        <v>LOCAL</v>
      </c>
      <c r="E1630" s="3" t="s">
        <v>342</v>
      </c>
      <c r="F1630" s="3" t="s">
        <v>698</v>
      </c>
      <c r="G1630" s="3" t="s">
        <v>124</v>
      </c>
    </row>
    <row r="1631" spans="1:7">
      <c r="A1631" s="6">
        <v>42926</v>
      </c>
      <c r="B1631" s="3" t="s">
        <v>13</v>
      </c>
      <c r="C1631" s="3" t="s">
        <v>14</v>
      </c>
      <c r="D1631" s="8" t="str">
        <f>HYPERLINK("http://npthd.inbcu.com/ViewContent.aspx?filename=NPMR_ABC_2017-07-10_E.MP4$122$127","ABC Open")</f>
        <v>ABC Open</v>
      </c>
      <c r="E1631" s="3" t="s">
        <v>54</v>
      </c>
      <c r="F1631" s="3" t="s">
        <v>16</v>
      </c>
      <c r="G1631" s="3" t="s">
        <v>125</v>
      </c>
    </row>
    <row r="1632" spans="1:7">
      <c r="A1632" s="6">
        <v>42926</v>
      </c>
      <c r="B1632" s="3" t="s">
        <v>13</v>
      </c>
      <c r="C1632" s="3" t="s">
        <v>18</v>
      </c>
      <c r="D1632" s="8" t="str">
        <f>HYPERLINK("http://npthd.inbcu.com/ViewContent.aspx?filename=NPMR_ABC_2017-07-10_E.MP4$127$545","THE BACHELORETTE: 1307")</f>
        <v>THE BACHELORETTE: 1307</v>
      </c>
      <c r="E1632" s="3" t="s">
        <v>1743</v>
      </c>
      <c r="F1632" s="3" t="s">
        <v>125</v>
      </c>
      <c r="G1632" s="3" t="s">
        <v>1764</v>
      </c>
    </row>
    <row r="1633" spans="1:7">
      <c r="A1633" s="6">
        <v>42926</v>
      </c>
      <c r="B1633" s="3" t="s">
        <v>13</v>
      </c>
      <c r="C1633" s="3" t="s">
        <v>21</v>
      </c>
      <c r="D1633" s="8" t="str">
        <f>HYPERLINK("http://npthd.inbcu.com/ViewContent.aspx?filename=NPMR_ABC_2017-07-10_E.MP4$545$725","COMMERCIAL")</f>
        <v>COMMERCIAL</v>
      </c>
      <c r="E1633" s="3" t="s">
        <v>22</v>
      </c>
      <c r="F1633" s="3" t="s">
        <v>1764</v>
      </c>
      <c r="G1633" s="3" t="s">
        <v>1765</v>
      </c>
    </row>
    <row r="1634" spans="1:7">
      <c r="A1634" s="6">
        <v>42926</v>
      </c>
      <c r="B1634" s="3" t="s">
        <v>13</v>
      </c>
      <c r="C1634" s="3" t="s">
        <v>14</v>
      </c>
      <c r="D1634" s="8" t="str">
        <f>HYPERLINK("http://npthd.inbcu.com/ViewContent.aspx?filename=NPMR_ABC_2017-07-10_E.MP4$725$755","Espys")</f>
        <v>Espys</v>
      </c>
      <c r="E1634" s="3" t="s">
        <v>38</v>
      </c>
      <c r="F1634" s="3" t="s">
        <v>1765</v>
      </c>
      <c r="G1634" s="3" t="s">
        <v>1766</v>
      </c>
    </row>
    <row r="1635" spans="1:7">
      <c r="A1635" s="6">
        <v>42926</v>
      </c>
      <c r="B1635" s="3" t="s">
        <v>13</v>
      </c>
      <c r="C1635" s="3" t="s">
        <v>14</v>
      </c>
      <c r="D1635" s="8" t="str">
        <f>HYPERLINK("http://npthd.inbcu.com/ViewContent.aspx?filename=NPMR_ABC_2017-07-10_E.MP4$755$770","Battle of the Network Stars")</f>
        <v>Battle of the Network Stars</v>
      </c>
      <c r="E1635" s="3" t="s">
        <v>30</v>
      </c>
      <c r="F1635" s="3" t="s">
        <v>1766</v>
      </c>
      <c r="G1635" s="3" t="s">
        <v>1767</v>
      </c>
    </row>
    <row r="1636" spans="1:7">
      <c r="A1636" s="6">
        <v>42926</v>
      </c>
      <c r="B1636" s="3" t="s">
        <v>13</v>
      </c>
      <c r="C1636" s="3" t="s">
        <v>18</v>
      </c>
      <c r="D1636" s="8" t="str">
        <f>HYPERLINK("http://npthd.inbcu.com/ViewContent.aspx?filename=NPMR_ABC_2017-07-10_E.MP4$770$1209","THE BACHELORETTE: 1307")</f>
        <v>THE BACHELORETTE: 1307</v>
      </c>
      <c r="E1636" s="3" t="s">
        <v>1674</v>
      </c>
      <c r="F1636" s="3" t="s">
        <v>1767</v>
      </c>
      <c r="G1636" s="3" t="s">
        <v>1768</v>
      </c>
    </row>
    <row r="1637" spans="1:7">
      <c r="A1637" s="6">
        <v>42926</v>
      </c>
      <c r="B1637" s="3" t="s">
        <v>13</v>
      </c>
      <c r="C1637" s="3" t="s">
        <v>21</v>
      </c>
      <c r="D1637" s="8" t="str">
        <f>HYPERLINK("http://npthd.inbcu.com/ViewContent.aspx?filename=NPMR_ABC_2017-07-10_E.MP4$1209$1344","COMMERCIAL")</f>
        <v>COMMERCIAL</v>
      </c>
      <c r="E1637" s="3" t="s">
        <v>459</v>
      </c>
      <c r="F1637" s="3" t="s">
        <v>1768</v>
      </c>
      <c r="G1637" s="3" t="s">
        <v>1769</v>
      </c>
    </row>
    <row r="1638" spans="1:7">
      <c r="A1638" s="6">
        <v>42926</v>
      </c>
      <c r="B1638" s="3" t="s">
        <v>13</v>
      </c>
      <c r="C1638" s="3" t="s">
        <v>14</v>
      </c>
      <c r="D1638" s="8" t="str">
        <f>HYPERLINK("http://npthd.inbcu.com/ViewContent.aspx?filename=NPMR_ABC_2017-07-10_E.MP4$1344$1374","Bold Type (Freeform)")</f>
        <v>Bold Type (Freeform)</v>
      </c>
      <c r="E1638" s="3" t="s">
        <v>38</v>
      </c>
      <c r="F1638" s="3" t="s">
        <v>1769</v>
      </c>
      <c r="G1638" s="3" t="s">
        <v>1770</v>
      </c>
    </row>
    <row r="1639" spans="1:7">
      <c r="A1639" s="6">
        <v>42926</v>
      </c>
      <c r="B1639" s="3" t="s">
        <v>13</v>
      </c>
      <c r="C1639" s="3" t="s">
        <v>14</v>
      </c>
      <c r="D1639" s="8" t="str">
        <f>HYPERLINK("http://npthd.inbcu.com/ViewContent.aspx?filename=NPMR_ABC_2017-07-10_E.MP4$1374$1389","Good Morning America")</f>
        <v>Good Morning America</v>
      </c>
      <c r="E1639" s="3" t="s">
        <v>30</v>
      </c>
      <c r="F1639" s="3" t="s">
        <v>1770</v>
      </c>
      <c r="G1639" s="3" t="s">
        <v>1771</v>
      </c>
    </row>
    <row r="1640" spans="1:7">
      <c r="A1640" s="6">
        <v>42926</v>
      </c>
      <c r="B1640" s="3" t="s">
        <v>13</v>
      </c>
      <c r="C1640" s="3" t="s">
        <v>32</v>
      </c>
      <c r="D1640" s="8" t="str">
        <f>HYPERLINK("http://npthd.inbcu.com/ViewContent.aspx?filename=NPMR_ABC_2017-07-10_E.MP4$1389$1450","LOCAL")</f>
        <v>LOCAL</v>
      </c>
      <c r="E1640" s="3" t="s">
        <v>33</v>
      </c>
      <c r="F1640" s="3" t="s">
        <v>1771</v>
      </c>
      <c r="G1640" s="3" t="s">
        <v>1772</v>
      </c>
    </row>
    <row r="1641" spans="1:7">
      <c r="A1641" s="6">
        <v>42926</v>
      </c>
      <c r="B1641" s="3" t="s">
        <v>13</v>
      </c>
      <c r="C1641" s="3" t="s">
        <v>18</v>
      </c>
      <c r="D1641" s="8" t="str">
        <f>HYPERLINK("http://npthd.inbcu.com/ViewContent.aspx?filename=NPMR_ABC_2017-07-10_E.MP4$1450$1984","THE BACHELORETTE: 1307")</f>
        <v>THE BACHELORETTE: 1307</v>
      </c>
      <c r="E1641" s="3" t="s">
        <v>1773</v>
      </c>
      <c r="F1641" s="3" t="s">
        <v>1772</v>
      </c>
      <c r="G1641" s="3" t="s">
        <v>1774</v>
      </c>
    </row>
    <row r="1642" spans="1:7">
      <c r="A1642" s="6">
        <v>42926</v>
      </c>
      <c r="B1642" s="3" t="s">
        <v>13</v>
      </c>
      <c r="C1642" s="3" t="s">
        <v>21</v>
      </c>
      <c r="D1642" s="8" t="str">
        <f>HYPERLINK("http://npthd.inbcu.com/ViewContent.aspx?filename=NPMR_ABC_2017-07-10_E.MP4$1984$2194","COMMERCIAL")</f>
        <v>COMMERCIAL</v>
      </c>
      <c r="E1642" s="3" t="s">
        <v>150</v>
      </c>
      <c r="F1642" s="3" t="s">
        <v>1774</v>
      </c>
      <c r="G1642" s="3" t="s">
        <v>1775</v>
      </c>
    </row>
    <row r="1643" spans="1:7">
      <c r="A1643" s="6">
        <v>42926</v>
      </c>
      <c r="B1643" s="3" t="s">
        <v>13</v>
      </c>
      <c r="C1643" s="3" t="s">
        <v>14</v>
      </c>
      <c r="D1643" s="8" t="str">
        <f>HYPERLINK("http://npthd.inbcu.com/ViewContent.aspx?filename=NPMR_ABC_2017-07-10_E.MP4$2194$2209","Descendants 2")</f>
        <v>Descendants 2</v>
      </c>
      <c r="E1643" s="3" t="s">
        <v>30</v>
      </c>
      <c r="F1643" s="3" t="s">
        <v>1775</v>
      </c>
      <c r="G1643" s="3" t="s">
        <v>1776</v>
      </c>
    </row>
    <row r="1644" spans="1:7">
      <c r="A1644" s="6">
        <v>42926</v>
      </c>
      <c r="B1644" s="3" t="s">
        <v>13</v>
      </c>
      <c r="C1644" s="3" t="s">
        <v>14</v>
      </c>
      <c r="D1644" s="8" t="str">
        <f>HYPERLINK("http://npthd.inbcu.com/ViewContent.aspx?filename=NPMR_ABC_2017-07-10_E.MP4$2209$2239","Somewhere Between")</f>
        <v>Somewhere Between</v>
      </c>
      <c r="E1644" s="3" t="s">
        <v>38</v>
      </c>
      <c r="F1644" s="3" t="s">
        <v>1776</v>
      </c>
      <c r="G1644" s="3" t="s">
        <v>1777</v>
      </c>
    </row>
    <row r="1645" spans="1:7">
      <c r="A1645" s="6">
        <v>42926</v>
      </c>
      <c r="B1645" s="3" t="s">
        <v>13</v>
      </c>
      <c r="C1645" s="3" t="s">
        <v>18</v>
      </c>
      <c r="D1645" s="8" t="str">
        <f>HYPERLINK("http://npthd.inbcu.com/ViewContent.aspx?filename=NPMR_ABC_2017-07-10_E.MP4$2239$2686","THE BACHELORETTE: 1307")</f>
        <v>THE BACHELORETTE: 1307</v>
      </c>
      <c r="E1645" s="3" t="s">
        <v>1110</v>
      </c>
      <c r="F1645" s="3" t="s">
        <v>1777</v>
      </c>
      <c r="G1645" s="3" t="s">
        <v>145</v>
      </c>
    </row>
    <row r="1646" spans="1:7">
      <c r="A1646" s="6">
        <v>42926</v>
      </c>
      <c r="B1646" s="3" t="s">
        <v>13</v>
      </c>
      <c r="C1646" s="3" t="s">
        <v>21</v>
      </c>
      <c r="D1646" s="8" t="str">
        <f>HYPERLINK("http://npthd.inbcu.com/ViewContent.aspx?filename=NPMR_ABC_2017-07-10_E.MP4$2686$2821","COMMERCIAL")</f>
        <v>COMMERCIAL</v>
      </c>
      <c r="E1646" s="3" t="s">
        <v>459</v>
      </c>
      <c r="F1646" s="3" t="s">
        <v>145</v>
      </c>
      <c r="G1646" s="3" t="s">
        <v>1778</v>
      </c>
    </row>
    <row r="1647" spans="1:7">
      <c r="A1647" s="6">
        <v>42926</v>
      </c>
      <c r="B1647" s="3" t="s">
        <v>13</v>
      </c>
      <c r="C1647" s="3" t="s">
        <v>14</v>
      </c>
      <c r="D1647" s="8" t="str">
        <f>HYPERLINK("http://npthd.inbcu.com/ViewContent.aspx?filename=NPMR_ABC_2017-07-10_E.MP4$2821$2837","Boy Band")</f>
        <v>Boy Band</v>
      </c>
      <c r="E1647" s="3" t="s">
        <v>64</v>
      </c>
      <c r="F1647" s="3" t="s">
        <v>1778</v>
      </c>
      <c r="G1647" s="3" t="s">
        <v>1779</v>
      </c>
    </row>
    <row r="1648" spans="1:7">
      <c r="A1648" s="6">
        <v>42926</v>
      </c>
      <c r="B1648" s="3" t="s">
        <v>13</v>
      </c>
      <c r="C1648" s="3" t="s">
        <v>32</v>
      </c>
      <c r="D1648" s="8" t="str">
        <f>HYPERLINK("http://npthd.inbcu.com/ViewContent.aspx?filename=NPMR_ABC_2017-07-10_E.MP4$2837$2927","LOCAL")</f>
        <v>LOCAL</v>
      </c>
      <c r="E1648" s="3" t="s">
        <v>46</v>
      </c>
      <c r="F1648" s="3" t="s">
        <v>1779</v>
      </c>
      <c r="G1648" s="3" t="s">
        <v>1780</v>
      </c>
    </row>
    <row r="1649" spans="1:7">
      <c r="A1649" s="6">
        <v>42926</v>
      </c>
      <c r="B1649" s="3" t="s">
        <v>13</v>
      </c>
      <c r="C1649" s="3" t="s">
        <v>18</v>
      </c>
      <c r="D1649" s="8" t="str">
        <f>HYPERLINK("http://npthd.inbcu.com/ViewContent.aspx?filename=NPMR_ABC_2017-07-10_E.MP4$2927$3445","THE BACHELORETTE: 1307")</f>
        <v>THE BACHELORETTE: 1307</v>
      </c>
      <c r="E1649" s="3" t="s">
        <v>1095</v>
      </c>
      <c r="F1649" s="3" t="s">
        <v>1780</v>
      </c>
      <c r="G1649" s="3" t="s">
        <v>51</v>
      </c>
    </row>
    <row r="1650" spans="1:7">
      <c r="A1650" s="6">
        <v>42926</v>
      </c>
      <c r="B1650" s="3" t="s">
        <v>13</v>
      </c>
      <c r="C1650" s="3" t="s">
        <v>21</v>
      </c>
      <c r="D1650" s="8" t="str">
        <f>HYPERLINK("http://npthd.inbcu.com/ViewContent.aspx?filename=NPMR_ABC_2017-07-10_E.MP4$3445$3655","COMMERCIAL")</f>
        <v>COMMERCIAL</v>
      </c>
      <c r="E1650" s="3" t="s">
        <v>150</v>
      </c>
      <c r="F1650" s="3" t="s">
        <v>51</v>
      </c>
      <c r="G1650" s="3" t="s">
        <v>1781</v>
      </c>
    </row>
    <row r="1651" spans="1:7">
      <c r="A1651" s="6">
        <v>42926</v>
      </c>
      <c r="B1651" s="3" t="s">
        <v>13</v>
      </c>
      <c r="C1651" s="3" t="s">
        <v>14</v>
      </c>
      <c r="D1651" s="8" t="str">
        <f>HYPERLINK("http://npthd.inbcu.com/ViewContent.aspx?filename=NPMR_ABC_2017-07-10_E.MP4$3655$3685","ABC Sunday")</f>
        <v>ABC Sunday</v>
      </c>
      <c r="E1651" s="3" t="s">
        <v>38</v>
      </c>
      <c r="F1651" s="3" t="s">
        <v>1781</v>
      </c>
      <c r="G1651" s="3" t="s">
        <v>1782</v>
      </c>
    </row>
    <row r="1652" spans="1:7">
      <c r="A1652" s="6">
        <v>42926</v>
      </c>
      <c r="B1652" s="3" t="s">
        <v>13</v>
      </c>
      <c r="C1652" s="3" t="s">
        <v>32</v>
      </c>
      <c r="D1652" s="8" t="str">
        <f>HYPERLINK("http://npthd.inbcu.com/ViewContent.aspx?filename=NPMR_ABC_2017-07-10_E.MP4$3685$3690","LOCAL")</f>
        <v>LOCAL</v>
      </c>
      <c r="E1652" s="3" t="s">
        <v>54</v>
      </c>
      <c r="F1652" s="3" t="s">
        <v>1782</v>
      </c>
      <c r="G1652" s="3" t="s">
        <v>1783</v>
      </c>
    </row>
    <row r="1653" spans="1:7">
      <c r="A1653" s="6">
        <v>42926</v>
      </c>
      <c r="B1653" s="3" t="s">
        <v>13</v>
      </c>
      <c r="C1653" s="3" t="s">
        <v>18</v>
      </c>
      <c r="D1653" s="8" t="str">
        <f>HYPERLINK("http://npthd.inbcu.com/ViewContent.aspx?filename=NPMR_ABC_2017-07-10_E.MP4$3690$4075","THE BACHELORETTE: 1307")</f>
        <v>THE BACHELORETTE: 1307</v>
      </c>
      <c r="E1653" s="3" t="s">
        <v>1455</v>
      </c>
      <c r="F1653" s="3" t="s">
        <v>1783</v>
      </c>
      <c r="G1653" s="3" t="s">
        <v>1784</v>
      </c>
    </row>
    <row r="1654" spans="1:7">
      <c r="A1654" s="6">
        <v>42926</v>
      </c>
      <c r="B1654" s="3" t="s">
        <v>13</v>
      </c>
      <c r="C1654" s="3" t="s">
        <v>21</v>
      </c>
      <c r="D1654" s="8" t="str">
        <f>HYPERLINK("http://npthd.inbcu.com/ViewContent.aspx?filename=NPMR_ABC_2017-07-10_E.MP4$4075$4286","COMMERCIAL")</f>
        <v>COMMERCIAL</v>
      </c>
      <c r="E1654" s="3" t="s">
        <v>334</v>
      </c>
      <c r="F1654" s="3" t="s">
        <v>1784</v>
      </c>
      <c r="G1654" s="3" t="s">
        <v>1785</v>
      </c>
    </row>
    <row r="1655" spans="1:7">
      <c r="A1655" s="6">
        <v>42926</v>
      </c>
      <c r="B1655" s="3" t="s">
        <v>13</v>
      </c>
      <c r="C1655" s="3" t="s">
        <v>14</v>
      </c>
      <c r="D1655" s="8" t="str">
        <f>HYPERLINK("http://npthd.inbcu.com/ViewContent.aspx?filename=NPMR_ABC_2017-07-10_E.MP4$4286$4301","World News Tonight")</f>
        <v>World News Tonight</v>
      </c>
      <c r="E1655" s="3" t="s">
        <v>30</v>
      </c>
      <c r="F1655" s="3" t="s">
        <v>1785</v>
      </c>
      <c r="G1655" s="3" t="s">
        <v>879</v>
      </c>
    </row>
    <row r="1656" spans="1:7">
      <c r="A1656" s="6">
        <v>42926</v>
      </c>
      <c r="B1656" s="3" t="s">
        <v>13</v>
      </c>
      <c r="C1656" s="3" t="s">
        <v>14</v>
      </c>
      <c r="D1656" s="8" t="str">
        <f>HYPERLINK("http://npthd.inbcu.com/ViewContent.aspx?filename=NPMR_ABC_2017-07-10_E.MP4$4301$4316","Espys")</f>
        <v>Espys</v>
      </c>
      <c r="E1656" s="3" t="s">
        <v>30</v>
      </c>
      <c r="F1656" s="3" t="s">
        <v>879</v>
      </c>
      <c r="G1656" s="3" t="s">
        <v>1786</v>
      </c>
    </row>
    <row r="1657" spans="1:7">
      <c r="A1657" s="6">
        <v>42926</v>
      </c>
      <c r="B1657" s="3" t="s">
        <v>13</v>
      </c>
      <c r="C1657" s="3" t="s">
        <v>18</v>
      </c>
      <c r="D1657" s="8" t="str">
        <f>HYPERLINK("http://npthd.inbcu.com/ViewContent.aspx?filename=NPMR_ABC_2017-07-10_E.MP4$4316$4838","THE BACHELORETTE: 1307")</f>
        <v>THE BACHELORETTE: 1307</v>
      </c>
      <c r="E1657" s="3" t="s">
        <v>1560</v>
      </c>
      <c r="F1657" s="3" t="s">
        <v>1786</v>
      </c>
      <c r="G1657" s="3" t="s">
        <v>1787</v>
      </c>
    </row>
    <row r="1658" spans="1:7">
      <c r="A1658" s="6">
        <v>42926</v>
      </c>
      <c r="B1658" s="3" t="s">
        <v>13</v>
      </c>
      <c r="C1658" s="3" t="s">
        <v>21</v>
      </c>
      <c r="D1658" s="8" t="str">
        <f>HYPERLINK("http://npthd.inbcu.com/ViewContent.aspx?filename=NPMR_ABC_2017-07-10_E.MP4$4838$4988","COMMERCIAL")</f>
        <v>COMMERCIAL</v>
      </c>
      <c r="E1658" s="3" t="s">
        <v>28</v>
      </c>
      <c r="F1658" s="3" t="s">
        <v>1787</v>
      </c>
      <c r="G1658" s="3" t="s">
        <v>1788</v>
      </c>
    </row>
    <row r="1659" spans="1:7">
      <c r="A1659" s="6">
        <v>42926</v>
      </c>
      <c r="B1659" s="3" t="s">
        <v>13</v>
      </c>
      <c r="C1659" s="3" t="s">
        <v>14</v>
      </c>
      <c r="D1659" s="8" t="str">
        <f>HYPERLINK("http://npthd.inbcu.com/ViewContent.aspx?filename=NPMR_ABC_2017-07-10_E.MP4$4988$5018","Battle of the Network Stars")</f>
        <v>Battle of the Network Stars</v>
      </c>
      <c r="E1659" s="3" t="s">
        <v>38</v>
      </c>
      <c r="F1659" s="3" t="s">
        <v>1788</v>
      </c>
      <c r="G1659" s="3" t="s">
        <v>1789</v>
      </c>
    </row>
    <row r="1660" spans="1:7">
      <c r="A1660" s="6">
        <v>42926</v>
      </c>
      <c r="B1660" s="3" t="s">
        <v>13</v>
      </c>
      <c r="C1660" s="3" t="s">
        <v>32</v>
      </c>
      <c r="D1660" s="8" t="str">
        <f>HYPERLINK("http://npthd.inbcu.com/ViewContent.aspx?filename=NPMR_ABC_2017-07-10_E.MP4$5018$5079","LOCAL")</f>
        <v>LOCAL</v>
      </c>
      <c r="E1660" s="3" t="s">
        <v>33</v>
      </c>
      <c r="F1660" s="3" t="s">
        <v>1789</v>
      </c>
      <c r="G1660" s="3" t="s">
        <v>1790</v>
      </c>
    </row>
    <row r="1661" spans="1:7">
      <c r="A1661" s="6">
        <v>42926</v>
      </c>
      <c r="B1661" s="3" t="s">
        <v>13</v>
      </c>
      <c r="C1661" s="3" t="s">
        <v>18</v>
      </c>
      <c r="D1661" s="8" t="str">
        <f>HYPERLINK("http://npthd.inbcu.com/ViewContent.aspx?filename=NPMR_ABC_2017-07-10_E.MP4$5079$5790","THE BACHELORETTE: 1307")</f>
        <v>THE BACHELORETTE: 1307</v>
      </c>
      <c r="E1661" s="3" t="s">
        <v>1791</v>
      </c>
      <c r="F1661" s="3" t="s">
        <v>1790</v>
      </c>
      <c r="G1661" s="3" t="s">
        <v>1792</v>
      </c>
    </row>
    <row r="1662" spans="1:7">
      <c r="A1662" s="6">
        <v>42926</v>
      </c>
      <c r="B1662" s="3" t="s">
        <v>13</v>
      </c>
      <c r="C1662" s="3" t="s">
        <v>21</v>
      </c>
      <c r="D1662" s="8" t="str">
        <f>HYPERLINK("http://npthd.inbcu.com/ViewContent.aspx?filename=NPMR_ABC_2017-07-10_E.MP4$5790$5940","COMMERCIAL")</f>
        <v>COMMERCIAL</v>
      </c>
      <c r="E1662" s="3" t="s">
        <v>28</v>
      </c>
      <c r="F1662" s="3" t="s">
        <v>1792</v>
      </c>
      <c r="G1662" s="3" t="s">
        <v>1793</v>
      </c>
    </row>
    <row r="1663" spans="1:7">
      <c r="A1663" s="6">
        <v>42926</v>
      </c>
      <c r="B1663" s="3" t="s">
        <v>13</v>
      </c>
      <c r="C1663" s="3" t="s">
        <v>14</v>
      </c>
      <c r="D1663" s="8" t="str">
        <f>HYPERLINK("http://npthd.inbcu.com/ViewContent.aspx?filename=NPMR_ABC_2017-07-10_E.MP4$5940$5955","Gong Show, The")</f>
        <v>Gong Show, The</v>
      </c>
      <c r="E1663" s="3" t="s">
        <v>30</v>
      </c>
      <c r="F1663" s="3" t="s">
        <v>1793</v>
      </c>
      <c r="G1663" s="3" t="s">
        <v>1794</v>
      </c>
    </row>
    <row r="1664" spans="1:7">
      <c r="A1664" s="6">
        <v>42926</v>
      </c>
      <c r="B1664" s="3" t="s">
        <v>13</v>
      </c>
      <c r="C1664" s="3" t="s">
        <v>14</v>
      </c>
      <c r="D1664" s="8" t="str">
        <f>HYPERLINK("http://npthd.inbcu.com/ViewContent.aspx?filename=NPMR_ABC_2017-07-10_E.MP4$5955$5970","Somewhere Between")</f>
        <v>Somewhere Between</v>
      </c>
      <c r="E1664" s="3" t="s">
        <v>30</v>
      </c>
      <c r="F1664" s="3" t="s">
        <v>1794</v>
      </c>
      <c r="G1664" s="3" t="s">
        <v>1149</v>
      </c>
    </row>
    <row r="1665" spans="1:7">
      <c r="A1665" s="6">
        <v>42926</v>
      </c>
      <c r="B1665" s="3" t="s">
        <v>13</v>
      </c>
      <c r="C1665" s="3" t="s">
        <v>32</v>
      </c>
      <c r="D1665" s="8" t="str">
        <f>HYPERLINK("http://npthd.inbcu.com/ViewContent.aspx?filename=NPMR_ABC_2017-07-10_E.MP4$5970$6061","LOCAL")</f>
        <v>LOCAL</v>
      </c>
      <c r="E1665" s="3" t="s">
        <v>77</v>
      </c>
      <c r="F1665" s="3" t="s">
        <v>1149</v>
      </c>
      <c r="G1665" s="3" t="s">
        <v>1795</v>
      </c>
    </row>
    <row r="1666" spans="1:7">
      <c r="A1666" s="6">
        <v>42926</v>
      </c>
      <c r="B1666" s="3" t="s">
        <v>13</v>
      </c>
      <c r="C1666" s="3" t="s">
        <v>18</v>
      </c>
      <c r="D1666" s="8" t="str">
        <f>HYPERLINK("http://npthd.inbcu.com/ViewContent.aspx?filename=NPMR_ABC_2017-07-10_E.MP4$6061$6609","THE BACHELORETTE: 1307")</f>
        <v>THE BACHELORETTE: 1307</v>
      </c>
      <c r="E1666" s="3" t="s">
        <v>287</v>
      </c>
      <c r="F1666" s="3" t="s">
        <v>1795</v>
      </c>
      <c r="G1666" s="3" t="s">
        <v>1796</v>
      </c>
    </row>
    <row r="1667" spans="1:7">
      <c r="A1667" s="6">
        <v>42926</v>
      </c>
      <c r="B1667" s="3" t="s">
        <v>13</v>
      </c>
      <c r="C1667" s="3" t="s">
        <v>21</v>
      </c>
      <c r="D1667" s="8" t="str">
        <f>HYPERLINK("http://npthd.inbcu.com/ViewContent.aspx?filename=NPMR_ABC_2017-07-10_E.MP4$6609$6789","COMMERCIAL")</f>
        <v>COMMERCIAL</v>
      </c>
      <c r="E1667" s="3" t="s">
        <v>22</v>
      </c>
      <c r="F1667" s="3" t="s">
        <v>1796</v>
      </c>
      <c r="G1667" s="3" t="s">
        <v>1797</v>
      </c>
    </row>
    <row r="1668" spans="1:7">
      <c r="A1668" s="6">
        <v>42926</v>
      </c>
      <c r="B1668" s="3" t="s">
        <v>13</v>
      </c>
      <c r="C1668" s="3" t="s">
        <v>14</v>
      </c>
      <c r="D1668" s="8" t="str">
        <f>HYPERLINK("http://npthd.inbcu.com/ViewContent.aspx?filename=NPMR_ABC_2017-07-10_E.MP4$6789$6804","Jimmy Kimmel Live!")</f>
        <v>Jimmy Kimmel Live!</v>
      </c>
      <c r="E1668" s="3" t="s">
        <v>30</v>
      </c>
      <c r="F1668" s="3" t="s">
        <v>1797</v>
      </c>
      <c r="G1668" s="3" t="s">
        <v>1798</v>
      </c>
    </row>
    <row r="1669" spans="1:7">
      <c r="A1669" s="6">
        <v>42926</v>
      </c>
      <c r="B1669" s="3" t="s">
        <v>13</v>
      </c>
      <c r="C1669" s="3" t="s">
        <v>14</v>
      </c>
      <c r="D1669" s="8" t="str">
        <f>HYPERLINK("http://npthd.inbcu.com/ViewContent.aspx?filename=NPMR_ABC_2017-07-10_E.MP4$6804$6834","Espys")</f>
        <v>Espys</v>
      </c>
      <c r="E1669" s="3" t="s">
        <v>38</v>
      </c>
      <c r="F1669" s="3" t="s">
        <v>1798</v>
      </c>
      <c r="G1669" s="3" t="s">
        <v>1799</v>
      </c>
    </row>
    <row r="1670" spans="1:7">
      <c r="A1670" s="6">
        <v>42926</v>
      </c>
      <c r="B1670" s="3" t="s">
        <v>13</v>
      </c>
      <c r="C1670" s="3" t="s">
        <v>14</v>
      </c>
      <c r="D1670" s="8" t="str">
        <f>HYPERLINK("http://npthd.inbcu.com/ViewContent.aspx?filename=NPMR_ABC_2017-07-10_E.MP4$6834$6864","Boy Band")</f>
        <v>Boy Band</v>
      </c>
      <c r="E1670" s="3" t="s">
        <v>38</v>
      </c>
      <c r="F1670" s="3" t="s">
        <v>1799</v>
      </c>
      <c r="G1670" s="3" t="s">
        <v>1800</v>
      </c>
    </row>
    <row r="1671" spans="1:7">
      <c r="A1671" s="6">
        <v>42926</v>
      </c>
      <c r="B1671" s="3" t="s">
        <v>13</v>
      </c>
      <c r="C1671" s="3" t="s">
        <v>32</v>
      </c>
      <c r="D1671" s="8" t="str">
        <f>HYPERLINK("http://npthd.inbcu.com/ViewContent.aspx?filename=NPMR_ABC_2017-07-10_E.MP4$6864$6869","LOCAL")</f>
        <v>LOCAL</v>
      </c>
      <c r="E1671" s="3" t="s">
        <v>54</v>
      </c>
      <c r="F1671" s="3" t="s">
        <v>1800</v>
      </c>
      <c r="G1671" s="3" t="s">
        <v>1801</v>
      </c>
    </row>
    <row r="1672" spans="1:7">
      <c r="A1672" s="6">
        <v>42926</v>
      </c>
      <c r="B1672" s="3" t="s">
        <v>13</v>
      </c>
      <c r="C1672" s="3" t="s">
        <v>18</v>
      </c>
      <c r="D1672" s="8" t="str">
        <f>HYPERLINK("http://npthd.inbcu.com/ViewContent.aspx?filename=NPMR_ABC_2017-07-10_E.MP4$6869$7382","THE BACHELORETTE: 1307")</f>
        <v>THE BACHELORETTE: 1307</v>
      </c>
      <c r="E1672" s="3" t="s">
        <v>1488</v>
      </c>
      <c r="F1672" s="3" t="s">
        <v>1801</v>
      </c>
      <c r="G1672" s="3" t="s">
        <v>474</v>
      </c>
    </row>
    <row r="1673" spans="1:7">
      <c r="A1673" s="6">
        <v>42926</v>
      </c>
      <c r="B1673" s="3" t="s">
        <v>13</v>
      </c>
      <c r="C1673" s="3" t="s">
        <v>14</v>
      </c>
      <c r="D1673" s="8" t="str">
        <f>HYPERLINK("http://npthd.inbcu.com/ViewContent.aspx?filename=NPMR_ABC_2017-07-10_E.MP4$7382$7387","Gong Show, The")</f>
        <v>Gong Show, The</v>
      </c>
      <c r="E1673" s="3" t="s">
        <v>54</v>
      </c>
      <c r="F1673" s="3" t="s">
        <v>474</v>
      </c>
      <c r="G1673" s="3" t="s">
        <v>1802</v>
      </c>
    </row>
    <row r="1674" spans="1:7">
      <c r="A1674" s="6">
        <v>42926</v>
      </c>
      <c r="B1674" s="3" t="s">
        <v>13</v>
      </c>
      <c r="C1674" s="3" t="s">
        <v>18</v>
      </c>
      <c r="D1674" s="8" t="str">
        <f>HYPERLINK("http://npthd.inbcu.com/ViewContent.aspx?filename=NPMR_ABC_2017-07-10_E.MP4$7387$8038","THE GONG SHOW: carvey, ross, anderson")</f>
        <v>THE GONG SHOW: carvey, ross, anderson</v>
      </c>
      <c r="E1674" s="3" t="s">
        <v>19</v>
      </c>
      <c r="F1674" s="3" t="s">
        <v>1802</v>
      </c>
      <c r="G1674" s="3" t="s">
        <v>1803</v>
      </c>
    </row>
    <row r="1675" spans="1:7">
      <c r="A1675" s="6">
        <v>42926</v>
      </c>
      <c r="B1675" s="3" t="s">
        <v>13</v>
      </c>
      <c r="C1675" s="3" t="s">
        <v>21</v>
      </c>
      <c r="D1675" s="8" t="str">
        <f>HYPERLINK("http://npthd.inbcu.com/ViewContent.aspx?filename=NPMR_ABC_2017-07-10_E.MP4$8038$8218","COMMERCIAL")</f>
        <v>COMMERCIAL</v>
      </c>
      <c r="E1675" s="3" t="s">
        <v>22</v>
      </c>
      <c r="F1675" s="3" t="s">
        <v>1803</v>
      </c>
      <c r="G1675" s="3" t="s">
        <v>1804</v>
      </c>
    </row>
    <row r="1676" spans="1:7">
      <c r="A1676" s="6">
        <v>42926</v>
      </c>
      <c r="B1676" s="3" t="s">
        <v>13</v>
      </c>
      <c r="C1676" s="3" t="s">
        <v>14</v>
      </c>
      <c r="D1676" s="8" t="str">
        <f>HYPERLINK("http://npthd.inbcu.com/ViewContent.aspx?filename=NPMR_ABC_2017-07-10_E.MP4$8218$8238","Gong Show, The")</f>
        <v>Gong Show, The</v>
      </c>
      <c r="E1676" s="3" t="s">
        <v>1805</v>
      </c>
      <c r="F1676" s="3" t="s">
        <v>1804</v>
      </c>
      <c r="G1676" s="3" t="s">
        <v>1806</v>
      </c>
    </row>
    <row r="1677" spans="1:7">
      <c r="A1677" s="6">
        <v>42926</v>
      </c>
      <c r="B1677" s="3" t="s">
        <v>13</v>
      </c>
      <c r="C1677" s="3" t="s">
        <v>18</v>
      </c>
      <c r="D1677" s="8" t="str">
        <f>HYPERLINK("http://npthd.inbcu.com/ViewContent.aspx?filename=NPMR_ABC_2017-07-10_E.MP4$8238$8664","THE GONG SHOW: carvey, ross, anderson")</f>
        <v>THE GONG SHOW: carvey, ross, anderson</v>
      </c>
      <c r="E1677" s="3" t="s">
        <v>1807</v>
      </c>
      <c r="F1677" s="3" t="s">
        <v>1806</v>
      </c>
      <c r="G1677" s="3" t="s">
        <v>1808</v>
      </c>
    </row>
    <row r="1678" spans="1:7">
      <c r="A1678" s="6">
        <v>42926</v>
      </c>
      <c r="B1678" s="3" t="s">
        <v>13</v>
      </c>
      <c r="C1678" s="3" t="s">
        <v>21</v>
      </c>
      <c r="D1678" s="8" t="str">
        <f>HYPERLINK("http://npthd.inbcu.com/ViewContent.aspx?filename=NPMR_ABC_2017-07-10_E.MP4$8664$8784","COMMERCIAL")</f>
        <v>COMMERCIAL</v>
      </c>
      <c r="E1678" s="3" t="s">
        <v>43</v>
      </c>
      <c r="F1678" s="3" t="s">
        <v>1808</v>
      </c>
      <c r="G1678" s="3" t="s">
        <v>683</v>
      </c>
    </row>
    <row r="1679" spans="1:7">
      <c r="A1679" s="6">
        <v>42926</v>
      </c>
      <c r="B1679" s="3" t="s">
        <v>13</v>
      </c>
      <c r="C1679" s="3" t="s">
        <v>18</v>
      </c>
      <c r="D1679" s="8" t="str">
        <f>HYPERLINK("http://npthd.inbcu.com/ViewContent.aspx?filename=NPMR_ABC_2017-07-10_E.MP4$8784$8799","THE GONG SHOW: carvey, ross, anderson")</f>
        <v>THE GONG SHOW: carvey, ross, anderson</v>
      </c>
      <c r="E1679" s="3" t="s">
        <v>30</v>
      </c>
      <c r="F1679" s="3" t="s">
        <v>683</v>
      </c>
      <c r="G1679" s="3" t="s">
        <v>1809</v>
      </c>
    </row>
    <row r="1680" spans="1:7">
      <c r="A1680" s="6">
        <v>42926</v>
      </c>
      <c r="B1680" s="3" t="s">
        <v>13</v>
      </c>
      <c r="C1680" s="3" t="s">
        <v>32</v>
      </c>
      <c r="D1680" s="8" t="str">
        <f>HYPERLINK("http://npthd.inbcu.com/ViewContent.aspx?filename=NPMR_ABC_2017-07-10_E.MP4$8799$8859","LOCAL")</f>
        <v>LOCAL</v>
      </c>
      <c r="E1680" s="3" t="s">
        <v>66</v>
      </c>
      <c r="F1680" s="3" t="s">
        <v>1809</v>
      </c>
      <c r="G1680" s="3" t="s">
        <v>1521</v>
      </c>
    </row>
    <row r="1681" spans="1:7">
      <c r="A1681" s="6">
        <v>42926</v>
      </c>
      <c r="B1681" s="3" t="s">
        <v>13</v>
      </c>
      <c r="C1681" s="3" t="s">
        <v>14</v>
      </c>
      <c r="D1681" s="8" t="str">
        <f>HYPERLINK("http://npthd.inbcu.com/ViewContent.aspx?filename=NPMR_ABC_2017-07-10_E.MP4$8859$8874","Boy Band")</f>
        <v>Boy Band</v>
      </c>
      <c r="E1681" s="3" t="s">
        <v>30</v>
      </c>
      <c r="F1681" s="3" t="s">
        <v>1521</v>
      </c>
      <c r="G1681" s="3" t="s">
        <v>193</v>
      </c>
    </row>
    <row r="1682" spans="1:7">
      <c r="A1682" s="6">
        <v>42926</v>
      </c>
      <c r="B1682" s="3" t="s">
        <v>13</v>
      </c>
      <c r="C1682" s="3" t="s">
        <v>14</v>
      </c>
      <c r="D1682" s="8" t="str">
        <f>HYPERLINK("http://npthd.inbcu.com/ViewContent.aspx?filename=NPMR_ABC_2017-07-10_E.MP4$8874$8889","Battle of the Network Stars")</f>
        <v>Battle of the Network Stars</v>
      </c>
      <c r="E1682" s="3" t="s">
        <v>30</v>
      </c>
      <c r="F1682" s="3" t="s">
        <v>193</v>
      </c>
      <c r="G1682" s="3" t="s">
        <v>1810</v>
      </c>
    </row>
    <row r="1683" spans="1:7">
      <c r="A1683" s="6">
        <v>42926</v>
      </c>
      <c r="B1683" s="3" t="s">
        <v>13</v>
      </c>
      <c r="C1683" s="3" t="s">
        <v>18</v>
      </c>
      <c r="D1683" s="8" t="str">
        <f>HYPERLINK("http://npthd.inbcu.com/ViewContent.aspx?filename=NPMR_ABC_2017-07-10_E.MP4$8889$9188","THE GONG SHOW: carvey, ross, anderson")</f>
        <v>THE GONG SHOW: carvey, ross, anderson</v>
      </c>
      <c r="E1683" s="3" t="s">
        <v>1522</v>
      </c>
      <c r="F1683" s="3" t="s">
        <v>1810</v>
      </c>
      <c r="G1683" s="3" t="s">
        <v>485</v>
      </c>
    </row>
    <row r="1684" spans="1:7">
      <c r="A1684" s="6">
        <v>42926</v>
      </c>
      <c r="B1684" s="3" t="s">
        <v>13</v>
      </c>
      <c r="C1684" s="3" t="s">
        <v>21</v>
      </c>
      <c r="D1684" s="8" t="str">
        <f>HYPERLINK("http://npthd.inbcu.com/ViewContent.aspx?filename=NPMR_ABC_2017-07-10_E.MP4$9188$9248","COMMERCIAL")</f>
        <v>COMMERCIAL</v>
      </c>
      <c r="E1684" s="3" t="s">
        <v>66</v>
      </c>
      <c r="F1684" s="3" t="s">
        <v>485</v>
      </c>
      <c r="G1684" s="3" t="s">
        <v>1524</v>
      </c>
    </row>
    <row r="1685" spans="1:7">
      <c r="A1685" s="6">
        <v>42926</v>
      </c>
      <c r="B1685" s="3" t="s">
        <v>13</v>
      </c>
      <c r="C1685" s="3" t="s">
        <v>14</v>
      </c>
      <c r="D1685" s="8" t="str">
        <f>HYPERLINK("http://npthd.inbcu.com/ViewContent.aspx?filename=NPMR_ABC_2017-07-10_E.MP4$9248$9278","Bold Type (Freeform)")</f>
        <v>Bold Type (Freeform)</v>
      </c>
      <c r="E1685" s="3" t="s">
        <v>38</v>
      </c>
      <c r="F1685" s="3" t="s">
        <v>1524</v>
      </c>
      <c r="G1685" s="3" t="s">
        <v>486</v>
      </c>
    </row>
    <row r="1686" spans="1:7">
      <c r="A1686" s="6">
        <v>42926</v>
      </c>
      <c r="B1686" s="3" t="s">
        <v>13</v>
      </c>
      <c r="C1686" s="3" t="s">
        <v>32</v>
      </c>
      <c r="D1686" s="8" t="str">
        <f>HYPERLINK("http://npthd.inbcu.com/ViewContent.aspx?filename=NPMR_ABC_2017-07-10_E.MP4$9278$9414","LOCAL")</f>
        <v>LOCAL</v>
      </c>
      <c r="E1686" s="3" t="s">
        <v>668</v>
      </c>
      <c r="F1686" s="3" t="s">
        <v>486</v>
      </c>
      <c r="G1686" s="3" t="s">
        <v>1811</v>
      </c>
    </row>
    <row r="1687" spans="1:7">
      <c r="A1687" s="6">
        <v>42926</v>
      </c>
      <c r="B1687" s="3" t="s">
        <v>13</v>
      </c>
      <c r="C1687" s="3" t="s">
        <v>18</v>
      </c>
      <c r="D1687" s="8" t="str">
        <f>HYPERLINK("http://npthd.inbcu.com/ViewContent.aspx?filename=NPMR_ABC_2017-07-10_E.MP4$9414$9877","THE GONG SHOW: carvey, ross, anderson")</f>
        <v>THE GONG SHOW: carvey, ross, anderson</v>
      </c>
      <c r="E1687" s="3" t="s">
        <v>232</v>
      </c>
      <c r="F1687" s="3" t="s">
        <v>1811</v>
      </c>
      <c r="G1687" s="3" t="s">
        <v>1812</v>
      </c>
    </row>
    <row r="1688" spans="1:7">
      <c r="A1688" s="6">
        <v>42926</v>
      </c>
      <c r="B1688" s="3" t="s">
        <v>13</v>
      </c>
      <c r="C1688" s="3" t="s">
        <v>21</v>
      </c>
      <c r="D1688" s="8" t="str">
        <f>HYPERLINK("http://npthd.inbcu.com/ViewContent.aspx?filename=NPMR_ABC_2017-07-10_E.MP4$9877$9997","COMMERCIAL")</f>
        <v>COMMERCIAL</v>
      </c>
      <c r="E1688" s="3" t="s">
        <v>43</v>
      </c>
      <c r="F1688" s="3" t="s">
        <v>1812</v>
      </c>
      <c r="G1688" s="3" t="s">
        <v>692</v>
      </c>
    </row>
    <row r="1689" spans="1:7">
      <c r="A1689" s="6">
        <v>42926</v>
      </c>
      <c r="B1689" s="3" t="s">
        <v>13</v>
      </c>
      <c r="C1689" s="3" t="s">
        <v>14</v>
      </c>
      <c r="D1689" s="8" t="str">
        <f>HYPERLINK("http://npthd.inbcu.com/ViewContent.aspx?filename=NPMR_ABC_2017-07-10_E.MP4$9997$10012","Espys")</f>
        <v>Espys</v>
      </c>
      <c r="E1689" s="3" t="s">
        <v>30</v>
      </c>
      <c r="F1689" s="3" t="s">
        <v>692</v>
      </c>
      <c r="G1689" s="3" t="s">
        <v>1813</v>
      </c>
    </row>
    <row r="1690" spans="1:7">
      <c r="A1690" s="6">
        <v>42926</v>
      </c>
      <c r="B1690" s="3" t="s">
        <v>13</v>
      </c>
      <c r="C1690" s="3" t="s">
        <v>14</v>
      </c>
      <c r="D1690" s="8" t="str">
        <f>HYPERLINK("http://npthd.inbcu.com/ViewContent.aspx?filename=NPMR_ABC_2017-07-10_E.MP4$10012$10027","To Tell the Truth")</f>
        <v>To Tell the Truth</v>
      </c>
      <c r="E1690" s="3" t="s">
        <v>30</v>
      </c>
      <c r="F1690" s="3" t="s">
        <v>1813</v>
      </c>
      <c r="G1690" s="3" t="s">
        <v>1814</v>
      </c>
    </row>
    <row r="1691" spans="1:7">
      <c r="A1691" s="6">
        <v>42926</v>
      </c>
      <c r="B1691" s="3" t="s">
        <v>13</v>
      </c>
      <c r="C1691" s="3" t="s">
        <v>32</v>
      </c>
      <c r="D1691" s="8" t="str">
        <f>HYPERLINK("http://npthd.inbcu.com/ViewContent.aspx?filename=NPMR_ABC_2017-07-10_E.MP4$10027$10088","LOCAL")</f>
        <v>LOCAL</v>
      </c>
      <c r="E1691" s="3" t="s">
        <v>33</v>
      </c>
      <c r="F1691" s="3" t="s">
        <v>1814</v>
      </c>
      <c r="G1691" s="3" t="s">
        <v>1815</v>
      </c>
    </row>
    <row r="1692" spans="1:7">
      <c r="A1692" s="6">
        <v>42926</v>
      </c>
      <c r="B1692" s="3" t="s">
        <v>13</v>
      </c>
      <c r="C1692" s="3" t="s">
        <v>18</v>
      </c>
      <c r="D1692" s="8" t="str">
        <f>HYPERLINK("http://npthd.inbcu.com/ViewContent.aspx?filename=NPMR_ABC_2017-07-10_E.MP4$10088$10493","THE GONG SHOW: carvey, ross, anderson")</f>
        <v>THE GONG SHOW: carvey, ross, anderson</v>
      </c>
      <c r="E1692" s="3" t="s">
        <v>1531</v>
      </c>
      <c r="F1692" s="3" t="s">
        <v>1815</v>
      </c>
      <c r="G1692" s="3" t="s">
        <v>1311</v>
      </c>
    </row>
    <row r="1693" spans="1:7">
      <c r="A1693" s="6">
        <v>42926</v>
      </c>
      <c r="B1693" s="3" t="s">
        <v>13</v>
      </c>
      <c r="C1693" s="3" t="s">
        <v>32</v>
      </c>
      <c r="D1693" s="8" t="str">
        <f>HYPERLINK("http://npthd.inbcu.com/ViewContent.aspx?filename=NPMR_ABC_2017-07-10_E.MP4$10493$10508","LOCAL")</f>
        <v>LOCAL</v>
      </c>
      <c r="E1693" s="3" t="s">
        <v>30</v>
      </c>
      <c r="F1693" s="3" t="s">
        <v>1311</v>
      </c>
      <c r="G1693" s="3" t="s">
        <v>1816</v>
      </c>
    </row>
    <row r="1694" spans="1:7">
      <c r="A1694" s="6">
        <v>42926</v>
      </c>
      <c r="B1694" s="3" t="s">
        <v>13</v>
      </c>
      <c r="C1694" s="3" t="s">
        <v>21</v>
      </c>
      <c r="D1694" s="8" t="str">
        <f>HYPERLINK("http://npthd.inbcu.com/ViewContent.aspx?filename=NPMR_ABC_2017-07-10_E.MP4$10508$10644","COMMERCIAL")</f>
        <v>COMMERCIAL</v>
      </c>
      <c r="E1694" s="3" t="s">
        <v>668</v>
      </c>
      <c r="F1694" s="3" t="s">
        <v>1816</v>
      </c>
      <c r="G1694" s="3" t="s">
        <v>1533</v>
      </c>
    </row>
    <row r="1695" spans="1:7">
      <c r="A1695" s="6">
        <v>42926</v>
      </c>
      <c r="B1695" s="3" t="s">
        <v>13</v>
      </c>
      <c r="C1695" s="3" t="s">
        <v>14</v>
      </c>
      <c r="D1695" s="8" t="str">
        <f>HYPERLINK("http://npthd.inbcu.com/ViewContent.aspx?filename=NPMR_ABC_2017-07-10_E.MP4$10644$10659","Jimmy Kimmel Live!")</f>
        <v>Jimmy Kimmel Live!</v>
      </c>
      <c r="E1695" s="3" t="s">
        <v>30</v>
      </c>
      <c r="F1695" s="3" t="s">
        <v>1533</v>
      </c>
      <c r="G1695" s="3" t="s">
        <v>1534</v>
      </c>
    </row>
    <row r="1696" spans="1:7">
      <c r="A1696" s="6">
        <v>42926</v>
      </c>
      <c r="B1696" s="3" t="s">
        <v>13</v>
      </c>
      <c r="C1696" s="3" t="s">
        <v>18</v>
      </c>
      <c r="D1696" s="8" t="str">
        <f>HYPERLINK("http://npthd.inbcu.com/ViewContent.aspx?filename=NPMR_ABC_2017-07-10_E.MP4$10659$10877","THE GONG SHOW: carvey, ross, anderson")</f>
        <v>THE GONG SHOW: carvey, ross, anderson</v>
      </c>
      <c r="E1696" s="3" t="s">
        <v>1817</v>
      </c>
      <c r="F1696" s="3" t="s">
        <v>1534</v>
      </c>
      <c r="G1696" s="3" t="s">
        <v>310</v>
      </c>
    </row>
    <row r="1697" spans="1:7">
      <c r="A1697" s="6">
        <v>42926</v>
      </c>
      <c r="B1697" s="3" t="s">
        <v>13</v>
      </c>
      <c r="C1697" s="3" t="s">
        <v>14</v>
      </c>
      <c r="D1697" s="8" t="str">
        <f>HYPERLINK("http://npthd.inbcu.com/ViewContent.aspx?filename=NPMR_ABC_2017-07-10_E.MP4$10877$10907","Gong Show, The")</f>
        <v>Gong Show, The</v>
      </c>
      <c r="E1697" s="3" t="s">
        <v>38</v>
      </c>
      <c r="F1697" s="3" t="s">
        <v>310</v>
      </c>
      <c r="G1697" s="3" t="s">
        <v>123</v>
      </c>
    </row>
    <row r="1698" spans="1:7">
      <c r="A1698" s="6">
        <v>42926</v>
      </c>
      <c r="B1698" s="3" t="s">
        <v>13</v>
      </c>
      <c r="C1698" s="3" t="s">
        <v>32</v>
      </c>
      <c r="D1698" s="8" t="str">
        <f>HYPERLINK("http://npthd.inbcu.com/ViewContent.aspx?filename=NPMR_ABC_2017-07-10_E.MP4$10907$10922","LOCAL")</f>
        <v>LOCAL</v>
      </c>
      <c r="E1698" s="3" t="s">
        <v>30</v>
      </c>
      <c r="F1698" s="3" t="s">
        <v>123</v>
      </c>
      <c r="G1698" s="3" t="s">
        <v>124</v>
      </c>
    </row>
    <row r="1699" spans="1:7">
      <c r="A1699" s="6">
        <v>42927</v>
      </c>
      <c r="B1699" s="3" t="s">
        <v>13</v>
      </c>
      <c r="C1699" s="3" t="s">
        <v>14</v>
      </c>
      <c r="D1699" s="8" t="str">
        <f>HYPERLINK("http://npthd.inbcu.com/ViewContent.aspx?filename=NPMR_ABC_2017-07-11_E.MP4$128$133","ABC Open")</f>
        <v>ABC Open</v>
      </c>
      <c r="E1699" s="3" t="s">
        <v>54</v>
      </c>
      <c r="F1699" s="3" t="s">
        <v>16</v>
      </c>
      <c r="G1699" s="3" t="s">
        <v>125</v>
      </c>
    </row>
    <row r="1700" spans="1:7">
      <c r="A1700" s="6">
        <v>42927</v>
      </c>
      <c r="B1700" s="3" t="s">
        <v>13</v>
      </c>
      <c r="C1700" s="3" t="s">
        <v>18</v>
      </c>
      <c r="D1700" s="8" t="str">
        <f>HYPERLINK("http://npthd.inbcu.com/ViewContent.aspx?filename=NPMR_ABC_2017-07-11_E.MP4$133$557","THE MIDDLE: swing and a miss")</f>
        <v>THE MIDDLE: swing and a miss</v>
      </c>
      <c r="E1700" s="3" t="s">
        <v>1818</v>
      </c>
      <c r="F1700" s="3" t="s">
        <v>125</v>
      </c>
      <c r="G1700" s="3" t="s">
        <v>1819</v>
      </c>
    </row>
    <row r="1701" spans="1:7">
      <c r="A1701" s="6">
        <v>42927</v>
      </c>
      <c r="B1701" s="3" t="s">
        <v>13</v>
      </c>
      <c r="C1701" s="3" t="s">
        <v>21</v>
      </c>
      <c r="D1701" s="8" t="str">
        <f>HYPERLINK("http://npthd.inbcu.com/ViewContent.aspx?filename=NPMR_ABC_2017-07-11_E.MP4$557$663","COMMERCIAL")</f>
        <v>COMMERCIAL</v>
      </c>
      <c r="E1701" s="3" t="s">
        <v>293</v>
      </c>
      <c r="F1701" s="3" t="s">
        <v>1819</v>
      </c>
      <c r="G1701" s="3" t="s">
        <v>1820</v>
      </c>
    </row>
    <row r="1702" spans="1:7">
      <c r="A1702" s="6">
        <v>42927</v>
      </c>
      <c r="B1702" s="3" t="s">
        <v>13</v>
      </c>
      <c r="C1702" s="3" t="s">
        <v>14</v>
      </c>
      <c r="D1702" s="8" t="str">
        <f>HYPERLINK("http://npthd.inbcu.com/ViewContent.aspx?filename=NPMR_ABC_2017-07-11_E.MP4$663$693","Espys")</f>
        <v>Espys</v>
      </c>
      <c r="E1702" s="3" t="s">
        <v>38</v>
      </c>
      <c r="F1702" s="3" t="s">
        <v>1820</v>
      </c>
      <c r="G1702" s="3" t="s">
        <v>1821</v>
      </c>
    </row>
    <row r="1703" spans="1:7">
      <c r="A1703" s="6">
        <v>42927</v>
      </c>
      <c r="B1703" s="3" t="s">
        <v>13</v>
      </c>
      <c r="C1703" s="3" t="s">
        <v>18</v>
      </c>
      <c r="D1703" s="8" t="str">
        <f>HYPERLINK("http://npthd.inbcu.com/ViewContent.aspx?filename=NPMR_ABC_2017-07-11_E.MP4$693$1129","THE MIDDLE: swing and a miss")</f>
        <v>THE MIDDLE: swing and a miss</v>
      </c>
      <c r="E1703" s="3" t="s">
        <v>471</v>
      </c>
      <c r="F1703" s="3" t="s">
        <v>1821</v>
      </c>
      <c r="G1703" s="3" t="s">
        <v>1822</v>
      </c>
    </row>
    <row r="1704" spans="1:7">
      <c r="A1704" s="6">
        <v>42927</v>
      </c>
      <c r="B1704" s="3" t="s">
        <v>13</v>
      </c>
      <c r="C1704" s="3" t="s">
        <v>21</v>
      </c>
      <c r="D1704" s="8" t="str">
        <f>HYPERLINK("http://npthd.inbcu.com/ViewContent.aspx?filename=NPMR_ABC_2017-07-11_E.MP4$1129$1219","COMMERCIAL")</f>
        <v>COMMERCIAL</v>
      </c>
      <c r="E1704" s="3" t="s">
        <v>46</v>
      </c>
      <c r="F1704" s="3" t="s">
        <v>1822</v>
      </c>
      <c r="G1704" s="3" t="s">
        <v>1823</v>
      </c>
    </row>
    <row r="1705" spans="1:7">
      <c r="A1705" s="6">
        <v>42927</v>
      </c>
      <c r="B1705" s="3" t="s">
        <v>13</v>
      </c>
      <c r="C1705" s="3" t="s">
        <v>14</v>
      </c>
      <c r="D1705" s="8" t="str">
        <f>HYPERLINK("http://npthd.inbcu.com/ViewContent.aspx?filename=NPMR_ABC_2017-07-11_E.MP4$1219$1234","Boy Band")</f>
        <v>Boy Band</v>
      </c>
      <c r="E1705" s="3" t="s">
        <v>30</v>
      </c>
      <c r="F1705" s="3" t="s">
        <v>1823</v>
      </c>
      <c r="G1705" s="3" t="s">
        <v>1824</v>
      </c>
    </row>
    <row r="1706" spans="1:7">
      <c r="A1706" s="6">
        <v>42927</v>
      </c>
      <c r="B1706" s="3" t="s">
        <v>13</v>
      </c>
      <c r="C1706" s="3" t="s">
        <v>14</v>
      </c>
      <c r="D1706" s="8" t="str">
        <f>HYPERLINK("http://npthd.inbcu.com/ViewContent.aspx?filename=NPMR_ABC_2017-07-11_E.MP4$1234$1249","Gong Show, The")</f>
        <v>Gong Show, The</v>
      </c>
      <c r="E1706" s="3" t="s">
        <v>30</v>
      </c>
      <c r="F1706" s="3" t="s">
        <v>1824</v>
      </c>
      <c r="G1706" s="3" t="s">
        <v>1319</v>
      </c>
    </row>
    <row r="1707" spans="1:7">
      <c r="A1707" s="6">
        <v>42927</v>
      </c>
      <c r="B1707" s="3" t="s">
        <v>13</v>
      </c>
      <c r="C1707" s="3" t="s">
        <v>32</v>
      </c>
      <c r="D1707" s="8" t="str">
        <f>HYPERLINK("http://npthd.inbcu.com/ViewContent.aspx?filename=NPMR_ABC_2017-07-11_E.MP4$1249$1311","LOCAL")</f>
        <v>LOCAL</v>
      </c>
      <c r="E1707" s="3" t="s">
        <v>257</v>
      </c>
      <c r="F1707" s="3" t="s">
        <v>1319</v>
      </c>
      <c r="G1707" s="3" t="s">
        <v>1825</v>
      </c>
    </row>
    <row r="1708" spans="1:7">
      <c r="A1708" s="6">
        <v>42927</v>
      </c>
      <c r="B1708" s="3" t="s">
        <v>13</v>
      </c>
      <c r="C1708" s="3" t="s">
        <v>18</v>
      </c>
      <c r="D1708" s="8" t="str">
        <f>HYPERLINK("http://npthd.inbcu.com/ViewContent.aspx?filename=NPMR_ABC_2017-07-11_E.MP4$1311$1675","THE MIDDLE: swing and a miss")</f>
        <v>THE MIDDLE: swing and a miss</v>
      </c>
      <c r="E1708" s="3" t="s">
        <v>626</v>
      </c>
      <c r="F1708" s="3" t="s">
        <v>1825</v>
      </c>
      <c r="G1708" s="3" t="s">
        <v>1826</v>
      </c>
    </row>
    <row r="1709" spans="1:7">
      <c r="A1709" s="6">
        <v>42927</v>
      </c>
      <c r="B1709" s="3" t="s">
        <v>13</v>
      </c>
      <c r="C1709" s="3" t="s">
        <v>21</v>
      </c>
      <c r="D1709" s="8" t="str">
        <f>HYPERLINK("http://npthd.inbcu.com/ViewContent.aspx?filename=NPMR_ABC_2017-07-11_E.MP4$1675$1855","COMMERCIAL")</f>
        <v>COMMERCIAL</v>
      </c>
      <c r="E1709" s="3" t="s">
        <v>22</v>
      </c>
      <c r="F1709" s="3" t="s">
        <v>1826</v>
      </c>
      <c r="G1709" s="3" t="s">
        <v>1827</v>
      </c>
    </row>
    <row r="1710" spans="1:7">
      <c r="A1710" s="6">
        <v>42927</v>
      </c>
      <c r="B1710" s="3" t="s">
        <v>13</v>
      </c>
      <c r="C1710" s="3" t="s">
        <v>14</v>
      </c>
      <c r="D1710" s="8" t="str">
        <f>HYPERLINK("http://npthd.inbcu.com/ViewContent.aspx?filename=NPMR_ABC_2017-07-11_E.MP4$1855$1870","Espys")</f>
        <v>Espys</v>
      </c>
      <c r="E1710" s="3" t="s">
        <v>30</v>
      </c>
      <c r="F1710" s="3" t="s">
        <v>1827</v>
      </c>
      <c r="G1710" s="3" t="s">
        <v>1117</v>
      </c>
    </row>
    <row r="1711" spans="1:7">
      <c r="A1711" s="6">
        <v>42927</v>
      </c>
      <c r="B1711" s="3" t="s">
        <v>13</v>
      </c>
      <c r="C1711" s="3" t="s">
        <v>14</v>
      </c>
      <c r="D1711" s="8" t="str">
        <f>HYPERLINK("http://npthd.inbcu.com/ViewContent.aspx?filename=NPMR_ABC_2017-07-11_E.MP4$1870$1885","Battle of the Network Stars")</f>
        <v>Battle of the Network Stars</v>
      </c>
      <c r="E1711" s="3" t="s">
        <v>30</v>
      </c>
      <c r="F1711" s="3" t="s">
        <v>1117</v>
      </c>
      <c r="G1711" s="3" t="s">
        <v>1828</v>
      </c>
    </row>
    <row r="1712" spans="1:7">
      <c r="A1712" s="6">
        <v>42927</v>
      </c>
      <c r="B1712" s="3" t="s">
        <v>13</v>
      </c>
      <c r="C1712" s="3" t="s">
        <v>18</v>
      </c>
      <c r="D1712" s="8" t="str">
        <f>HYPERLINK("http://npthd.inbcu.com/ViewContent.aspx?filename=NPMR_ABC_2017-07-11_E.MP4$1885$1928","THE MIDDLE: swing and a miss")</f>
        <v>THE MIDDLE: swing and a miss</v>
      </c>
      <c r="E1712" s="3" t="s">
        <v>1220</v>
      </c>
      <c r="F1712" s="3" t="s">
        <v>1828</v>
      </c>
      <c r="G1712" s="3" t="s">
        <v>513</v>
      </c>
    </row>
    <row r="1713" spans="1:7">
      <c r="A1713" s="6">
        <v>42927</v>
      </c>
      <c r="B1713" s="3" t="s">
        <v>13</v>
      </c>
      <c r="C1713" s="3" t="s">
        <v>14</v>
      </c>
      <c r="D1713" s="8" t="str">
        <f>HYPERLINK("http://npthd.inbcu.com/ViewContent.aspx?filename=NPMR_ABC_2017-07-11_E.MP4$1928$1933","Fresh Off The Boat")</f>
        <v>Fresh Off The Boat</v>
      </c>
      <c r="E1713" s="3" t="s">
        <v>54</v>
      </c>
      <c r="F1713" s="3" t="s">
        <v>513</v>
      </c>
      <c r="G1713" s="3" t="s">
        <v>620</v>
      </c>
    </row>
    <row r="1714" spans="1:7">
      <c r="A1714" s="6">
        <v>42927</v>
      </c>
      <c r="B1714" s="3" t="s">
        <v>13</v>
      </c>
      <c r="C1714" s="3" t="s">
        <v>18</v>
      </c>
      <c r="D1714" s="8" t="str">
        <f>HYPERLINK("http://npthd.inbcu.com/ViewContent.aspx?filename=NPMR_ABC_2017-07-11_E.MP4$1933$2306","FRESH OFF THE BOAT: how to be an american")</f>
        <v>FRESH OFF THE BOAT: how to be an american</v>
      </c>
      <c r="E1714" s="3" t="s">
        <v>1829</v>
      </c>
      <c r="F1714" s="3" t="s">
        <v>620</v>
      </c>
      <c r="G1714" s="3" t="s">
        <v>1830</v>
      </c>
    </row>
    <row r="1715" spans="1:7">
      <c r="A1715" s="6">
        <v>42927</v>
      </c>
      <c r="B1715" s="3" t="s">
        <v>13</v>
      </c>
      <c r="C1715" s="3" t="s">
        <v>21</v>
      </c>
      <c r="D1715" s="8" t="str">
        <f>HYPERLINK("http://npthd.inbcu.com/ViewContent.aspx?filename=NPMR_ABC_2017-07-11_E.MP4$2306$2456","COMMERCIAL")</f>
        <v>COMMERCIAL</v>
      </c>
      <c r="E1715" s="3" t="s">
        <v>28</v>
      </c>
      <c r="F1715" s="3" t="s">
        <v>1830</v>
      </c>
      <c r="G1715" s="3" t="s">
        <v>1831</v>
      </c>
    </row>
    <row r="1716" spans="1:7">
      <c r="A1716" s="6">
        <v>42927</v>
      </c>
      <c r="B1716" s="3" t="s">
        <v>13</v>
      </c>
      <c r="C1716" s="3" t="s">
        <v>14</v>
      </c>
      <c r="D1716" s="8" t="str">
        <f>HYPERLINK("http://npthd.inbcu.com/ViewContent.aspx?filename=NPMR_ABC_2017-07-11_E.MP4$2456$2486","Espys")</f>
        <v>Espys</v>
      </c>
      <c r="E1716" s="3" t="s">
        <v>38</v>
      </c>
      <c r="F1716" s="3" t="s">
        <v>1831</v>
      </c>
      <c r="G1716" s="3" t="s">
        <v>1832</v>
      </c>
    </row>
    <row r="1717" spans="1:7">
      <c r="A1717" s="6">
        <v>42927</v>
      </c>
      <c r="B1717" s="3" t="s">
        <v>13</v>
      </c>
      <c r="C1717" s="3" t="s">
        <v>18</v>
      </c>
      <c r="D1717" s="8" t="str">
        <f>HYPERLINK("http://npthd.inbcu.com/ViewContent.aspx?filename=NPMR_ABC_2017-07-11_E.MP4$2486$2978","FRESH OFF THE BOAT: how to be an american")</f>
        <v>FRESH OFF THE BOAT: how to be an american</v>
      </c>
      <c r="E1717" s="3" t="s">
        <v>1833</v>
      </c>
      <c r="F1717" s="3" t="s">
        <v>1832</v>
      </c>
      <c r="G1717" s="3" t="s">
        <v>1834</v>
      </c>
    </row>
    <row r="1718" spans="1:7">
      <c r="A1718" s="6">
        <v>42927</v>
      </c>
      <c r="B1718" s="3" t="s">
        <v>13</v>
      </c>
      <c r="C1718" s="3" t="s">
        <v>14</v>
      </c>
      <c r="D1718" s="8" t="str">
        <f>HYPERLINK("http://npthd.inbcu.com/ViewContent.aspx?filename=NPMR_ABC_2017-07-11_E.MP4$2978$2983","Gong Show, The")</f>
        <v>Gong Show, The</v>
      </c>
      <c r="E1718" s="3" t="s">
        <v>54</v>
      </c>
      <c r="F1718" s="3" t="s">
        <v>1834</v>
      </c>
      <c r="G1718" s="3" t="s">
        <v>1835</v>
      </c>
    </row>
    <row r="1719" spans="1:7">
      <c r="A1719" s="6">
        <v>42927</v>
      </c>
      <c r="B1719" s="3" t="s">
        <v>13</v>
      </c>
      <c r="C1719" s="3" t="s">
        <v>21</v>
      </c>
      <c r="D1719" s="8" t="str">
        <f>HYPERLINK("http://npthd.inbcu.com/ViewContent.aspx?filename=NPMR_ABC_2017-07-11_E.MP4$2983$3043","COMMERCIAL")</f>
        <v>COMMERCIAL</v>
      </c>
      <c r="E1719" s="3" t="s">
        <v>66</v>
      </c>
      <c r="F1719" s="3" t="s">
        <v>1835</v>
      </c>
      <c r="G1719" s="3" t="s">
        <v>1330</v>
      </c>
    </row>
    <row r="1720" spans="1:7">
      <c r="A1720" s="6">
        <v>42927</v>
      </c>
      <c r="B1720" s="3" t="s">
        <v>13</v>
      </c>
      <c r="C1720" s="3" t="s">
        <v>14</v>
      </c>
      <c r="D1720" s="8" t="str">
        <f>HYPERLINK("http://npthd.inbcu.com/ViewContent.aspx?filename=NPMR_ABC_2017-07-11_E.MP4$3043$3058","World News Tonight")</f>
        <v>World News Tonight</v>
      </c>
      <c r="E1720" s="3" t="s">
        <v>30</v>
      </c>
      <c r="F1720" s="3" t="s">
        <v>1330</v>
      </c>
      <c r="G1720" s="3" t="s">
        <v>1836</v>
      </c>
    </row>
    <row r="1721" spans="1:7">
      <c r="A1721" s="6">
        <v>42927</v>
      </c>
      <c r="B1721" s="3" t="s">
        <v>13</v>
      </c>
      <c r="C1721" s="3" t="s">
        <v>14</v>
      </c>
      <c r="D1721" s="8" t="str">
        <f>HYPERLINK("http://npthd.inbcu.com/ViewContent.aspx?filename=NPMR_ABC_2017-07-11_E.MP4$3058$3073","Battle of the Network Stars")</f>
        <v>Battle of the Network Stars</v>
      </c>
      <c r="E1721" s="3" t="s">
        <v>30</v>
      </c>
      <c r="F1721" s="3" t="s">
        <v>1836</v>
      </c>
      <c r="G1721" s="3" t="s">
        <v>1837</v>
      </c>
    </row>
    <row r="1722" spans="1:7">
      <c r="A1722" s="6">
        <v>42927</v>
      </c>
      <c r="B1722" s="3" t="s">
        <v>13</v>
      </c>
      <c r="C1722" s="3" t="s">
        <v>32</v>
      </c>
      <c r="D1722" s="8" t="str">
        <f>HYPERLINK("http://npthd.inbcu.com/ViewContent.aspx?filename=NPMR_ABC_2017-07-11_E.MP4$3073$3165","LOCAL")</f>
        <v>LOCAL</v>
      </c>
      <c r="E1722" s="3" t="s">
        <v>267</v>
      </c>
      <c r="F1722" s="3" t="s">
        <v>1837</v>
      </c>
      <c r="G1722" s="3" t="s">
        <v>1838</v>
      </c>
    </row>
    <row r="1723" spans="1:7">
      <c r="A1723" s="6">
        <v>42927</v>
      </c>
      <c r="B1723" s="3" t="s">
        <v>13</v>
      </c>
      <c r="C1723" s="3" t="s">
        <v>18</v>
      </c>
      <c r="D1723" s="8" t="str">
        <f>HYPERLINK("http://npthd.inbcu.com/ViewContent.aspx?filename=NPMR_ABC_2017-07-11_E.MP4$3165$3504","FRESH OFF THE BOAT: how to be an american")</f>
        <v>FRESH OFF THE BOAT: how to be an american</v>
      </c>
      <c r="E1723" s="3" t="s">
        <v>1839</v>
      </c>
      <c r="F1723" s="3" t="s">
        <v>1838</v>
      </c>
      <c r="G1723" s="3" t="s">
        <v>1713</v>
      </c>
    </row>
    <row r="1724" spans="1:7">
      <c r="A1724" s="6">
        <v>42927</v>
      </c>
      <c r="B1724" s="3" t="s">
        <v>13</v>
      </c>
      <c r="C1724" s="3" t="s">
        <v>21</v>
      </c>
      <c r="D1724" s="8" t="str">
        <f>HYPERLINK("http://npthd.inbcu.com/ViewContent.aspx?filename=NPMR_ABC_2017-07-11_E.MP4$3504$3655","COMMERCIAL")</f>
        <v>COMMERCIAL</v>
      </c>
      <c r="E1724" s="3" t="s">
        <v>91</v>
      </c>
      <c r="F1724" s="3" t="s">
        <v>1713</v>
      </c>
      <c r="G1724" s="3" t="s">
        <v>1840</v>
      </c>
    </row>
    <row r="1725" spans="1:7">
      <c r="A1725" s="6">
        <v>42927</v>
      </c>
      <c r="B1725" s="3" t="s">
        <v>13</v>
      </c>
      <c r="C1725" s="3" t="s">
        <v>14</v>
      </c>
      <c r="D1725" s="8" t="str">
        <f>HYPERLINK("http://npthd.inbcu.com/ViewContent.aspx?filename=NPMR_ABC_2017-07-11_E.MP4$3655$3660","Espys")</f>
        <v>Espys</v>
      </c>
      <c r="E1725" s="3" t="s">
        <v>54</v>
      </c>
      <c r="F1725" s="3" t="s">
        <v>1840</v>
      </c>
      <c r="G1725" s="3" t="s">
        <v>1841</v>
      </c>
    </row>
    <row r="1726" spans="1:7">
      <c r="A1726" s="6">
        <v>42927</v>
      </c>
      <c r="B1726" s="3" t="s">
        <v>13</v>
      </c>
      <c r="C1726" s="3" t="s">
        <v>32</v>
      </c>
      <c r="D1726" s="8" t="str">
        <f>HYPERLINK("http://npthd.inbcu.com/ViewContent.aspx?filename=NPMR_ABC_2017-07-11_E.MP4$3660$3665","LOCAL")</f>
        <v>LOCAL</v>
      </c>
      <c r="E1726" s="3" t="s">
        <v>54</v>
      </c>
      <c r="F1726" s="3" t="s">
        <v>1841</v>
      </c>
      <c r="G1726" s="3" t="s">
        <v>1842</v>
      </c>
    </row>
    <row r="1727" spans="1:7">
      <c r="A1727" s="6">
        <v>42927</v>
      </c>
      <c r="B1727" s="3" t="s">
        <v>13</v>
      </c>
      <c r="C1727" s="3" t="s">
        <v>18</v>
      </c>
      <c r="D1727" s="8" t="str">
        <f>HYPERLINK("http://npthd.inbcu.com/ViewContent.aspx?filename=NPMR_ABC_2017-07-11_E.MP4$3665$3728","FRESH OFF THE BOAT: how to be an american")</f>
        <v>FRESH OFF THE BOAT: how to be an american</v>
      </c>
      <c r="E1727" s="3" t="s">
        <v>1344</v>
      </c>
      <c r="F1727" s="3" t="s">
        <v>1842</v>
      </c>
      <c r="G1727" s="3" t="s">
        <v>242</v>
      </c>
    </row>
    <row r="1728" spans="1:7">
      <c r="A1728" s="6">
        <v>42927</v>
      </c>
      <c r="B1728" s="3" t="s">
        <v>13</v>
      </c>
      <c r="C1728" s="3" t="s">
        <v>14</v>
      </c>
      <c r="D1728" s="8" t="str">
        <f>HYPERLINK("http://npthd.inbcu.com/ViewContent.aspx?filename=NPMR_ABC_2017-07-11_E.MP4$3728$3733","Black-ish")</f>
        <v>Black-ish</v>
      </c>
      <c r="E1728" s="3" t="s">
        <v>54</v>
      </c>
      <c r="F1728" s="3" t="s">
        <v>242</v>
      </c>
      <c r="G1728" s="3" t="s">
        <v>243</v>
      </c>
    </row>
    <row r="1729" spans="1:7">
      <c r="A1729" s="6">
        <v>42927</v>
      </c>
      <c r="B1729" s="3" t="s">
        <v>13</v>
      </c>
      <c r="C1729" s="3" t="s">
        <v>18</v>
      </c>
      <c r="D1729" s="8" t="str">
        <f>HYPERLINK("http://npthd.inbcu.com/ViewContent.aspx?filename=NPMR_ABC_2017-07-11_E.MP4$3733$4207","BLACK-ISH: whos afraid of the big black man")</f>
        <v>BLACK-ISH: whos afraid of the big black man</v>
      </c>
      <c r="E1729" s="3" t="s">
        <v>1843</v>
      </c>
      <c r="F1729" s="3" t="s">
        <v>243</v>
      </c>
      <c r="G1729" s="3" t="s">
        <v>1844</v>
      </c>
    </row>
    <row r="1730" spans="1:7">
      <c r="A1730" s="6">
        <v>42927</v>
      </c>
      <c r="B1730" s="3" t="s">
        <v>13</v>
      </c>
      <c r="C1730" s="3" t="s">
        <v>21</v>
      </c>
      <c r="D1730" s="8" t="str">
        <f>HYPERLINK("http://npthd.inbcu.com/ViewContent.aspx?filename=NPMR_ABC_2017-07-11_E.MP4$4207$4298","COMMERCIAL")</f>
        <v>COMMERCIAL</v>
      </c>
      <c r="E1730" s="3" t="s">
        <v>77</v>
      </c>
      <c r="F1730" s="3" t="s">
        <v>1844</v>
      </c>
      <c r="G1730" s="3" t="s">
        <v>1210</v>
      </c>
    </row>
    <row r="1731" spans="1:7">
      <c r="A1731" s="6">
        <v>42927</v>
      </c>
      <c r="B1731" s="3" t="s">
        <v>13</v>
      </c>
      <c r="C1731" s="3" t="s">
        <v>14</v>
      </c>
      <c r="D1731" s="8" t="str">
        <f>HYPERLINK("http://npthd.inbcu.com/ViewContent.aspx?filename=NPMR_ABC_2017-07-11_E.MP4$4298$4328","Espys")</f>
        <v>Espys</v>
      </c>
      <c r="E1731" s="3" t="s">
        <v>38</v>
      </c>
      <c r="F1731" s="3" t="s">
        <v>1210</v>
      </c>
      <c r="G1731" s="3" t="s">
        <v>1211</v>
      </c>
    </row>
    <row r="1732" spans="1:7">
      <c r="A1732" s="6">
        <v>42927</v>
      </c>
      <c r="B1732" s="3" t="s">
        <v>13</v>
      </c>
      <c r="C1732" s="3" t="s">
        <v>14</v>
      </c>
      <c r="D1732" s="8" t="str">
        <f>HYPERLINK("http://npthd.inbcu.com/ViewContent.aspx?filename=NPMR_ABC_2017-07-11_E.MP4$4328$4358","Battle of the Network Stars")</f>
        <v>Battle of the Network Stars</v>
      </c>
      <c r="E1732" s="3" t="s">
        <v>38</v>
      </c>
      <c r="F1732" s="3" t="s">
        <v>1211</v>
      </c>
      <c r="G1732" s="3" t="s">
        <v>1845</v>
      </c>
    </row>
    <row r="1733" spans="1:7">
      <c r="A1733" s="6">
        <v>42927</v>
      </c>
      <c r="B1733" s="3" t="s">
        <v>13</v>
      </c>
      <c r="C1733" s="3" t="s">
        <v>18</v>
      </c>
      <c r="D1733" s="8" t="str">
        <f>HYPERLINK("http://npthd.inbcu.com/ViewContent.aspx?filename=NPMR_ABC_2017-07-11_E.MP4$4358$4809","BLACK-ISH: whos afraid of the big black man")</f>
        <v>BLACK-ISH: whos afraid of the big black man</v>
      </c>
      <c r="E1733" s="3" t="s">
        <v>354</v>
      </c>
      <c r="F1733" s="3" t="s">
        <v>1845</v>
      </c>
      <c r="G1733" s="3" t="s">
        <v>1846</v>
      </c>
    </row>
    <row r="1734" spans="1:7">
      <c r="A1734" s="6">
        <v>42927</v>
      </c>
      <c r="B1734" s="3" t="s">
        <v>13</v>
      </c>
      <c r="C1734" s="3" t="s">
        <v>21</v>
      </c>
      <c r="D1734" s="8" t="str">
        <f>HYPERLINK("http://npthd.inbcu.com/ViewContent.aspx?filename=NPMR_ABC_2017-07-11_E.MP4$4809$4899","COMMERCIAL")</f>
        <v>COMMERCIAL</v>
      </c>
      <c r="E1734" s="3" t="s">
        <v>46</v>
      </c>
      <c r="F1734" s="3" t="s">
        <v>1846</v>
      </c>
      <c r="G1734" s="3" t="s">
        <v>1847</v>
      </c>
    </row>
    <row r="1735" spans="1:7">
      <c r="A1735" s="6">
        <v>42927</v>
      </c>
      <c r="B1735" s="3" t="s">
        <v>13</v>
      </c>
      <c r="C1735" s="3" t="s">
        <v>14</v>
      </c>
      <c r="D1735" s="8" t="str">
        <f>HYPERLINK("http://npthd.inbcu.com/ViewContent.aspx?filename=NPMR_ABC_2017-07-11_E.MP4$4899$4914","Boy Band")</f>
        <v>Boy Band</v>
      </c>
      <c r="E1735" s="3" t="s">
        <v>30</v>
      </c>
      <c r="F1735" s="3" t="s">
        <v>1847</v>
      </c>
      <c r="G1735" s="3" t="s">
        <v>453</v>
      </c>
    </row>
    <row r="1736" spans="1:7">
      <c r="A1736" s="6">
        <v>42927</v>
      </c>
      <c r="B1736" s="3" t="s">
        <v>13</v>
      </c>
      <c r="C1736" s="3" t="s">
        <v>14</v>
      </c>
      <c r="D1736" s="8" t="str">
        <f>HYPERLINK("http://npthd.inbcu.com/ViewContent.aspx?filename=NPMR_ABC_2017-07-11_E.MP4$4914$4944","ABC Sunday")</f>
        <v>ABC Sunday</v>
      </c>
      <c r="E1736" s="3" t="s">
        <v>38</v>
      </c>
      <c r="F1736" s="3" t="s">
        <v>453</v>
      </c>
      <c r="G1736" s="3" t="s">
        <v>455</v>
      </c>
    </row>
    <row r="1737" spans="1:7">
      <c r="A1737" s="6">
        <v>42927</v>
      </c>
      <c r="B1737" s="3" t="s">
        <v>13</v>
      </c>
      <c r="C1737" s="3" t="s">
        <v>32</v>
      </c>
      <c r="D1737" s="8" t="str">
        <f>HYPERLINK("http://npthd.inbcu.com/ViewContent.aspx?filename=NPMR_ABC_2017-07-11_E.MP4$4944$5006","LOCAL")</f>
        <v>LOCAL</v>
      </c>
      <c r="E1737" s="3" t="s">
        <v>257</v>
      </c>
      <c r="F1737" s="3" t="s">
        <v>455</v>
      </c>
      <c r="G1737" s="3" t="s">
        <v>1848</v>
      </c>
    </row>
    <row r="1738" spans="1:7">
      <c r="A1738" s="6">
        <v>42927</v>
      </c>
      <c r="B1738" s="3" t="s">
        <v>13</v>
      </c>
      <c r="C1738" s="3" t="s">
        <v>18</v>
      </c>
      <c r="D1738" s="8" t="str">
        <f>HYPERLINK("http://npthd.inbcu.com/ViewContent.aspx?filename=NPMR_ABC_2017-07-11_E.MP4$5006$5309","BLACK-ISH: whos afraid of the big black man")</f>
        <v>BLACK-ISH: whos afraid of the big black man</v>
      </c>
      <c r="E1738" s="3" t="s">
        <v>1849</v>
      </c>
      <c r="F1738" s="3" t="s">
        <v>1848</v>
      </c>
      <c r="G1738" s="3" t="s">
        <v>1850</v>
      </c>
    </row>
    <row r="1739" spans="1:7">
      <c r="A1739" s="6">
        <v>42927</v>
      </c>
      <c r="B1739" s="3" t="s">
        <v>13</v>
      </c>
      <c r="C1739" s="3" t="s">
        <v>21</v>
      </c>
      <c r="D1739" s="8" t="str">
        <f>HYPERLINK("http://npthd.inbcu.com/ViewContent.aspx?filename=NPMR_ABC_2017-07-11_E.MP4$5309$5459","COMMERCIAL")</f>
        <v>COMMERCIAL</v>
      </c>
      <c r="E1739" s="3" t="s">
        <v>28</v>
      </c>
      <c r="F1739" s="3" t="s">
        <v>1850</v>
      </c>
      <c r="G1739" s="3" t="s">
        <v>1851</v>
      </c>
    </row>
    <row r="1740" spans="1:7">
      <c r="A1740" s="6">
        <v>42927</v>
      </c>
      <c r="B1740" s="3" t="s">
        <v>13</v>
      </c>
      <c r="C1740" s="3" t="s">
        <v>14</v>
      </c>
      <c r="D1740" s="8" t="str">
        <f>HYPERLINK("http://npthd.inbcu.com/ViewContent.aspx?filename=NPMR_ABC_2017-07-11_E.MP4$5459$5474","Espys")</f>
        <v>Espys</v>
      </c>
      <c r="E1740" s="3" t="s">
        <v>30</v>
      </c>
      <c r="F1740" s="3" t="s">
        <v>1851</v>
      </c>
      <c r="G1740" s="3" t="s">
        <v>1852</v>
      </c>
    </row>
    <row r="1741" spans="1:7">
      <c r="A1741" s="6">
        <v>42927</v>
      </c>
      <c r="B1741" s="3" t="s">
        <v>13</v>
      </c>
      <c r="C1741" s="3" t="s">
        <v>14</v>
      </c>
      <c r="D1741" s="8" t="str">
        <f>HYPERLINK("http://npthd.inbcu.com/ViewContent.aspx?filename=NPMR_ABC_2017-07-11_E.MP4$5474$5489","Gong Show, The")</f>
        <v>Gong Show, The</v>
      </c>
      <c r="E1741" s="3" t="s">
        <v>30</v>
      </c>
      <c r="F1741" s="3" t="s">
        <v>1852</v>
      </c>
      <c r="G1741" s="3" t="s">
        <v>1853</v>
      </c>
    </row>
    <row r="1742" spans="1:7">
      <c r="A1742" s="6">
        <v>42927</v>
      </c>
      <c r="B1742" s="3" t="s">
        <v>13</v>
      </c>
      <c r="C1742" s="3" t="s">
        <v>18</v>
      </c>
      <c r="D1742" s="8" t="str">
        <f>HYPERLINK("http://npthd.inbcu.com/ViewContent.aspx?filename=NPMR_ABC_2017-07-11_E.MP4$5489$5528","BLACK-ISH: whos afraid of the big black man")</f>
        <v>BLACK-ISH: whos afraid of the big black man</v>
      </c>
      <c r="E1742" s="3" t="s">
        <v>603</v>
      </c>
      <c r="F1742" s="3" t="s">
        <v>1853</v>
      </c>
      <c r="G1742" s="3" t="s">
        <v>550</v>
      </c>
    </row>
    <row r="1743" spans="1:7">
      <c r="A1743" s="6">
        <v>42927</v>
      </c>
      <c r="B1743" s="3" t="s">
        <v>13</v>
      </c>
      <c r="C1743" s="3" t="s">
        <v>14</v>
      </c>
      <c r="D1743" s="8" t="str">
        <f>HYPERLINK("http://npthd.inbcu.com/ViewContent.aspx?filename=NPMR_ABC_2017-07-11_E.MP4$5528$5533","Black-ish")</f>
        <v>Black-ish</v>
      </c>
      <c r="E1743" s="3" t="s">
        <v>54</v>
      </c>
      <c r="F1743" s="3" t="s">
        <v>550</v>
      </c>
      <c r="G1743" s="3" t="s">
        <v>551</v>
      </c>
    </row>
    <row r="1744" spans="1:7">
      <c r="A1744" s="6">
        <v>42927</v>
      </c>
      <c r="B1744" s="3" t="s">
        <v>13</v>
      </c>
      <c r="C1744" s="3" t="s">
        <v>18</v>
      </c>
      <c r="D1744" s="8" t="str">
        <f>HYPERLINK("http://npthd.inbcu.com/ViewContent.aspx?filename=NPMR_ABC_2017-07-11_E.MP4$5533$6016","BLACK-ISH: what lies beneath")</f>
        <v>BLACK-ISH: what lies beneath</v>
      </c>
      <c r="E1744" s="3" t="s">
        <v>1854</v>
      </c>
      <c r="F1744" s="3" t="s">
        <v>551</v>
      </c>
      <c r="G1744" s="3" t="s">
        <v>1855</v>
      </c>
    </row>
    <row r="1745" spans="1:7">
      <c r="A1745" s="6">
        <v>42927</v>
      </c>
      <c r="B1745" s="3" t="s">
        <v>13</v>
      </c>
      <c r="C1745" s="3" t="s">
        <v>21</v>
      </c>
      <c r="D1745" s="8" t="str">
        <f>HYPERLINK("http://npthd.inbcu.com/ViewContent.aspx?filename=NPMR_ABC_2017-07-11_E.MP4$6016$6137","COMMERCIAL")</f>
        <v>COMMERCIAL</v>
      </c>
      <c r="E1745" s="3" t="s">
        <v>175</v>
      </c>
      <c r="F1745" s="3" t="s">
        <v>1855</v>
      </c>
      <c r="G1745" s="3" t="s">
        <v>1856</v>
      </c>
    </row>
    <row r="1746" spans="1:7">
      <c r="A1746" s="6">
        <v>42927</v>
      </c>
      <c r="B1746" s="3" t="s">
        <v>13</v>
      </c>
      <c r="C1746" s="3" t="s">
        <v>14</v>
      </c>
      <c r="D1746" s="8" t="str">
        <f>HYPERLINK("http://npthd.inbcu.com/ViewContent.aspx?filename=NPMR_ABC_2017-07-11_E.MP4$6137$6167","Espys")</f>
        <v>Espys</v>
      </c>
      <c r="E1746" s="3" t="s">
        <v>38</v>
      </c>
      <c r="F1746" s="3" t="s">
        <v>1856</v>
      </c>
      <c r="G1746" s="3" t="s">
        <v>819</v>
      </c>
    </row>
    <row r="1747" spans="1:7">
      <c r="A1747" s="6">
        <v>42927</v>
      </c>
      <c r="B1747" s="3" t="s">
        <v>13</v>
      </c>
      <c r="C1747" s="3" t="s">
        <v>14</v>
      </c>
      <c r="D1747" s="8" t="str">
        <f>HYPERLINK("http://npthd.inbcu.com/ViewContent.aspx?filename=NPMR_ABC_2017-07-11_E.MP4$6167$6197","Battle of the Network Stars")</f>
        <v>Battle of the Network Stars</v>
      </c>
      <c r="E1747" s="3" t="s">
        <v>38</v>
      </c>
      <c r="F1747" s="3" t="s">
        <v>819</v>
      </c>
      <c r="G1747" s="3" t="s">
        <v>1857</v>
      </c>
    </row>
    <row r="1748" spans="1:7">
      <c r="A1748" s="6">
        <v>42927</v>
      </c>
      <c r="B1748" s="3" t="s">
        <v>13</v>
      </c>
      <c r="C1748" s="3" t="s">
        <v>18</v>
      </c>
      <c r="D1748" s="8" t="str">
        <f>HYPERLINK("http://npthd.inbcu.com/ViewContent.aspx?filename=NPMR_ABC_2017-07-11_E.MP4$6197$6474","BLACK-ISH: what lies beneath")</f>
        <v>BLACK-ISH: what lies beneath</v>
      </c>
      <c r="E1748" s="3" t="s">
        <v>1376</v>
      </c>
      <c r="F1748" s="3" t="s">
        <v>1857</v>
      </c>
      <c r="G1748" s="3" t="s">
        <v>1858</v>
      </c>
    </row>
    <row r="1749" spans="1:7">
      <c r="A1749" s="6">
        <v>42927</v>
      </c>
      <c r="B1749" s="3" t="s">
        <v>13</v>
      </c>
      <c r="C1749" s="3" t="s">
        <v>21</v>
      </c>
      <c r="D1749" s="8" t="str">
        <f>HYPERLINK("http://npthd.inbcu.com/ViewContent.aspx?filename=NPMR_ABC_2017-07-11_E.MP4$6474$6565","COMMERCIAL")</f>
        <v>COMMERCIAL</v>
      </c>
      <c r="E1749" s="3" t="s">
        <v>77</v>
      </c>
      <c r="F1749" s="3" t="s">
        <v>1858</v>
      </c>
      <c r="G1749" s="3" t="s">
        <v>1859</v>
      </c>
    </row>
    <row r="1750" spans="1:7">
      <c r="A1750" s="6">
        <v>42927</v>
      </c>
      <c r="B1750" s="3" t="s">
        <v>13</v>
      </c>
      <c r="C1750" s="3" t="s">
        <v>14</v>
      </c>
      <c r="D1750" s="8" t="str">
        <f>HYPERLINK("http://npthd.inbcu.com/ViewContent.aspx?filename=NPMR_ABC_2017-07-11_E.MP4$6565$6580","Boy Band")</f>
        <v>Boy Band</v>
      </c>
      <c r="E1750" s="3" t="s">
        <v>30</v>
      </c>
      <c r="F1750" s="3" t="s">
        <v>1859</v>
      </c>
      <c r="G1750" s="3" t="s">
        <v>1860</v>
      </c>
    </row>
    <row r="1751" spans="1:7">
      <c r="A1751" s="6">
        <v>42927</v>
      </c>
      <c r="B1751" s="3" t="s">
        <v>13</v>
      </c>
      <c r="C1751" s="3" t="s">
        <v>14</v>
      </c>
      <c r="D1751" s="8" t="str">
        <f>HYPERLINK("http://npthd.inbcu.com/ViewContent.aspx?filename=NPMR_ABC_2017-07-11_E.MP4$6580$6595","Gong Show, The")</f>
        <v>Gong Show, The</v>
      </c>
      <c r="E1751" s="3" t="s">
        <v>30</v>
      </c>
      <c r="F1751" s="3" t="s">
        <v>1860</v>
      </c>
      <c r="G1751" s="3" t="s">
        <v>268</v>
      </c>
    </row>
    <row r="1752" spans="1:7">
      <c r="A1752" s="6">
        <v>42927</v>
      </c>
      <c r="B1752" s="3" t="s">
        <v>13</v>
      </c>
      <c r="C1752" s="3" t="s">
        <v>14</v>
      </c>
      <c r="D1752" s="8" t="str">
        <f>HYPERLINK("http://npthd.inbcu.com/ViewContent.aspx?filename=NPMR_ABC_2017-07-11_E.MP4$6595$6610","20/20")</f>
        <v>20/20</v>
      </c>
      <c r="E1752" s="3" t="s">
        <v>30</v>
      </c>
      <c r="F1752" s="3" t="s">
        <v>268</v>
      </c>
      <c r="G1752" s="3" t="s">
        <v>1861</v>
      </c>
    </row>
    <row r="1753" spans="1:7">
      <c r="A1753" s="6">
        <v>42927</v>
      </c>
      <c r="B1753" s="3" t="s">
        <v>13</v>
      </c>
      <c r="C1753" s="3" t="s">
        <v>32</v>
      </c>
      <c r="D1753" s="8" t="str">
        <f>HYPERLINK("http://npthd.inbcu.com/ViewContent.aspx?filename=NPMR_ABC_2017-07-11_E.MP4$6610$6672","LOCAL")</f>
        <v>LOCAL</v>
      </c>
      <c r="E1753" s="3" t="s">
        <v>257</v>
      </c>
      <c r="F1753" s="3" t="s">
        <v>1861</v>
      </c>
      <c r="G1753" s="3" t="s">
        <v>1862</v>
      </c>
    </row>
    <row r="1754" spans="1:7">
      <c r="A1754" s="6">
        <v>42927</v>
      </c>
      <c r="B1754" s="3" t="s">
        <v>13</v>
      </c>
      <c r="C1754" s="3" t="s">
        <v>18</v>
      </c>
      <c r="D1754" s="8" t="str">
        <f>HYPERLINK("http://npthd.inbcu.com/ViewContent.aspx?filename=NPMR_ABC_2017-07-11_E.MP4$6672$7075","BLACK-ISH: what lies beneath")</f>
        <v>BLACK-ISH: what lies beneath</v>
      </c>
      <c r="E1754" s="3" t="s">
        <v>737</v>
      </c>
      <c r="F1754" s="3" t="s">
        <v>1862</v>
      </c>
      <c r="G1754" s="3" t="s">
        <v>1863</v>
      </c>
    </row>
    <row r="1755" spans="1:7">
      <c r="A1755" s="6">
        <v>42927</v>
      </c>
      <c r="B1755" s="3" t="s">
        <v>13</v>
      </c>
      <c r="C1755" s="3" t="s">
        <v>21</v>
      </c>
      <c r="D1755" s="8" t="str">
        <f>HYPERLINK("http://npthd.inbcu.com/ViewContent.aspx?filename=NPMR_ABC_2017-07-11_E.MP4$7075$7242","COMMERCIAL")</f>
        <v>COMMERCIAL</v>
      </c>
      <c r="E1755" s="3" t="s">
        <v>1217</v>
      </c>
      <c r="F1755" s="3" t="s">
        <v>1863</v>
      </c>
      <c r="G1755" s="3" t="s">
        <v>1864</v>
      </c>
    </row>
    <row r="1756" spans="1:7">
      <c r="A1756" s="6">
        <v>42927</v>
      </c>
      <c r="B1756" s="3" t="s">
        <v>13</v>
      </c>
      <c r="C1756" s="3" t="s">
        <v>14</v>
      </c>
      <c r="D1756" s="8" t="str">
        <f>HYPERLINK("http://npthd.inbcu.com/ViewContent.aspx?filename=NPMR_ABC_2017-07-11_E.MP4$7242$7257","Espys")</f>
        <v>Espys</v>
      </c>
      <c r="E1756" s="3" t="s">
        <v>30</v>
      </c>
      <c r="F1756" s="3" t="s">
        <v>1864</v>
      </c>
      <c r="G1756" s="3" t="s">
        <v>1865</v>
      </c>
    </row>
    <row r="1757" spans="1:7">
      <c r="A1757" s="6">
        <v>42927</v>
      </c>
      <c r="B1757" s="3" t="s">
        <v>13</v>
      </c>
      <c r="C1757" s="3" t="s">
        <v>14</v>
      </c>
      <c r="D1757" s="8" t="str">
        <f>HYPERLINK("http://npthd.inbcu.com/ViewContent.aspx?filename=NPMR_ABC_2017-07-11_E.MP4$7257$7287","Somewhere Between")</f>
        <v>Somewhere Between</v>
      </c>
      <c r="E1757" s="3" t="s">
        <v>38</v>
      </c>
      <c r="F1757" s="3" t="s">
        <v>1865</v>
      </c>
      <c r="G1757" s="3" t="s">
        <v>568</v>
      </c>
    </row>
    <row r="1758" spans="1:7">
      <c r="A1758" s="6">
        <v>42927</v>
      </c>
      <c r="B1758" s="3" t="s">
        <v>13</v>
      </c>
      <c r="C1758" s="3" t="s">
        <v>32</v>
      </c>
      <c r="D1758" s="8" t="str">
        <f>HYPERLINK("http://npthd.inbcu.com/ViewContent.aspx?filename=NPMR_ABC_2017-07-11_E.MP4$7287$7292","LOCAL")</f>
        <v>LOCAL</v>
      </c>
      <c r="E1758" s="3" t="s">
        <v>54</v>
      </c>
      <c r="F1758" s="3" t="s">
        <v>568</v>
      </c>
      <c r="G1758" s="3" t="s">
        <v>181</v>
      </c>
    </row>
    <row r="1759" spans="1:7">
      <c r="A1759" s="6">
        <v>42927</v>
      </c>
      <c r="B1759" s="3" t="s">
        <v>13</v>
      </c>
      <c r="C1759" s="3" t="s">
        <v>18</v>
      </c>
      <c r="D1759" s="8" t="str">
        <f>HYPERLINK("http://npthd.inbcu.com/ViewContent.aspx?filename=NPMR_ABC_2017-07-11_E.MP4$7292$7328","BLACK-ISH: what lies beneath")</f>
        <v>BLACK-ISH: what lies beneath</v>
      </c>
      <c r="E1759" s="3" t="s">
        <v>1367</v>
      </c>
      <c r="F1759" s="3" t="s">
        <v>181</v>
      </c>
      <c r="G1759" s="3" t="s">
        <v>394</v>
      </c>
    </row>
    <row r="1760" spans="1:7">
      <c r="A1760" s="6">
        <v>42927</v>
      </c>
      <c r="B1760" s="3" t="s">
        <v>13</v>
      </c>
      <c r="C1760" s="3" t="s">
        <v>14</v>
      </c>
      <c r="D1760" s="8" t="str">
        <f>HYPERLINK("http://npthd.inbcu.com/ViewContent.aspx?filename=NPMR_ABC_2017-07-11_E.MP4$7328$7333","American Housewife")</f>
        <v>American Housewife</v>
      </c>
      <c r="E1760" s="3" t="s">
        <v>54</v>
      </c>
      <c r="F1760" s="3" t="s">
        <v>394</v>
      </c>
      <c r="G1760" s="3" t="s">
        <v>395</v>
      </c>
    </row>
    <row r="1761" spans="1:7">
      <c r="A1761" s="6">
        <v>42927</v>
      </c>
      <c r="B1761" s="3" t="s">
        <v>13</v>
      </c>
      <c r="C1761" s="3" t="s">
        <v>18</v>
      </c>
      <c r="D1761" s="8" t="str">
        <f>HYPERLINK("http://npthd.inbcu.com/ViewContent.aspx?filename=NPMR_ABC_2017-07-11_E.MP4$7333$7722","AMERICAN HOUSEWIFE: westport zombies")</f>
        <v>AMERICAN HOUSEWIFE: westport zombies</v>
      </c>
      <c r="E1761" s="3" t="s">
        <v>867</v>
      </c>
      <c r="F1761" s="3" t="s">
        <v>395</v>
      </c>
      <c r="G1761" s="3" t="s">
        <v>1866</v>
      </c>
    </row>
    <row r="1762" spans="1:7">
      <c r="A1762" s="6">
        <v>42927</v>
      </c>
      <c r="B1762" s="3" t="s">
        <v>13</v>
      </c>
      <c r="C1762" s="3" t="s">
        <v>21</v>
      </c>
      <c r="D1762" s="8" t="str">
        <f>HYPERLINK("http://npthd.inbcu.com/ViewContent.aspx?filename=NPMR_ABC_2017-07-11_E.MP4$7722$7857","COMMERCIAL")</f>
        <v>COMMERCIAL</v>
      </c>
      <c r="E1762" s="3" t="s">
        <v>459</v>
      </c>
      <c r="F1762" s="3" t="s">
        <v>1866</v>
      </c>
      <c r="G1762" s="3" t="s">
        <v>1867</v>
      </c>
    </row>
    <row r="1763" spans="1:7">
      <c r="A1763" s="6">
        <v>42927</v>
      </c>
      <c r="B1763" s="3" t="s">
        <v>13</v>
      </c>
      <c r="C1763" s="3" t="s">
        <v>14</v>
      </c>
      <c r="D1763" s="8" t="str">
        <f>HYPERLINK("http://npthd.inbcu.com/ViewContent.aspx?filename=NPMR_ABC_2017-07-11_E.MP4$7857$7887","Espys")</f>
        <v>Espys</v>
      </c>
      <c r="E1763" s="3" t="s">
        <v>38</v>
      </c>
      <c r="F1763" s="3" t="s">
        <v>1867</v>
      </c>
      <c r="G1763" s="3" t="s">
        <v>1868</v>
      </c>
    </row>
    <row r="1764" spans="1:7">
      <c r="A1764" s="6">
        <v>42927</v>
      </c>
      <c r="B1764" s="3" t="s">
        <v>13</v>
      </c>
      <c r="C1764" s="3" t="s">
        <v>18</v>
      </c>
      <c r="D1764" s="8" t="str">
        <f>HYPERLINK("http://npthd.inbcu.com/ViewContent.aspx?filename=NPMR_ABC_2017-07-11_E.MP4$7887$8150","AMERICAN HOUSEWIFE: westport zombies")</f>
        <v>AMERICAN HOUSEWIFE: westport zombies</v>
      </c>
      <c r="E1764" s="3" t="s">
        <v>1869</v>
      </c>
      <c r="F1764" s="3" t="s">
        <v>1868</v>
      </c>
      <c r="G1764" s="3" t="s">
        <v>1870</v>
      </c>
    </row>
    <row r="1765" spans="1:7">
      <c r="A1765" s="6">
        <v>42927</v>
      </c>
      <c r="B1765" s="3" t="s">
        <v>13</v>
      </c>
      <c r="C1765" s="3" t="s">
        <v>14</v>
      </c>
      <c r="D1765" s="8" t="str">
        <f>HYPERLINK("http://npthd.inbcu.com/ViewContent.aspx?filename=NPMR_ABC_2017-07-11_E.MP4$8150$8155","Gong Show, The")</f>
        <v>Gong Show, The</v>
      </c>
      <c r="E1765" s="3" t="s">
        <v>54</v>
      </c>
      <c r="F1765" s="3" t="s">
        <v>1870</v>
      </c>
      <c r="G1765" s="3" t="s">
        <v>1871</v>
      </c>
    </row>
    <row r="1766" spans="1:7">
      <c r="A1766" s="6">
        <v>42927</v>
      </c>
      <c r="B1766" s="3" t="s">
        <v>13</v>
      </c>
      <c r="C1766" s="3" t="s">
        <v>21</v>
      </c>
      <c r="D1766" s="8" t="str">
        <f>HYPERLINK("http://npthd.inbcu.com/ViewContent.aspx?filename=NPMR_ABC_2017-07-11_E.MP4$8155$8320","COMMERCIAL")</f>
        <v>COMMERCIAL</v>
      </c>
      <c r="E1766" s="3" t="s">
        <v>428</v>
      </c>
      <c r="F1766" s="3" t="s">
        <v>1871</v>
      </c>
      <c r="G1766" s="3" t="s">
        <v>1872</v>
      </c>
    </row>
    <row r="1767" spans="1:7">
      <c r="A1767" s="6">
        <v>42927</v>
      </c>
      <c r="B1767" s="3" t="s">
        <v>13</v>
      </c>
      <c r="C1767" s="3" t="s">
        <v>14</v>
      </c>
      <c r="D1767" s="8" t="str">
        <f>HYPERLINK("http://npthd.inbcu.com/ViewContent.aspx?filename=NPMR_ABC_2017-07-11_E.MP4$8320$8335","Battle of the Network Stars")</f>
        <v>Battle of the Network Stars</v>
      </c>
      <c r="E1767" s="3" t="s">
        <v>30</v>
      </c>
      <c r="F1767" s="3" t="s">
        <v>1872</v>
      </c>
      <c r="G1767" s="3" t="s">
        <v>1019</v>
      </c>
    </row>
    <row r="1768" spans="1:7">
      <c r="A1768" s="6">
        <v>42927</v>
      </c>
      <c r="B1768" s="3" t="s">
        <v>13</v>
      </c>
      <c r="C1768" s="3" t="s">
        <v>18</v>
      </c>
      <c r="D1768" s="8" t="str">
        <f>HYPERLINK("http://npthd.inbcu.com/ViewContent.aspx?filename=NPMR_ABC_2017-07-11_E.MP4$8335$8862","AMERICAN HOUSEWIFE: westport zombies")</f>
        <v>AMERICAN HOUSEWIFE: westport zombies</v>
      </c>
      <c r="E1768" s="3" t="s">
        <v>1010</v>
      </c>
      <c r="F1768" s="3" t="s">
        <v>1019</v>
      </c>
      <c r="G1768" s="3" t="s">
        <v>1022</v>
      </c>
    </row>
    <row r="1769" spans="1:7">
      <c r="A1769" s="6">
        <v>42927</v>
      </c>
      <c r="B1769" s="3" t="s">
        <v>13</v>
      </c>
      <c r="C1769" s="3" t="s">
        <v>21</v>
      </c>
      <c r="D1769" s="8" t="str">
        <f>HYPERLINK("http://npthd.inbcu.com/ViewContent.aspx?filename=NPMR_ABC_2017-07-11_E.MP4$8862$8952","COMMERCIAL")</f>
        <v>COMMERCIAL</v>
      </c>
      <c r="E1769" s="3" t="s">
        <v>46</v>
      </c>
      <c r="F1769" s="3" t="s">
        <v>1022</v>
      </c>
      <c r="G1769" s="3" t="s">
        <v>1873</v>
      </c>
    </row>
    <row r="1770" spans="1:7">
      <c r="A1770" s="6">
        <v>42927</v>
      </c>
      <c r="B1770" s="3" t="s">
        <v>13</v>
      </c>
      <c r="C1770" s="3" t="s">
        <v>14</v>
      </c>
      <c r="D1770" s="8" t="str">
        <f>HYPERLINK("http://npthd.inbcu.com/ViewContent.aspx?filename=NPMR_ABC_2017-07-11_E.MP4$8952$8967","Espys")</f>
        <v>Espys</v>
      </c>
      <c r="E1770" s="3" t="s">
        <v>30</v>
      </c>
      <c r="F1770" s="3" t="s">
        <v>1873</v>
      </c>
      <c r="G1770" s="3" t="s">
        <v>1874</v>
      </c>
    </row>
    <row r="1771" spans="1:7">
      <c r="A1771" s="6">
        <v>42927</v>
      </c>
      <c r="B1771" s="3" t="s">
        <v>13</v>
      </c>
      <c r="C1771" s="3" t="s">
        <v>14</v>
      </c>
      <c r="D1771" s="8" t="str">
        <f>HYPERLINK("http://npthd.inbcu.com/ViewContent.aspx?filename=NPMR_ABC_2017-07-11_E.MP4$8967$8982","Somewhere Between")</f>
        <v>Somewhere Between</v>
      </c>
      <c r="E1771" s="3" t="s">
        <v>30</v>
      </c>
      <c r="F1771" s="3" t="s">
        <v>1874</v>
      </c>
      <c r="G1771" s="3" t="s">
        <v>1875</v>
      </c>
    </row>
    <row r="1772" spans="1:7">
      <c r="A1772" s="6">
        <v>42927</v>
      </c>
      <c r="B1772" s="3" t="s">
        <v>13</v>
      </c>
      <c r="C1772" s="3" t="s">
        <v>32</v>
      </c>
      <c r="D1772" s="8" t="str">
        <f>HYPERLINK("http://npthd.inbcu.com/ViewContent.aspx?filename=NPMR_ABC_2017-07-11_E.MP4$8982$9089","LOCAL")</f>
        <v>LOCAL</v>
      </c>
      <c r="E1772" s="3" t="s">
        <v>104</v>
      </c>
      <c r="F1772" s="3" t="s">
        <v>1875</v>
      </c>
      <c r="G1772" s="3" t="s">
        <v>1876</v>
      </c>
    </row>
    <row r="1773" spans="1:7">
      <c r="A1773" s="6">
        <v>42927</v>
      </c>
      <c r="B1773" s="3" t="s">
        <v>13</v>
      </c>
      <c r="C1773" s="3" t="s">
        <v>18</v>
      </c>
      <c r="D1773" s="8" t="str">
        <f>HYPERLINK("http://npthd.inbcu.com/ViewContent.aspx?filename=NPMR_ABC_2017-07-11_E.MP4$9089$9128","AMERICAN HOUSEWIFE: westport zombies")</f>
        <v>AMERICAN HOUSEWIFE: westport zombies</v>
      </c>
      <c r="E1773" s="3" t="s">
        <v>603</v>
      </c>
      <c r="F1773" s="3" t="s">
        <v>1876</v>
      </c>
      <c r="G1773" s="3" t="s">
        <v>586</v>
      </c>
    </row>
    <row r="1774" spans="1:7">
      <c r="A1774" s="6">
        <v>42927</v>
      </c>
      <c r="B1774" s="3" t="s">
        <v>13</v>
      </c>
      <c r="C1774" s="3" t="s">
        <v>14</v>
      </c>
      <c r="D1774" s="8" t="str">
        <f>HYPERLINK("http://npthd.inbcu.com/ViewContent.aspx?filename=NPMR_ABC_2017-07-11_E.MP4$9128$9133","Middle, The")</f>
        <v>Middle, The</v>
      </c>
      <c r="E1774" s="3" t="s">
        <v>54</v>
      </c>
      <c r="F1774" s="3" t="s">
        <v>586</v>
      </c>
      <c r="G1774" s="3" t="s">
        <v>587</v>
      </c>
    </row>
    <row r="1775" spans="1:7">
      <c r="A1775" s="6">
        <v>42927</v>
      </c>
      <c r="B1775" s="3" t="s">
        <v>13</v>
      </c>
      <c r="C1775" s="3" t="s">
        <v>18</v>
      </c>
      <c r="D1775" s="8" t="str">
        <f>HYPERLINK("http://npthd.inbcu.com/ViewContent.aspx?filename=NPMR_ABC_2017-07-11_E.MP4$9133$9468","THE MIDDLE: exes and ohhhs")</f>
        <v>THE MIDDLE: exes and ohhhs</v>
      </c>
      <c r="E1775" s="3" t="s">
        <v>1668</v>
      </c>
      <c r="F1775" s="3" t="s">
        <v>587</v>
      </c>
      <c r="G1775" s="3" t="s">
        <v>1877</v>
      </c>
    </row>
    <row r="1776" spans="1:7">
      <c r="A1776" s="6">
        <v>42927</v>
      </c>
      <c r="B1776" s="3" t="s">
        <v>13</v>
      </c>
      <c r="C1776" s="3" t="s">
        <v>21</v>
      </c>
      <c r="D1776" s="8" t="str">
        <f>HYPERLINK("http://npthd.inbcu.com/ViewContent.aspx?filename=NPMR_ABC_2017-07-11_E.MP4$9468$9619","COMMERCIAL")</f>
        <v>COMMERCIAL</v>
      </c>
      <c r="E1776" s="3" t="s">
        <v>91</v>
      </c>
      <c r="F1776" s="3" t="s">
        <v>1877</v>
      </c>
      <c r="G1776" s="3" t="s">
        <v>589</v>
      </c>
    </row>
    <row r="1777" spans="1:7">
      <c r="A1777" s="6">
        <v>42927</v>
      </c>
      <c r="B1777" s="3" t="s">
        <v>13</v>
      </c>
      <c r="C1777" s="3" t="s">
        <v>14</v>
      </c>
      <c r="D1777" s="8" t="str">
        <f>HYPERLINK("http://npthd.inbcu.com/ViewContent.aspx?filename=NPMR_ABC_2017-07-11_E.MP4$9619$9649","Espys")</f>
        <v>Espys</v>
      </c>
      <c r="E1777" s="3" t="s">
        <v>38</v>
      </c>
      <c r="F1777" s="3" t="s">
        <v>589</v>
      </c>
      <c r="G1777" s="3" t="s">
        <v>1878</v>
      </c>
    </row>
    <row r="1778" spans="1:7">
      <c r="A1778" s="6">
        <v>42927</v>
      </c>
      <c r="B1778" s="3" t="s">
        <v>13</v>
      </c>
      <c r="C1778" s="3" t="s">
        <v>18</v>
      </c>
      <c r="D1778" s="8" t="str">
        <f>HYPERLINK("http://npthd.inbcu.com/ViewContent.aspx?filename=NPMR_ABC_2017-07-11_E.MP4$9649$10000","THE MIDDLE: exes and ohhhs")</f>
        <v>THE MIDDLE: exes and ohhhs</v>
      </c>
      <c r="E1778" s="3" t="s">
        <v>1541</v>
      </c>
      <c r="F1778" s="3" t="s">
        <v>1878</v>
      </c>
      <c r="G1778" s="3" t="s">
        <v>1598</v>
      </c>
    </row>
    <row r="1779" spans="1:7">
      <c r="A1779" s="6">
        <v>42927</v>
      </c>
      <c r="B1779" s="3" t="s">
        <v>13</v>
      </c>
      <c r="C1779" s="3" t="s">
        <v>21</v>
      </c>
      <c r="D1779" s="8" t="str">
        <f>HYPERLINK("http://npthd.inbcu.com/ViewContent.aspx?filename=NPMR_ABC_2017-07-11_E.MP4$10000$10091","COMMERCIAL")</f>
        <v>COMMERCIAL</v>
      </c>
      <c r="E1779" s="3" t="s">
        <v>77</v>
      </c>
      <c r="F1779" s="3" t="s">
        <v>1598</v>
      </c>
      <c r="G1779" s="3" t="s">
        <v>843</v>
      </c>
    </row>
    <row r="1780" spans="1:7">
      <c r="A1780" s="6">
        <v>42927</v>
      </c>
      <c r="B1780" s="3" t="s">
        <v>13</v>
      </c>
      <c r="C1780" s="3" t="s">
        <v>14</v>
      </c>
      <c r="D1780" s="8" t="str">
        <f>HYPERLINK("http://npthd.inbcu.com/ViewContent.aspx?filename=NPMR_ABC_2017-07-11_E.MP4$10091$10106","Gong Show, The")</f>
        <v>Gong Show, The</v>
      </c>
      <c r="E1780" s="3" t="s">
        <v>30</v>
      </c>
      <c r="F1780" s="3" t="s">
        <v>843</v>
      </c>
      <c r="G1780" s="3" t="s">
        <v>1879</v>
      </c>
    </row>
    <row r="1781" spans="1:7">
      <c r="A1781" s="6">
        <v>42927</v>
      </c>
      <c r="B1781" s="3" t="s">
        <v>13</v>
      </c>
      <c r="C1781" s="3" t="s">
        <v>32</v>
      </c>
      <c r="D1781" s="8" t="str">
        <f>HYPERLINK("http://npthd.inbcu.com/ViewContent.aspx?filename=NPMR_ABC_2017-07-11_E.MP4$10106$10198","LOCAL")</f>
        <v>LOCAL</v>
      </c>
      <c r="E1781" s="3" t="s">
        <v>267</v>
      </c>
      <c r="F1781" s="3" t="s">
        <v>1879</v>
      </c>
      <c r="G1781" s="3" t="s">
        <v>1880</v>
      </c>
    </row>
    <row r="1782" spans="1:7">
      <c r="A1782" s="6">
        <v>42927</v>
      </c>
      <c r="B1782" s="3" t="s">
        <v>13</v>
      </c>
      <c r="C1782" s="3" t="s">
        <v>18</v>
      </c>
      <c r="D1782" s="8" t="str">
        <f>HYPERLINK("http://npthd.inbcu.com/ViewContent.aspx?filename=NPMR_ABC_2017-07-11_E.MP4$10198$10377","THE MIDDLE: exes and ohhhs")</f>
        <v>THE MIDDLE: exes and ohhhs</v>
      </c>
      <c r="E1782" s="3" t="s">
        <v>1141</v>
      </c>
      <c r="F1782" s="3" t="s">
        <v>1880</v>
      </c>
      <c r="G1782" s="3" t="s">
        <v>1881</v>
      </c>
    </row>
    <row r="1783" spans="1:7">
      <c r="A1783" s="6">
        <v>42927</v>
      </c>
      <c r="B1783" s="3" t="s">
        <v>13</v>
      </c>
      <c r="C1783" s="3" t="s">
        <v>21</v>
      </c>
      <c r="D1783" s="8" t="str">
        <f>HYPERLINK("http://npthd.inbcu.com/ViewContent.aspx?filename=NPMR_ABC_2017-07-11_E.MP4$10377$10498","COMMERCIAL")</f>
        <v>COMMERCIAL</v>
      </c>
      <c r="E1783" s="3" t="s">
        <v>175</v>
      </c>
      <c r="F1783" s="3" t="s">
        <v>1881</v>
      </c>
      <c r="G1783" s="3" t="s">
        <v>1882</v>
      </c>
    </row>
    <row r="1784" spans="1:7">
      <c r="A1784" s="6">
        <v>42927</v>
      </c>
      <c r="B1784" s="3" t="s">
        <v>13</v>
      </c>
      <c r="C1784" s="3" t="s">
        <v>14</v>
      </c>
      <c r="D1784" s="8" t="str">
        <f>HYPERLINK("http://npthd.inbcu.com/ViewContent.aspx?filename=NPMR_ABC_2017-07-11_E.MP4$10498$10513","Jimmy Kimmel Live!")</f>
        <v>Jimmy Kimmel Live!</v>
      </c>
      <c r="E1784" s="3" t="s">
        <v>30</v>
      </c>
      <c r="F1784" s="3" t="s">
        <v>1882</v>
      </c>
      <c r="G1784" s="3" t="s">
        <v>1883</v>
      </c>
    </row>
    <row r="1785" spans="1:7">
      <c r="A1785" s="6">
        <v>42927</v>
      </c>
      <c r="B1785" s="3" t="s">
        <v>13</v>
      </c>
      <c r="C1785" s="3" t="s">
        <v>18</v>
      </c>
      <c r="D1785" s="8" t="str">
        <f>HYPERLINK("http://npthd.inbcu.com/ViewContent.aspx?filename=NPMR_ABC_2017-07-11_E.MP4$10513$10913","THE MIDDLE: exes and ohhhs")</f>
        <v>THE MIDDLE: exes and ohhhs</v>
      </c>
      <c r="E1785" s="3" t="s">
        <v>857</v>
      </c>
      <c r="F1785" s="3" t="s">
        <v>1883</v>
      </c>
      <c r="G1785" s="3" t="s">
        <v>123</v>
      </c>
    </row>
    <row r="1786" spans="1:7">
      <c r="A1786" s="6">
        <v>42927</v>
      </c>
      <c r="B1786" s="3" t="s">
        <v>13</v>
      </c>
      <c r="C1786" s="3" t="s">
        <v>32</v>
      </c>
      <c r="D1786" s="8" t="str">
        <f>HYPERLINK("http://npthd.inbcu.com/ViewContent.aspx?filename=NPMR_ABC_2017-07-11_E.MP4$10913$10928","LOCAL")</f>
        <v>LOCAL</v>
      </c>
      <c r="E1786" s="3" t="s">
        <v>30</v>
      </c>
      <c r="F1786" s="3" t="s">
        <v>123</v>
      </c>
      <c r="G1786" s="3" t="s">
        <v>124</v>
      </c>
    </row>
    <row r="1787" spans="1:7">
      <c r="A1787" s="6">
        <v>42928</v>
      </c>
      <c r="B1787" s="3" t="s">
        <v>13</v>
      </c>
      <c r="C1787" s="3" t="s">
        <v>14</v>
      </c>
      <c r="D1787" s="8" t="str">
        <f>HYPERLINK("http://npthd.inbcu.com/ViewContent.aspx?filename=NPMR_ABC_2017-07-12_E.MP4$130$135","ABC Open")</f>
        <v>ABC Open</v>
      </c>
      <c r="E1787" s="3" t="s">
        <v>54</v>
      </c>
      <c r="F1787" s="3" t="s">
        <v>16</v>
      </c>
      <c r="G1787" s="3" t="s">
        <v>125</v>
      </c>
    </row>
    <row r="1788" spans="1:7">
      <c r="A1788" s="6">
        <v>42928</v>
      </c>
      <c r="B1788" s="3" t="s">
        <v>13</v>
      </c>
      <c r="C1788" s="3" t="s">
        <v>18</v>
      </c>
      <c r="D1788" s="8" t="str">
        <f>HYPERLINK("http://npthd.inbcu.com/ViewContent.aspx?filename=NPMR_ABC_2017-07-12_E.MP4$135$1323","ABC SPORTS SPECIALS: 2017 espy awards presented by capital one (host by peyton manning)")</f>
        <v>ABC SPORTS SPECIALS: 2017 espy awards presented by capital one (host by peyton manning)</v>
      </c>
      <c r="E1788" s="3" t="s">
        <v>1884</v>
      </c>
      <c r="F1788" s="3" t="s">
        <v>125</v>
      </c>
      <c r="G1788" s="3" t="s">
        <v>1885</v>
      </c>
    </row>
    <row r="1789" spans="1:7">
      <c r="A1789" s="6">
        <v>42928</v>
      </c>
      <c r="B1789" s="3" t="s">
        <v>13</v>
      </c>
      <c r="C1789" s="3" t="s">
        <v>21</v>
      </c>
      <c r="D1789" s="8" t="str">
        <f>HYPERLINK("http://npthd.inbcu.com/ViewContent.aspx?filename=NPMR_ABC_2017-07-12_E.MP4$1323$1504","COMMERCIAL")</f>
        <v>COMMERCIAL</v>
      </c>
      <c r="E1789" s="3" t="s">
        <v>108</v>
      </c>
      <c r="F1789" s="3" t="s">
        <v>1885</v>
      </c>
      <c r="G1789" s="3" t="s">
        <v>1886</v>
      </c>
    </row>
    <row r="1790" spans="1:7">
      <c r="A1790" s="6">
        <v>42928</v>
      </c>
      <c r="B1790" s="3" t="s">
        <v>13</v>
      </c>
      <c r="C1790" s="3" t="s">
        <v>14</v>
      </c>
      <c r="D1790" s="8" t="str">
        <f>HYPERLINK("http://npthd.inbcu.com/ViewContent.aspx?filename=NPMR_ABC_2017-07-12_E.MP4$1504$1534","Black-ish")</f>
        <v>Black-ish</v>
      </c>
      <c r="E1790" s="3" t="s">
        <v>38</v>
      </c>
      <c r="F1790" s="3" t="s">
        <v>1886</v>
      </c>
      <c r="G1790" s="3" t="s">
        <v>1887</v>
      </c>
    </row>
    <row r="1791" spans="1:7">
      <c r="A1791" s="6">
        <v>42928</v>
      </c>
      <c r="B1791" s="3" t="s">
        <v>13</v>
      </c>
      <c r="C1791" s="3" t="s">
        <v>18</v>
      </c>
      <c r="D1791" s="8" t="str">
        <f>HYPERLINK("http://npthd.inbcu.com/ViewContent.aspx?filename=NPMR_ABC_2017-07-12_E.MP4$1534$2044","ABC SPORTS SPECIALS: 2017 espy awards presented by capital one (host by peyton manning)")</f>
        <v>ABC SPORTS SPECIALS: 2017 espy awards presented by capital one (host by peyton manning)</v>
      </c>
      <c r="E1791" s="3" t="s">
        <v>1888</v>
      </c>
      <c r="F1791" s="3" t="s">
        <v>1887</v>
      </c>
      <c r="G1791" s="3" t="s">
        <v>1889</v>
      </c>
    </row>
    <row r="1792" spans="1:7">
      <c r="A1792" s="6">
        <v>42928</v>
      </c>
      <c r="B1792" s="3" t="s">
        <v>13</v>
      </c>
      <c r="C1792" s="3" t="s">
        <v>21</v>
      </c>
      <c r="D1792" s="8" t="str">
        <f>HYPERLINK("http://npthd.inbcu.com/ViewContent.aspx?filename=NPMR_ABC_2017-07-12_E.MP4$2044$2225","COMMERCIAL")</f>
        <v>COMMERCIAL</v>
      </c>
      <c r="E1792" s="3" t="s">
        <v>108</v>
      </c>
      <c r="F1792" s="3" t="s">
        <v>1889</v>
      </c>
      <c r="G1792" s="3" t="s">
        <v>1890</v>
      </c>
    </row>
    <row r="1793" spans="1:7">
      <c r="A1793" s="6">
        <v>42928</v>
      </c>
      <c r="B1793" s="3" t="s">
        <v>13</v>
      </c>
      <c r="C1793" s="3" t="s">
        <v>14</v>
      </c>
      <c r="D1793" s="8" t="str">
        <f>HYPERLINK("http://npthd.inbcu.com/ViewContent.aspx?filename=NPMR_ABC_2017-07-12_E.MP4$2225$2270","CMA Music Festival")</f>
        <v>CMA Music Festival</v>
      </c>
      <c r="E1793" s="3" t="s">
        <v>1143</v>
      </c>
      <c r="F1793" s="3" t="s">
        <v>1890</v>
      </c>
      <c r="G1793" s="3" t="s">
        <v>1891</v>
      </c>
    </row>
    <row r="1794" spans="1:7">
      <c r="A1794" s="6">
        <v>42928</v>
      </c>
      <c r="B1794" s="3" t="s">
        <v>13</v>
      </c>
      <c r="C1794" s="3" t="s">
        <v>18</v>
      </c>
      <c r="D1794" s="8" t="str">
        <f>HYPERLINK("http://npthd.inbcu.com/ViewContent.aspx?filename=NPMR_ABC_2017-07-12_E.MP4$2270$2958","ABC SPORTS SPECIALS: 2017 espy awards presented by capital one (host by peyton manning)")</f>
        <v>ABC SPORTS SPECIALS: 2017 espy awards presented by capital one (host by peyton manning)</v>
      </c>
      <c r="E1794" s="3" t="s">
        <v>126</v>
      </c>
      <c r="F1794" s="3" t="s">
        <v>1891</v>
      </c>
      <c r="G1794" s="3" t="s">
        <v>1892</v>
      </c>
    </row>
    <row r="1795" spans="1:7">
      <c r="A1795" s="6">
        <v>42928</v>
      </c>
      <c r="B1795" s="3" t="s">
        <v>13</v>
      </c>
      <c r="C1795" s="3" t="s">
        <v>21</v>
      </c>
      <c r="D1795" s="8" t="str">
        <f>HYPERLINK("http://npthd.inbcu.com/ViewContent.aspx?filename=NPMR_ABC_2017-07-12_E.MP4$2958$3109","COMMERCIAL")</f>
        <v>COMMERCIAL</v>
      </c>
      <c r="E1795" s="3" t="s">
        <v>91</v>
      </c>
      <c r="F1795" s="3" t="s">
        <v>1892</v>
      </c>
      <c r="G1795" s="3" t="s">
        <v>1893</v>
      </c>
    </row>
    <row r="1796" spans="1:7">
      <c r="A1796" s="6">
        <v>42928</v>
      </c>
      <c r="B1796" s="3" t="s">
        <v>13</v>
      </c>
      <c r="C1796" s="3" t="s">
        <v>14</v>
      </c>
      <c r="D1796" s="8" t="str">
        <f>HYPERLINK("http://npthd.inbcu.com/ViewContent.aspx?filename=NPMR_ABC_2017-07-12_E.MP4$3109$3139","Gong Show, The")</f>
        <v>Gong Show, The</v>
      </c>
      <c r="E1796" s="3" t="s">
        <v>38</v>
      </c>
      <c r="F1796" s="3" t="s">
        <v>1893</v>
      </c>
      <c r="G1796" s="3" t="s">
        <v>1894</v>
      </c>
    </row>
    <row r="1797" spans="1:7">
      <c r="A1797" s="6">
        <v>42928</v>
      </c>
      <c r="B1797" s="3" t="s">
        <v>13</v>
      </c>
      <c r="C1797" s="3" t="s">
        <v>32</v>
      </c>
      <c r="D1797" s="8" t="str">
        <f>HYPERLINK("http://npthd.inbcu.com/ViewContent.aspx?filename=NPMR_ABC_2017-07-12_E.MP4$3139$3201","LOCAL")</f>
        <v>LOCAL</v>
      </c>
      <c r="E1797" s="3" t="s">
        <v>257</v>
      </c>
      <c r="F1797" s="3" t="s">
        <v>1894</v>
      </c>
      <c r="G1797" s="3" t="s">
        <v>1895</v>
      </c>
    </row>
    <row r="1798" spans="1:7">
      <c r="A1798" s="6">
        <v>42928</v>
      </c>
      <c r="B1798" s="3" t="s">
        <v>13</v>
      </c>
      <c r="C1798" s="3" t="s">
        <v>18</v>
      </c>
      <c r="D1798" s="8" t="str">
        <f>HYPERLINK("http://npthd.inbcu.com/ViewContent.aspx?filename=NPMR_ABC_2017-07-12_E.MP4$3201$3607","ABC SPORTS SPECIALS: 2017 espy awards presented by capital one (host by peyton manning)")</f>
        <v>ABC SPORTS SPECIALS: 2017 espy awards presented by capital one (host by peyton manning)</v>
      </c>
      <c r="E1798" s="3" t="s">
        <v>1459</v>
      </c>
      <c r="F1798" s="3" t="s">
        <v>1895</v>
      </c>
      <c r="G1798" s="3" t="s">
        <v>1896</v>
      </c>
    </row>
    <row r="1799" spans="1:7">
      <c r="A1799" s="6">
        <v>42928</v>
      </c>
      <c r="B1799" s="3" t="s">
        <v>13</v>
      </c>
      <c r="C1799" s="3" t="s">
        <v>21</v>
      </c>
      <c r="D1799" s="8" t="str">
        <f>HYPERLINK("http://npthd.inbcu.com/ViewContent.aspx?filename=NPMR_ABC_2017-07-12_E.MP4$3607$3818","COMMERCIAL")</f>
        <v>COMMERCIAL</v>
      </c>
      <c r="E1799" s="3" t="s">
        <v>334</v>
      </c>
      <c r="F1799" s="3" t="s">
        <v>1896</v>
      </c>
      <c r="G1799" s="3" t="s">
        <v>1897</v>
      </c>
    </row>
    <row r="1800" spans="1:7">
      <c r="A1800" s="6">
        <v>42928</v>
      </c>
      <c r="B1800" s="3" t="s">
        <v>13</v>
      </c>
      <c r="C1800" s="3" t="s">
        <v>14</v>
      </c>
      <c r="D1800" s="8" t="str">
        <f>HYPERLINK("http://npthd.inbcu.com/ViewContent.aspx?filename=NPMR_ABC_2017-07-12_E.MP4$3818$3833","Battle of the Network Stars")</f>
        <v>Battle of the Network Stars</v>
      </c>
      <c r="E1800" s="3" t="s">
        <v>30</v>
      </c>
      <c r="F1800" s="3" t="s">
        <v>1897</v>
      </c>
      <c r="G1800" s="3" t="s">
        <v>1898</v>
      </c>
    </row>
    <row r="1801" spans="1:7">
      <c r="A1801" s="6">
        <v>42928</v>
      </c>
      <c r="B1801" s="3" t="s">
        <v>13</v>
      </c>
      <c r="C1801" s="3" t="s">
        <v>18</v>
      </c>
      <c r="D1801" s="8" t="str">
        <f>HYPERLINK("http://npthd.inbcu.com/ViewContent.aspx?filename=NPMR_ABC_2017-07-12_E.MP4$3833$4510","ABC SPORTS SPECIALS: 2017 espy awards presented by capital one (host by peyton manning)")</f>
        <v>ABC SPORTS SPECIALS: 2017 espy awards presented by capital one (host by peyton manning)</v>
      </c>
      <c r="E1801" s="3" t="s">
        <v>1025</v>
      </c>
      <c r="F1801" s="3" t="s">
        <v>1898</v>
      </c>
      <c r="G1801" s="3" t="s">
        <v>1899</v>
      </c>
    </row>
    <row r="1802" spans="1:7">
      <c r="A1802" s="6">
        <v>42928</v>
      </c>
      <c r="B1802" s="3" t="s">
        <v>13</v>
      </c>
      <c r="C1802" s="3" t="s">
        <v>21</v>
      </c>
      <c r="D1802" s="8" t="str">
        <f>HYPERLINK("http://npthd.inbcu.com/ViewContent.aspx?filename=NPMR_ABC_2017-07-12_E.MP4$4510$4660","COMMERCIAL")</f>
        <v>COMMERCIAL</v>
      </c>
      <c r="E1802" s="3" t="s">
        <v>28</v>
      </c>
      <c r="F1802" s="3" t="s">
        <v>1899</v>
      </c>
      <c r="G1802" s="3" t="s">
        <v>1900</v>
      </c>
    </row>
    <row r="1803" spans="1:7">
      <c r="A1803" s="6">
        <v>42928</v>
      </c>
      <c r="B1803" s="3" t="s">
        <v>13</v>
      </c>
      <c r="C1803" s="3" t="s">
        <v>14</v>
      </c>
      <c r="D1803" s="8" t="str">
        <f>HYPERLINK("http://npthd.inbcu.com/ViewContent.aspx?filename=NPMR_ABC_2017-07-12_E.MP4$4660$4665","Ten Days in the Valley")</f>
        <v>Ten Days in the Valley</v>
      </c>
      <c r="E1803" s="3" t="s">
        <v>54</v>
      </c>
      <c r="F1803" s="3" t="s">
        <v>1900</v>
      </c>
      <c r="G1803" s="3" t="s">
        <v>1901</v>
      </c>
    </row>
    <row r="1804" spans="1:7">
      <c r="A1804" s="6">
        <v>42928</v>
      </c>
      <c r="B1804" s="3" t="s">
        <v>13</v>
      </c>
      <c r="C1804" s="3" t="s">
        <v>32</v>
      </c>
      <c r="D1804" s="8" t="str">
        <f>HYPERLINK("http://npthd.inbcu.com/ViewContent.aspx?filename=NPMR_ABC_2017-07-12_E.MP4$4665$4729","LOCAL")</f>
        <v>LOCAL</v>
      </c>
      <c r="E1804" s="3" t="s">
        <v>1902</v>
      </c>
      <c r="F1804" s="3" t="s">
        <v>1901</v>
      </c>
      <c r="G1804" s="3" t="s">
        <v>1903</v>
      </c>
    </row>
    <row r="1805" spans="1:7">
      <c r="A1805" s="6">
        <v>42928</v>
      </c>
      <c r="B1805" s="3" t="s">
        <v>13</v>
      </c>
      <c r="C1805" s="3" t="s">
        <v>18</v>
      </c>
      <c r="D1805" s="8" t="str">
        <f>HYPERLINK("http://npthd.inbcu.com/ViewContent.aspx?filename=NPMR_ABC_2017-07-12_E.MP4$4729$5112","ABC SPORTS SPECIALS: 2017 espy awards presented by capital one (host by peyton manning)")</f>
        <v>ABC SPORTS SPECIALS: 2017 espy awards presented by capital one (host by peyton manning)</v>
      </c>
      <c r="E1805" s="3" t="s">
        <v>1904</v>
      </c>
      <c r="F1805" s="3" t="s">
        <v>1903</v>
      </c>
      <c r="G1805" s="3" t="s">
        <v>1905</v>
      </c>
    </row>
    <row r="1806" spans="1:7">
      <c r="A1806" s="6">
        <v>42928</v>
      </c>
      <c r="B1806" s="3" t="s">
        <v>13</v>
      </c>
      <c r="C1806" s="3" t="s">
        <v>21</v>
      </c>
      <c r="D1806" s="8" t="str">
        <f>HYPERLINK("http://npthd.inbcu.com/ViewContent.aspx?filename=NPMR_ABC_2017-07-12_E.MP4$5112$5339","COMMERCIAL")</f>
        <v>COMMERCIAL</v>
      </c>
      <c r="E1806" s="3" t="s">
        <v>1906</v>
      </c>
      <c r="F1806" s="3" t="s">
        <v>1905</v>
      </c>
      <c r="G1806" s="3" t="s">
        <v>813</v>
      </c>
    </row>
    <row r="1807" spans="1:7">
      <c r="A1807" s="6">
        <v>42928</v>
      </c>
      <c r="B1807" s="3" t="s">
        <v>13</v>
      </c>
      <c r="C1807" s="3" t="s">
        <v>18</v>
      </c>
      <c r="D1807" s="8" t="str">
        <f>HYPERLINK("http://npthd.inbcu.com/ViewContent.aspx?filename=NPMR_ABC_2017-07-12_E.MP4$5339$5963","ABC SPORTS SPECIALS: 2017 espy awards presented by capital one (host by peyton manning)")</f>
        <v>ABC SPORTS SPECIALS: 2017 espy awards presented by capital one (host by peyton manning)</v>
      </c>
      <c r="E1807" s="3" t="s">
        <v>1907</v>
      </c>
      <c r="F1807" s="3" t="s">
        <v>813</v>
      </c>
      <c r="G1807" s="3" t="s">
        <v>1794</v>
      </c>
    </row>
    <row r="1808" spans="1:7">
      <c r="A1808" s="6">
        <v>42928</v>
      </c>
      <c r="B1808" s="3" t="s">
        <v>13</v>
      </c>
      <c r="C1808" s="3" t="s">
        <v>21</v>
      </c>
      <c r="D1808" s="8" t="str">
        <f>HYPERLINK("http://npthd.inbcu.com/ViewContent.aspx?filename=NPMR_ABC_2017-07-12_E.MP4$5963$6114","COMMERCIAL")</f>
        <v>COMMERCIAL</v>
      </c>
      <c r="E1808" s="3" t="s">
        <v>91</v>
      </c>
      <c r="F1808" s="3" t="s">
        <v>1794</v>
      </c>
      <c r="G1808" s="3" t="s">
        <v>1908</v>
      </c>
    </row>
    <row r="1809" spans="1:7">
      <c r="A1809" s="6">
        <v>42928</v>
      </c>
      <c r="B1809" s="3" t="s">
        <v>13</v>
      </c>
      <c r="C1809" s="3" t="s">
        <v>14</v>
      </c>
      <c r="D1809" s="8" t="str">
        <f>HYPERLINK("http://npthd.inbcu.com/ViewContent.aspx?filename=NPMR_ABC_2017-07-12_E.MP4$6114$6119","Jimmy Kimmel Live!")</f>
        <v>Jimmy Kimmel Live!</v>
      </c>
      <c r="E1809" s="3" t="s">
        <v>54</v>
      </c>
      <c r="F1809" s="3" t="s">
        <v>1908</v>
      </c>
      <c r="G1809" s="3" t="s">
        <v>1909</v>
      </c>
    </row>
    <row r="1810" spans="1:7">
      <c r="A1810" s="6">
        <v>42928</v>
      </c>
      <c r="B1810" s="3" t="s">
        <v>13</v>
      </c>
      <c r="C1810" s="3" t="s">
        <v>32</v>
      </c>
      <c r="D1810" s="8" t="str">
        <f>HYPERLINK("http://npthd.inbcu.com/ViewContent.aspx?filename=NPMR_ABC_2017-07-12_E.MP4$6119$6181","LOCAL")</f>
        <v>LOCAL</v>
      </c>
      <c r="E1810" s="3" t="s">
        <v>257</v>
      </c>
      <c r="F1810" s="3" t="s">
        <v>1909</v>
      </c>
      <c r="G1810" s="3" t="s">
        <v>1910</v>
      </c>
    </row>
    <row r="1811" spans="1:7">
      <c r="A1811" s="6">
        <v>42928</v>
      </c>
      <c r="B1811" s="3" t="s">
        <v>13</v>
      </c>
      <c r="C1811" s="3" t="s">
        <v>18</v>
      </c>
      <c r="D1811" s="8" t="str">
        <f>HYPERLINK("http://npthd.inbcu.com/ViewContent.aspx?filename=NPMR_ABC_2017-07-12_E.MP4$6181$6420","ABC SPORTS SPECIALS: 2017 espy awards presented by capital one (host by peyton manning)")</f>
        <v>ABC SPORTS SPECIALS: 2017 espy awards presented by capital one (host by peyton manning)</v>
      </c>
      <c r="E1811" s="3" t="s">
        <v>1911</v>
      </c>
      <c r="F1811" s="3" t="s">
        <v>1910</v>
      </c>
      <c r="G1811" s="3" t="s">
        <v>1912</v>
      </c>
    </row>
    <row r="1812" spans="1:7">
      <c r="A1812" s="6">
        <v>42928</v>
      </c>
      <c r="B1812" s="3" t="s">
        <v>13</v>
      </c>
      <c r="C1812" s="3" t="s">
        <v>21</v>
      </c>
      <c r="D1812" s="8" t="str">
        <f>HYPERLINK("http://npthd.inbcu.com/ViewContent.aspx?filename=NPMR_ABC_2017-07-12_E.MP4$6420$6616","COMMERCIAL")</f>
        <v>COMMERCIAL</v>
      </c>
      <c r="E1812" s="3" t="s">
        <v>812</v>
      </c>
      <c r="F1812" s="3" t="s">
        <v>1912</v>
      </c>
      <c r="G1812" s="3" t="s">
        <v>465</v>
      </c>
    </row>
    <row r="1813" spans="1:7">
      <c r="A1813" s="6">
        <v>42928</v>
      </c>
      <c r="B1813" s="3" t="s">
        <v>13</v>
      </c>
      <c r="C1813" s="3" t="s">
        <v>14</v>
      </c>
      <c r="D1813" s="8" t="str">
        <f>HYPERLINK("http://npthd.inbcu.com/ViewContent.aspx?filename=NPMR_ABC_2017-07-12_E.MP4$6616$6631","Good Morning America")</f>
        <v>Good Morning America</v>
      </c>
      <c r="E1813" s="3" t="s">
        <v>30</v>
      </c>
      <c r="F1813" s="3" t="s">
        <v>465</v>
      </c>
      <c r="G1813" s="3" t="s">
        <v>1913</v>
      </c>
    </row>
    <row r="1814" spans="1:7">
      <c r="A1814" s="6">
        <v>42928</v>
      </c>
      <c r="B1814" s="3" t="s">
        <v>13</v>
      </c>
      <c r="C1814" s="3" t="s">
        <v>18</v>
      </c>
      <c r="D1814" s="8" t="str">
        <f>HYPERLINK("http://npthd.inbcu.com/ViewContent.aspx?filename=NPMR_ABC_2017-07-12_E.MP4$6631$6979","ABC SPORTS SPECIALS: 2017 espy awards presented by capital one (host by peyton manning)")</f>
        <v>ABC SPORTS SPECIALS: 2017 espy awards presented by capital one (host by peyton manning)</v>
      </c>
      <c r="E1814" s="3" t="s">
        <v>442</v>
      </c>
      <c r="F1814" s="3" t="s">
        <v>1913</v>
      </c>
      <c r="G1814" s="3" t="s">
        <v>1914</v>
      </c>
    </row>
    <row r="1815" spans="1:7">
      <c r="A1815" s="6">
        <v>42928</v>
      </c>
      <c r="B1815" s="3" t="s">
        <v>13</v>
      </c>
      <c r="C1815" s="3" t="s">
        <v>21</v>
      </c>
      <c r="D1815" s="8" t="str">
        <f>HYPERLINK("http://npthd.inbcu.com/ViewContent.aspx?filename=NPMR_ABC_2017-07-12_E.MP4$6979$7101","COMMERCIAL")</f>
        <v>COMMERCIAL</v>
      </c>
      <c r="E1815" s="3" t="s">
        <v>252</v>
      </c>
      <c r="F1815" s="3" t="s">
        <v>1914</v>
      </c>
      <c r="G1815" s="3" t="s">
        <v>1915</v>
      </c>
    </row>
    <row r="1816" spans="1:7">
      <c r="A1816" s="6">
        <v>42928</v>
      </c>
      <c r="B1816" s="3" t="s">
        <v>13</v>
      </c>
      <c r="C1816" s="3" t="s">
        <v>1618</v>
      </c>
      <c r="D1816" s="8" t="str">
        <f>HYPERLINK("http://npthd.inbcu.com/ViewContent.aspx?filename=NPMR_ABC_2017-07-12_E.MP4$7101$7131","PSA")</f>
        <v>PSA</v>
      </c>
      <c r="E1816" s="3" t="s">
        <v>38</v>
      </c>
      <c r="F1816" s="3" t="s">
        <v>1915</v>
      </c>
      <c r="G1816" s="3" t="s">
        <v>1916</v>
      </c>
    </row>
    <row r="1817" spans="1:7">
      <c r="A1817" s="6">
        <v>42928</v>
      </c>
      <c r="B1817" s="3" t="s">
        <v>13</v>
      </c>
      <c r="C1817" s="3" t="s">
        <v>32</v>
      </c>
      <c r="D1817" s="8" t="str">
        <f>HYPERLINK("http://npthd.inbcu.com/ViewContent.aspx?filename=NPMR_ABC_2017-07-12_E.MP4$7131$7225","LOCAL")</f>
        <v>LOCAL</v>
      </c>
      <c r="E1817" s="3" t="s">
        <v>1917</v>
      </c>
      <c r="F1817" s="3" t="s">
        <v>1916</v>
      </c>
      <c r="G1817" s="3" t="s">
        <v>1918</v>
      </c>
    </row>
    <row r="1818" spans="1:7">
      <c r="A1818" s="6">
        <v>42928</v>
      </c>
      <c r="B1818" s="3" t="s">
        <v>13</v>
      </c>
      <c r="C1818" s="3" t="s">
        <v>18</v>
      </c>
      <c r="D1818" s="8" t="str">
        <f>HYPERLINK("http://npthd.inbcu.com/ViewContent.aspx?filename=NPMR_ABC_2017-07-12_E.MP4$7225$7816","ABC SPORTS SPECIALS: 2017 espy awards presented by capital one (host by peyton manning)")</f>
        <v>ABC SPORTS SPECIALS: 2017 espy awards presented by capital one (host by peyton manning)</v>
      </c>
      <c r="E1818" s="3" t="s">
        <v>1919</v>
      </c>
      <c r="F1818" s="3" t="s">
        <v>1918</v>
      </c>
      <c r="G1818" s="3" t="s">
        <v>1158</v>
      </c>
    </row>
    <row r="1819" spans="1:7">
      <c r="A1819" s="6">
        <v>42928</v>
      </c>
      <c r="B1819" s="3" t="s">
        <v>13</v>
      </c>
      <c r="C1819" s="3" t="s">
        <v>21</v>
      </c>
      <c r="D1819" s="8" t="str">
        <f>HYPERLINK("http://npthd.inbcu.com/ViewContent.aspx?filename=NPMR_ABC_2017-07-12_E.MP4$7816$7998","COMMERCIAL")</f>
        <v>COMMERCIAL</v>
      </c>
      <c r="E1819" s="3" t="s">
        <v>275</v>
      </c>
      <c r="F1819" s="3" t="s">
        <v>1158</v>
      </c>
      <c r="G1819" s="3" t="s">
        <v>1920</v>
      </c>
    </row>
    <row r="1820" spans="1:7">
      <c r="A1820" s="6">
        <v>42928</v>
      </c>
      <c r="B1820" s="3" t="s">
        <v>13</v>
      </c>
      <c r="C1820" s="3" t="s">
        <v>14</v>
      </c>
      <c r="D1820" s="8" t="str">
        <f>HYPERLINK("http://npthd.inbcu.com/ViewContent.aspx?filename=NPMR_ABC_2017-07-12_E.MP4$7998$8028","Mayor")</f>
        <v>Mayor</v>
      </c>
      <c r="E1820" s="3" t="s">
        <v>38</v>
      </c>
      <c r="F1820" s="3" t="s">
        <v>1920</v>
      </c>
      <c r="G1820" s="3" t="s">
        <v>1921</v>
      </c>
    </row>
    <row r="1821" spans="1:7">
      <c r="A1821" s="6">
        <v>42928</v>
      </c>
      <c r="B1821" s="3" t="s">
        <v>13</v>
      </c>
      <c r="C1821" s="3" t="s">
        <v>18</v>
      </c>
      <c r="D1821" s="8" t="str">
        <f>HYPERLINK("http://npthd.inbcu.com/ViewContent.aspx?filename=NPMR_ABC_2017-07-12_E.MP4$8028$8219","ABC SPORTS SPECIALS: 2017 espy awards presented by capital one (host by peyton manning)")</f>
        <v>ABC SPORTS SPECIALS: 2017 espy awards presented by capital one (host by peyton manning)</v>
      </c>
      <c r="E1821" s="3" t="s">
        <v>1039</v>
      </c>
      <c r="F1821" s="3" t="s">
        <v>1921</v>
      </c>
      <c r="G1821" s="3" t="s">
        <v>1922</v>
      </c>
    </row>
    <row r="1822" spans="1:7">
      <c r="A1822" s="6">
        <v>42928</v>
      </c>
      <c r="B1822" s="3" t="s">
        <v>13</v>
      </c>
      <c r="C1822" s="3" t="s">
        <v>21</v>
      </c>
      <c r="D1822" s="8" t="str">
        <f>HYPERLINK("http://npthd.inbcu.com/ViewContent.aspx?filename=NPMR_ABC_2017-07-12_E.MP4$8219$8340","COMMERCIAL")</f>
        <v>COMMERCIAL</v>
      </c>
      <c r="E1822" s="3" t="s">
        <v>175</v>
      </c>
      <c r="F1822" s="3" t="s">
        <v>1922</v>
      </c>
      <c r="G1822" s="3" t="s">
        <v>1923</v>
      </c>
    </row>
    <row r="1823" spans="1:7">
      <c r="A1823" s="6">
        <v>42928</v>
      </c>
      <c r="B1823" s="3" t="s">
        <v>13</v>
      </c>
      <c r="C1823" s="3" t="s">
        <v>1618</v>
      </c>
      <c r="D1823" s="8" t="str">
        <f>HYPERLINK("http://npthd.inbcu.com/ViewContent.aspx?filename=NPMR_ABC_2017-07-12_E.MP4$8340$8370","PSA")</f>
        <v>PSA</v>
      </c>
      <c r="E1823" s="3" t="s">
        <v>38</v>
      </c>
      <c r="F1823" s="3" t="s">
        <v>1923</v>
      </c>
      <c r="G1823" s="3" t="s">
        <v>1924</v>
      </c>
    </row>
    <row r="1824" spans="1:7">
      <c r="A1824" s="6">
        <v>42928</v>
      </c>
      <c r="B1824" s="3" t="s">
        <v>13</v>
      </c>
      <c r="C1824" s="3" t="s">
        <v>32</v>
      </c>
      <c r="D1824" s="8" t="str">
        <f>HYPERLINK("http://npthd.inbcu.com/ViewContent.aspx?filename=NPMR_ABC_2017-07-12_E.MP4$8370$8477","LOCAL")</f>
        <v>LOCAL</v>
      </c>
      <c r="E1824" s="3" t="s">
        <v>104</v>
      </c>
      <c r="F1824" s="3" t="s">
        <v>1924</v>
      </c>
      <c r="G1824" s="3" t="s">
        <v>1925</v>
      </c>
    </row>
    <row r="1825" spans="1:7">
      <c r="A1825" s="6">
        <v>42928</v>
      </c>
      <c r="B1825" s="3" t="s">
        <v>13</v>
      </c>
      <c r="C1825" s="3" t="s">
        <v>18</v>
      </c>
      <c r="D1825" s="8" t="str">
        <f>HYPERLINK("http://npthd.inbcu.com/ViewContent.aspx?filename=NPMR_ABC_2017-07-12_E.MP4$8477$9652","ABC SPORTS SPECIALS: 2017 espy awards presented by capital one (host by peyton manning)")</f>
        <v>ABC SPORTS SPECIALS: 2017 espy awards presented by capital one (host by peyton manning)</v>
      </c>
      <c r="E1825" s="3" t="s">
        <v>1926</v>
      </c>
      <c r="F1825" s="3" t="s">
        <v>1925</v>
      </c>
      <c r="G1825" s="3" t="s">
        <v>1927</v>
      </c>
    </row>
    <row r="1826" spans="1:7">
      <c r="A1826" s="6">
        <v>42928</v>
      </c>
      <c r="B1826" s="3" t="s">
        <v>13</v>
      </c>
      <c r="C1826" s="3" t="s">
        <v>21</v>
      </c>
      <c r="D1826" s="8" t="str">
        <f>HYPERLINK("http://npthd.inbcu.com/ViewContent.aspx?filename=NPMR_ABC_2017-07-12_E.MP4$9652$9832","COMMERCIAL")</f>
        <v>COMMERCIAL</v>
      </c>
      <c r="E1826" s="3" t="s">
        <v>22</v>
      </c>
      <c r="F1826" s="3" t="s">
        <v>1927</v>
      </c>
      <c r="G1826" s="3" t="s">
        <v>1928</v>
      </c>
    </row>
    <row r="1827" spans="1:7">
      <c r="A1827" s="6">
        <v>42928</v>
      </c>
      <c r="B1827" s="3" t="s">
        <v>13</v>
      </c>
      <c r="C1827" s="3" t="s">
        <v>14</v>
      </c>
      <c r="D1827" s="8" t="str">
        <f>HYPERLINK("http://npthd.inbcu.com/ViewContent.aspx?filename=NPMR_ABC_2017-07-12_E.MP4$9832$9892","Good Doctor, The")</f>
        <v>Good Doctor, The</v>
      </c>
      <c r="E1827" s="3" t="s">
        <v>66</v>
      </c>
      <c r="F1827" s="3" t="s">
        <v>1928</v>
      </c>
      <c r="G1827" s="3" t="s">
        <v>1929</v>
      </c>
    </row>
    <row r="1828" spans="1:7">
      <c r="A1828" s="6">
        <v>42928</v>
      </c>
      <c r="B1828" s="3" t="s">
        <v>13</v>
      </c>
      <c r="C1828" s="3" t="s">
        <v>18</v>
      </c>
      <c r="D1828" s="8" t="str">
        <f>HYPERLINK("http://npthd.inbcu.com/ViewContent.aspx?filename=NPMR_ABC_2017-07-12_E.MP4$9892$10027","ABC SPORTS SPECIALS: 2017 espy awards presented by capital one (host by peyton manning)")</f>
        <v>ABC SPORTS SPECIALS: 2017 espy awards presented by capital one (host by peyton manning)</v>
      </c>
      <c r="E1828" s="3" t="s">
        <v>459</v>
      </c>
      <c r="F1828" s="3" t="s">
        <v>1929</v>
      </c>
      <c r="G1828" s="3" t="s">
        <v>1253</v>
      </c>
    </row>
    <row r="1829" spans="1:7">
      <c r="A1829" s="6">
        <v>42928</v>
      </c>
      <c r="B1829" s="3" t="s">
        <v>13</v>
      </c>
      <c r="C1829" s="3" t="s">
        <v>21</v>
      </c>
      <c r="D1829" s="8" t="str">
        <f>HYPERLINK("http://npthd.inbcu.com/ViewContent.aspx?filename=NPMR_ABC_2017-07-12_E.MP4$10027$10147","COMMERCIAL")</f>
        <v>COMMERCIAL</v>
      </c>
      <c r="E1829" s="3" t="s">
        <v>43</v>
      </c>
      <c r="F1829" s="3" t="s">
        <v>1253</v>
      </c>
      <c r="G1829" s="3" t="s">
        <v>1930</v>
      </c>
    </row>
    <row r="1830" spans="1:7">
      <c r="A1830" s="6">
        <v>42928</v>
      </c>
      <c r="B1830" s="3" t="s">
        <v>13</v>
      </c>
      <c r="C1830" s="3" t="s">
        <v>14</v>
      </c>
      <c r="D1830" s="8" t="str">
        <f>HYPERLINK("http://npthd.inbcu.com/ViewContent.aspx?filename=NPMR_ABC_2017-07-12_E.MP4$10147$10162","Inhumans")</f>
        <v>Inhumans</v>
      </c>
      <c r="E1830" s="3" t="s">
        <v>30</v>
      </c>
      <c r="F1830" s="3" t="s">
        <v>1930</v>
      </c>
      <c r="G1830" s="3" t="s">
        <v>1931</v>
      </c>
    </row>
    <row r="1831" spans="1:7">
      <c r="A1831" s="6">
        <v>42928</v>
      </c>
      <c r="B1831" s="3" t="s">
        <v>13</v>
      </c>
      <c r="C1831" s="3" t="s">
        <v>32</v>
      </c>
      <c r="D1831" s="8" t="str">
        <f>HYPERLINK("http://npthd.inbcu.com/ViewContent.aspx?filename=NPMR_ABC_2017-07-12_E.MP4$10162$10253","LOCAL")</f>
        <v>LOCAL</v>
      </c>
      <c r="E1831" s="3" t="s">
        <v>77</v>
      </c>
      <c r="F1831" s="3" t="s">
        <v>1931</v>
      </c>
      <c r="G1831" s="3" t="s">
        <v>1932</v>
      </c>
    </row>
    <row r="1832" spans="1:7">
      <c r="A1832" s="6">
        <v>42928</v>
      </c>
      <c r="B1832" s="3" t="s">
        <v>13</v>
      </c>
      <c r="C1832" s="3" t="s">
        <v>18</v>
      </c>
      <c r="D1832" s="8" t="str">
        <f>HYPERLINK("http://npthd.inbcu.com/ViewContent.aspx?filename=NPMR_ABC_2017-07-12_E.MP4$10253$10440","ABC SPORTS SPECIALS: 2017 espy awards presented by capital one (host by peyton manning)")</f>
        <v>ABC SPORTS SPECIALS: 2017 espy awards presented by capital one (host by peyton manning)</v>
      </c>
      <c r="E1832" s="3" t="s">
        <v>1933</v>
      </c>
      <c r="F1832" s="3" t="s">
        <v>1932</v>
      </c>
      <c r="G1832" s="3" t="s">
        <v>693</v>
      </c>
    </row>
    <row r="1833" spans="1:7">
      <c r="A1833" s="6">
        <v>42928</v>
      </c>
      <c r="B1833" s="3" t="s">
        <v>13</v>
      </c>
      <c r="C1833" s="3" t="s">
        <v>32</v>
      </c>
      <c r="D1833" s="8" t="str">
        <f>HYPERLINK("http://npthd.inbcu.com/ViewContent.aspx?filename=NPMR_ABC_2017-07-12_E.MP4$10440$10455","LOCAL")</f>
        <v>LOCAL</v>
      </c>
      <c r="E1833" s="3" t="s">
        <v>30</v>
      </c>
      <c r="F1833" s="3" t="s">
        <v>693</v>
      </c>
      <c r="G1833" s="3" t="s">
        <v>1934</v>
      </c>
    </row>
    <row r="1834" spans="1:7">
      <c r="A1834" s="6">
        <v>42928</v>
      </c>
      <c r="B1834" s="3" t="s">
        <v>13</v>
      </c>
      <c r="C1834" s="3" t="s">
        <v>21</v>
      </c>
      <c r="D1834" s="8" t="str">
        <f>HYPERLINK("http://npthd.inbcu.com/ViewContent.aspx?filename=NPMR_ABC_2017-07-12_E.MP4$10455$10683","COMMERCIAL")</f>
        <v>COMMERCIAL</v>
      </c>
      <c r="E1834" s="3" t="s">
        <v>1935</v>
      </c>
      <c r="F1834" s="3" t="s">
        <v>1934</v>
      </c>
      <c r="G1834" s="3" t="s">
        <v>1936</v>
      </c>
    </row>
    <row r="1835" spans="1:7">
      <c r="A1835" s="6">
        <v>42928</v>
      </c>
      <c r="B1835" s="3" t="s">
        <v>13</v>
      </c>
      <c r="C1835" s="3" t="s">
        <v>14</v>
      </c>
      <c r="D1835" s="8" t="str">
        <f>HYPERLINK("http://npthd.inbcu.com/ViewContent.aspx?filename=NPMR_ABC_2017-07-12_E.MP4$10683$10698","Jimmy Kimmel Live!")</f>
        <v>Jimmy Kimmel Live!</v>
      </c>
      <c r="E1835" s="3" t="s">
        <v>30</v>
      </c>
      <c r="F1835" s="3" t="s">
        <v>1936</v>
      </c>
      <c r="G1835" s="3" t="s">
        <v>1937</v>
      </c>
    </row>
    <row r="1836" spans="1:7">
      <c r="A1836" s="6">
        <v>42928</v>
      </c>
      <c r="B1836" s="3" t="s">
        <v>13</v>
      </c>
      <c r="C1836" s="3" t="s">
        <v>18</v>
      </c>
      <c r="D1836" s="8" t="str">
        <f>HYPERLINK("http://npthd.inbcu.com/ViewContent.aspx?filename=NPMR_ABC_2017-07-12_E.MP4$10698$10919","ABC SPORTS SPECIALS: 2017 espy awards presented by capital one (host by peyton manning)")</f>
        <v>ABC SPORTS SPECIALS: 2017 espy awards presented by capital one (host by peyton manning)</v>
      </c>
      <c r="E1836" s="3" t="s">
        <v>1938</v>
      </c>
      <c r="F1836" s="3" t="s">
        <v>1937</v>
      </c>
      <c r="G1836" s="3" t="s">
        <v>1939</v>
      </c>
    </row>
    <row r="1837" spans="1:7">
      <c r="A1837" s="6">
        <v>42928</v>
      </c>
      <c r="B1837" s="3" t="s">
        <v>13</v>
      </c>
      <c r="C1837" s="3" t="s">
        <v>32</v>
      </c>
      <c r="D1837" s="8" t="str">
        <f>HYPERLINK("http://npthd.inbcu.com/ViewContent.aspx?filename=NPMR_ABC_2017-07-12_E.MP4$10919$10930","LOCAL")</f>
        <v>LOCAL</v>
      </c>
      <c r="E1837" s="3" t="s">
        <v>1940</v>
      </c>
      <c r="F1837" s="3" t="s">
        <v>1939</v>
      </c>
      <c r="G1837" s="3" t="s">
        <v>124</v>
      </c>
    </row>
    <row r="1838" spans="1:7">
      <c r="A1838" s="6">
        <v>42929</v>
      </c>
      <c r="B1838" s="3" t="s">
        <v>13</v>
      </c>
      <c r="C1838" s="3" t="s">
        <v>14</v>
      </c>
      <c r="D1838" s="8" t="str">
        <f>HYPERLINK("http://npthd.inbcu.com/ViewContent.aspx?filename=NPMR_ABC_2017-07-13_W.MP4$126$131","ABC Open")</f>
        <v>ABC Open</v>
      </c>
      <c r="E1838" s="3" t="s">
        <v>54</v>
      </c>
      <c r="F1838" s="3" t="s">
        <v>16</v>
      </c>
      <c r="G1838" s="3" t="s">
        <v>125</v>
      </c>
    </row>
    <row r="1839" spans="1:7">
      <c r="A1839" s="6">
        <v>42929</v>
      </c>
      <c r="B1839" s="3" t="s">
        <v>13</v>
      </c>
      <c r="C1839" s="3" t="s">
        <v>18</v>
      </c>
      <c r="D1839" s="8" t="str">
        <f>HYPERLINK("http://npthd.inbcu.com/ViewContent.aspx?filename=NPMR_ABC_2017-07-13_W.MP4$131$877","BOY BAND: live live live!")</f>
        <v>BOY BAND: live live live!</v>
      </c>
      <c r="E1839" s="3" t="s">
        <v>401</v>
      </c>
      <c r="F1839" s="3" t="s">
        <v>125</v>
      </c>
      <c r="G1839" s="3" t="s">
        <v>1941</v>
      </c>
    </row>
    <row r="1840" spans="1:7">
      <c r="A1840" s="6">
        <v>42929</v>
      </c>
      <c r="B1840" s="3" t="s">
        <v>13</v>
      </c>
      <c r="C1840" s="3" t="s">
        <v>21</v>
      </c>
      <c r="D1840" s="8" t="str">
        <f>HYPERLINK("http://npthd.inbcu.com/ViewContent.aspx?filename=NPMR_ABC_2017-07-13_W.MP4$877$1027","COMMERCIAL")</f>
        <v>COMMERCIAL</v>
      </c>
      <c r="E1840" s="3" t="s">
        <v>28</v>
      </c>
      <c r="F1840" s="3" t="s">
        <v>1941</v>
      </c>
      <c r="G1840" s="3" t="s">
        <v>1942</v>
      </c>
    </row>
    <row r="1841" spans="1:7">
      <c r="A1841" s="6">
        <v>42929</v>
      </c>
      <c r="B1841" s="3" t="s">
        <v>13</v>
      </c>
      <c r="C1841" s="3" t="s">
        <v>14</v>
      </c>
      <c r="D1841" s="8" t="str">
        <f>HYPERLINK("http://npthd.inbcu.com/ViewContent.aspx?filename=NPMR_ABC_2017-07-13_W.MP4$1027$1042","Celebrity Family Feud")</f>
        <v>Celebrity Family Feud</v>
      </c>
      <c r="E1841" s="3" t="s">
        <v>30</v>
      </c>
      <c r="F1841" s="3" t="s">
        <v>1942</v>
      </c>
      <c r="G1841" s="3" t="s">
        <v>1943</v>
      </c>
    </row>
    <row r="1842" spans="1:7">
      <c r="A1842" s="6">
        <v>42929</v>
      </c>
      <c r="B1842" s="3" t="s">
        <v>13</v>
      </c>
      <c r="C1842" s="3" t="s">
        <v>14</v>
      </c>
      <c r="D1842" s="8" t="str">
        <f>HYPERLINK("http://npthd.inbcu.com/ViewContent.aspx?filename=NPMR_ABC_2017-07-13_W.MP4$1042$1057","Bachelorette")</f>
        <v>Bachelorette</v>
      </c>
      <c r="E1842" s="3" t="s">
        <v>30</v>
      </c>
      <c r="F1842" s="3" t="s">
        <v>1943</v>
      </c>
      <c r="G1842" s="3" t="s">
        <v>1944</v>
      </c>
    </row>
    <row r="1843" spans="1:7">
      <c r="A1843" s="6">
        <v>42929</v>
      </c>
      <c r="B1843" s="3" t="s">
        <v>13</v>
      </c>
      <c r="C1843" s="3" t="s">
        <v>18</v>
      </c>
      <c r="D1843" s="8" t="str">
        <f>HYPERLINK("http://npthd.inbcu.com/ViewContent.aspx?filename=NPMR_ABC_2017-07-13_W.MP4$1057$1570","BOY BAND: live live live!")</f>
        <v>BOY BAND: live live live!</v>
      </c>
      <c r="E1843" s="3" t="s">
        <v>1488</v>
      </c>
      <c r="F1843" s="3" t="s">
        <v>1944</v>
      </c>
      <c r="G1843" s="3" t="s">
        <v>1945</v>
      </c>
    </row>
    <row r="1844" spans="1:7">
      <c r="A1844" s="6">
        <v>42929</v>
      </c>
      <c r="B1844" s="3" t="s">
        <v>13</v>
      </c>
      <c r="C1844" s="3" t="s">
        <v>21</v>
      </c>
      <c r="D1844" s="8" t="str">
        <f>HYPERLINK("http://npthd.inbcu.com/ViewContent.aspx?filename=NPMR_ABC_2017-07-13_W.MP4$1570$1721","COMMERCIAL")</f>
        <v>COMMERCIAL</v>
      </c>
      <c r="E1844" s="3" t="s">
        <v>91</v>
      </c>
      <c r="F1844" s="3" t="s">
        <v>1945</v>
      </c>
      <c r="G1844" s="3" t="s">
        <v>349</v>
      </c>
    </row>
    <row r="1845" spans="1:7">
      <c r="A1845" s="6">
        <v>42929</v>
      </c>
      <c r="B1845" s="3" t="s">
        <v>13</v>
      </c>
      <c r="C1845" s="3" t="s">
        <v>14</v>
      </c>
      <c r="D1845" s="8" t="str">
        <f>HYPERLINK("http://npthd.inbcu.com/ViewContent.aspx?filename=NPMR_ABC_2017-07-13_W.MP4$1721$1736","Good Morning America")</f>
        <v>Good Morning America</v>
      </c>
      <c r="E1845" s="3" t="s">
        <v>30</v>
      </c>
      <c r="F1845" s="3" t="s">
        <v>349</v>
      </c>
      <c r="G1845" s="3" t="s">
        <v>1946</v>
      </c>
    </row>
    <row r="1846" spans="1:7">
      <c r="A1846" s="6">
        <v>42929</v>
      </c>
      <c r="B1846" s="3" t="s">
        <v>13</v>
      </c>
      <c r="C1846" s="3" t="s">
        <v>32</v>
      </c>
      <c r="D1846" s="8" t="str">
        <f>HYPERLINK("http://npthd.inbcu.com/ViewContent.aspx?filename=NPMR_ABC_2017-07-13_W.MP4$1736$1798","LOCAL")</f>
        <v>LOCAL</v>
      </c>
      <c r="E1846" s="3" t="s">
        <v>257</v>
      </c>
      <c r="F1846" s="3" t="s">
        <v>1946</v>
      </c>
      <c r="G1846" s="3" t="s">
        <v>1947</v>
      </c>
    </row>
    <row r="1847" spans="1:7">
      <c r="A1847" s="6">
        <v>42929</v>
      </c>
      <c r="B1847" s="3" t="s">
        <v>13</v>
      </c>
      <c r="C1847" s="3" t="s">
        <v>18</v>
      </c>
      <c r="D1847" s="8" t="str">
        <f>HYPERLINK("http://npthd.inbcu.com/ViewContent.aspx?filename=NPMR_ABC_2017-07-13_W.MP4$1798$2225","BOY BAND: live live live!")</f>
        <v>BOY BAND: live live live!</v>
      </c>
      <c r="E1847" s="3" t="s">
        <v>1709</v>
      </c>
      <c r="F1847" s="3" t="s">
        <v>1947</v>
      </c>
      <c r="G1847" s="3" t="s">
        <v>1948</v>
      </c>
    </row>
    <row r="1848" spans="1:7">
      <c r="A1848" s="6">
        <v>42929</v>
      </c>
      <c r="B1848" s="3" t="s">
        <v>13</v>
      </c>
      <c r="C1848" s="3" t="s">
        <v>21</v>
      </c>
      <c r="D1848" s="8" t="str">
        <f>HYPERLINK("http://npthd.inbcu.com/ViewContent.aspx?filename=NPMR_ABC_2017-07-13_W.MP4$2225$2406","COMMERCIAL")</f>
        <v>COMMERCIAL</v>
      </c>
      <c r="E1848" s="3" t="s">
        <v>108</v>
      </c>
      <c r="F1848" s="3" t="s">
        <v>1948</v>
      </c>
      <c r="G1848" s="3" t="s">
        <v>1949</v>
      </c>
    </row>
    <row r="1849" spans="1:7">
      <c r="A1849" s="6">
        <v>42929</v>
      </c>
      <c r="B1849" s="3" t="s">
        <v>13</v>
      </c>
      <c r="C1849" s="3" t="s">
        <v>14</v>
      </c>
      <c r="D1849" s="8" t="str">
        <f>HYPERLINK("http://npthd.inbcu.com/ViewContent.aspx?filename=NPMR_ABC_2017-07-13_W.MP4$2406$2436","Somewhere Between")</f>
        <v>Somewhere Between</v>
      </c>
      <c r="E1849" s="3" t="s">
        <v>38</v>
      </c>
      <c r="F1849" s="3" t="s">
        <v>1949</v>
      </c>
      <c r="G1849" s="3" t="s">
        <v>1950</v>
      </c>
    </row>
    <row r="1850" spans="1:7">
      <c r="A1850" s="6">
        <v>42929</v>
      </c>
      <c r="B1850" s="3" t="s">
        <v>13</v>
      </c>
      <c r="C1850" s="3" t="s">
        <v>18</v>
      </c>
      <c r="D1850" s="8" t="str">
        <f>HYPERLINK("http://npthd.inbcu.com/ViewContent.aspx?filename=NPMR_ABC_2017-07-13_W.MP4$2436$2813","BOY BAND: live live live!")</f>
        <v>BOY BAND: live live live!</v>
      </c>
      <c r="E1850" s="3" t="s">
        <v>309</v>
      </c>
      <c r="F1850" s="3" t="s">
        <v>1950</v>
      </c>
      <c r="G1850" s="3" t="s">
        <v>1951</v>
      </c>
    </row>
    <row r="1851" spans="1:7">
      <c r="A1851" s="6">
        <v>42929</v>
      </c>
      <c r="B1851" s="3" t="s">
        <v>13</v>
      </c>
      <c r="C1851" s="3" t="s">
        <v>21</v>
      </c>
      <c r="D1851" s="8" t="str">
        <f>HYPERLINK("http://npthd.inbcu.com/ViewContent.aspx?filename=NPMR_ABC_2017-07-13_W.MP4$2813$2934","COMMERCIAL")</f>
        <v>COMMERCIAL</v>
      </c>
      <c r="E1851" s="3" t="s">
        <v>175</v>
      </c>
      <c r="F1851" s="3" t="s">
        <v>1951</v>
      </c>
      <c r="G1851" s="3" t="s">
        <v>1952</v>
      </c>
    </row>
    <row r="1852" spans="1:7">
      <c r="A1852" s="6">
        <v>42929</v>
      </c>
      <c r="B1852" s="3" t="s">
        <v>13</v>
      </c>
      <c r="C1852" s="3" t="s">
        <v>14</v>
      </c>
      <c r="D1852" s="8" t="str">
        <f>HYPERLINK("http://npthd.inbcu.com/ViewContent.aspx?filename=NPMR_ABC_2017-07-13_W.MP4$2934$2949","Jimmy Kimmel Live!")</f>
        <v>Jimmy Kimmel Live!</v>
      </c>
      <c r="E1852" s="3" t="s">
        <v>30</v>
      </c>
      <c r="F1852" s="3" t="s">
        <v>1952</v>
      </c>
      <c r="G1852" s="3" t="s">
        <v>1953</v>
      </c>
    </row>
    <row r="1853" spans="1:7">
      <c r="A1853" s="6">
        <v>42929</v>
      </c>
      <c r="B1853" s="3" t="s">
        <v>13</v>
      </c>
      <c r="C1853" s="3" t="s">
        <v>14</v>
      </c>
      <c r="D1853" s="8" t="str">
        <f>HYPERLINK("http://npthd.inbcu.com/ViewContent.aspx?filename=NPMR_ABC_2017-07-13_W.MP4$2949$2964","Gong Show, The")</f>
        <v>Gong Show, The</v>
      </c>
      <c r="E1853" s="3" t="s">
        <v>30</v>
      </c>
      <c r="F1853" s="3" t="s">
        <v>1953</v>
      </c>
      <c r="G1853" s="3" t="s">
        <v>1954</v>
      </c>
    </row>
    <row r="1854" spans="1:7">
      <c r="A1854" s="6">
        <v>42929</v>
      </c>
      <c r="B1854" s="3" t="s">
        <v>13</v>
      </c>
      <c r="C1854" s="3" t="s">
        <v>32</v>
      </c>
      <c r="D1854" s="8" t="str">
        <f>HYPERLINK("http://npthd.inbcu.com/ViewContent.aspx?filename=NPMR_ABC_2017-07-13_W.MP4$2964$3057","LOCAL")</f>
        <v>LOCAL</v>
      </c>
      <c r="E1854" s="3" t="s">
        <v>955</v>
      </c>
      <c r="F1854" s="3" t="s">
        <v>1954</v>
      </c>
      <c r="G1854" s="3" t="s">
        <v>1955</v>
      </c>
    </row>
    <row r="1855" spans="1:7">
      <c r="A1855" s="6">
        <v>42929</v>
      </c>
      <c r="B1855" s="3" t="s">
        <v>13</v>
      </c>
      <c r="C1855" s="3" t="s">
        <v>18</v>
      </c>
      <c r="D1855" s="8" t="str">
        <f>HYPERLINK("http://npthd.inbcu.com/ViewContent.aspx?filename=NPMR_ABC_2017-07-13_W.MP4$3057$3537","BOY BAND: live live live!")</f>
        <v>BOY BAND: live live live!</v>
      </c>
      <c r="E1855" s="3" t="s">
        <v>484</v>
      </c>
      <c r="F1855" s="3" t="s">
        <v>1955</v>
      </c>
      <c r="G1855" s="3" t="s">
        <v>1956</v>
      </c>
    </row>
    <row r="1856" spans="1:7">
      <c r="A1856" s="6">
        <v>42929</v>
      </c>
      <c r="B1856" s="3" t="s">
        <v>13</v>
      </c>
      <c r="C1856" s="3" t="s">
        <v>14</v>
      </c>
      <c r="D1856" s="8" t="str">
        <f>HYPERLINK("http://npthd.inbcu.com/ViewContent.aspx?filename=NPMR_ABC_2017-07-13_W.MP4$3537$3567","Battle of the Network Stars")</f>
        <v>Battle of the Network Stars</v>
      </c>
      <c r="E1856" s="3" t="s">
        <v>38</v>
      </c>
      <c r="F1856" s="3" t="s">
        <v>1956</v>
      </c>
      <c r="G1856" s="3" t="s">
        <v>153</v>
      </c>
    </row>
    <row r="1857" spans="1:7">
      <c r="A1857" s="6">
        <v>42929</v>
      </c>
      <c r="B1857" s="3" t="s">
        <v>13</v>
      </c>
      <c r="C1857" s="3" t="s">
        <v>14</v>
      </c>
      <c r="D1857" s="8" t="str">
        <f>HYPERLINK("http://npthd.inbcu.com/ViewContent.aspx?filename=NPMR_ABC_2017-07-13_W.MP4$3567$3582","Celebrity Family Feud")</f>
        <v>Celebrity Family Feud</v>
      </c>
      <c r="E1857" s="3" t="s">
        <v>30</v>
      </c>
      <c r="F1857" s="3" t="s">
        <v>153</v>
      </c>
      <c r="G1857" s="3" t="s">
        <v>1957</v>
      </c>
    </row>
    <row r="1858" spans="1:7">
      <c r="A1858" s="6">
        <v>42929</v>
      </c>
      <c r="B1858" s="3" t="s">
        <v>13</v>
      </c>
      <c r="C1858" s="3" t="s">
        <v>32</v>
      </c>
      <c r="D1858" s="8" t="str">
        <f>HYPERLINK("http://npthd.inbcu.com/ViewContent.aspx?filename=NPMR_ABC_2017-07-13_W.MP4$3582$3587","LOCAL")</f>
        <v>LOCAL</v>
      </c>
      <c r="E1858" s="3" t="s">
        <v>54</v>
      </c>
      <c r="F1858" s="3" t="s">
        <v>1957</v>
      </c>
      <c r="G1858" s="3" t="s">
        <v>1423</v>
      </c>
    </row>
    <row r="1859" spans="1:7">
      <c r="A1859" s="6">
        <v>42929</v>
      </c>
      <c r="B1859" s="3" t="s">
        <v>13</v>
      </c>
      <c r="C1859" s="3" t="s">
        <v>18</v>
      </c>
      <c r="D1859" s="8" t="str">
        <f>HYPERLINK("http://npthd.inbcu.com/ViewContent.aspx?filename=NPMR_ABC_2017-07-13_W.MP4$3587$3726","BOY BAND: live live live!")</f>
        <v>BOY BAND: live live live!</v>
      </c>
      <c r="E1859" s="3" t="s">
        <v>1958</v>
      </c>
      <c r="F1859" s="3" t="s">
        <v>1423</v>
      </c>
      <c r="G1859" s="3" t="s">
        <v>242</v>
      </c>
    </row>
    <row r="1860" spans="1:7">
      <c r="A1860" s="6">
        <v>42929</v>
      </c>
      <c r="B1860" s="3" t="s">
        <v>13</v>
      </c>
      <c r="C1860" s="3" t="s">
        <v>18</v>
      </c>
      <c r="D1860" s="8" t="str">
        <f>HYPERLINK("http://npthd.inbcu.com/ViewContent.aspx?filename=NPMR_ABC_2017-07-13_W.MP4$3726$4491","BATTLE OF THE NETWORK STARS: white house vs lawyers")</f>
        <v>BATTLE OF THE NETWORK STARS: white house vs lawyers</v>
      </c>
      <c r="E1860" s="3" t="s">
        <v>1959</v>
      </c>
      <c r="F1860" s="3" t="s">
        <v>242</v>
      </c>
      <c r="G1860" s="3" t="s">
        <v>1960</v>
      </c>
    </row>
    <row r="1861" spans="1:7">
      <c r="A1861" s="6">
        <v>42929</v>
      </c>
      <c r="B1861" s="3" t="s">
        <v>13</v>
      </c>
      <c r="C1861" s="3" t="s">
        <v>21</v>
      </c>
      <c r="D1861" s="8" t="str">
        <f>HYPERLINK("http://npthd.inbcu.com/ViewContent.aspx?filename=NPMR_ABC_2017-07-13_W.MP4$4491$4656","COMMERCIAL")</f>
        <v>COMMERCIAL</v>
      </c>
      <c r="E1861" s="3" t="s">
        <v>428</v>
      </c>
      <c r="F1861" s="3" t="s">
        <v>1960</v>
      </c>
      <c r="G1861" s="3" t="s">
        <v>1900</v>
      </c>
    </row>
    <row r="1862" spans="1:7">
      <c r="A1862" s="6">
        <v>42929</v>
      </c>
      <c r="B1862" s="3" t="s">
        <v>13</v>
      </c>
      <c r="C1862" s="3" t="s">
        <v>14</v>
      </c>
      <c r="D1862" s="8" t="str">
        <f>HYPERLINK("http://npthd.inbcu.com/ViewContent.aspx?filename=NPMR_ABC_2017-07-13_W.MP4$4656$4686","20/20")</f>
        <v>20/20</v>
      </c>
      <c r="E1862" s="3" t="s">
        <v>38</v>
      </c>
      <c r="F1862" s="3" t="s">
        <v>1900</v>
      </c>
      <c r="G1862" s="3" t="s">
        <v>1961</v>
      </c>
    </row>
    <row r="1863" spans="1:7">
      <c r="A1863" s="6">
        <v>42929</v>
      </c>
      <c r="B1863" s="3" t="s">
        <v>13</v>
      </c>
      <c r="C1863" s="3" t="s">
        <v>14</v>
      </c>
      <c r="D1863" s="8" t="str">
        <f>HYPERLINK("http://npthd.inbcu.com/ViewContent.aspx?filename=NPMR_ABC_2017-07-13_W.MP4$4686$4701","Celebrity Family Feud")</f>
        <v>Celebrity Family Feud</v>
      </c>
      <c r="E1863" s="3" t="s">
        <v>30</v>
      </c>
      <c r="F1863" s="3" t="s">
        <v>1961</v>
      </c>
      <c r="G1863" s="3" t="s">
        <v>1962</v>
      </c>
    </row>
    <row r="1864" spans="1:7">
      <c r="A1864" s="6">
        <v>42929</v>
      </c>
      <c r="B1864" s="3" t="s">
        <v>13</v>
      </c>
      <c r="C1864" s="3" t="s">
        <v>18</v>
      </c>
      <c r="D1864" s="8" t="str">
        <f>HYPERLINK("http://npthd.inbcu.com/ViewContent.aspx?filename=NPMR_ABC_2017-07-13_W.MP4$4701$5182","BATTLE OF THE NETWORK STARS: white house vs lawyers")</f>
        <v>BATTLE OF THE NETWORK STARS: white house vs lawyers</v>
      </c>
      <c r="E1864" s="3" t="s">
        <v>1963</v>
      </c>
      <c r="F1864" s="3" t="s">
        <v>1962</v>
      </c>
      <c r="G1864" s="3" t="s">
        <v>164</v>
      </c>
    </row>
    <row r="1865" spans="1:7">
      <c r="A1865" s="6">
        <v>42929</v>
      </c>
      <c r="B1865" s="3" t="s">
        <v>13</v>
      </c>
      <c r="C1865" s="3" t="s">
        <v>21</v>
      </c>
      <c r="D1865" s="8" t="str">
        <f>HYPERLINK("http://npthd.inbcu.com/ViewContent.aspx?filename=NPMR_ABC_2017-07-13_W.MP4$5182$5332","COMMERCIAL")</f>
        <v>COMMERCIAL</v>
      </c>
      <c r="E1865" s="3" t="s">
        <v>28</v>
      </c>
      <c r="F1865" s="3" t="s">
        <v>164</v>
      </c>
      <c r="G1865" s="3" t="s">
        <v>1964</v>
      </c>
    </row>
    <row r="1866" spans="1:7">
      <c r="A1866" s="6">
        <v>42929</v>
      </c>
      <c r="B1866" s="3" t="s">
        <v>13</v>
      </c>
      <c r="C1866" s="3" t="s">
        <v>14</v>
      </c>
      <c r="D1866" s="8" t="str">
        <f>HYPERLINK("http://npthd.inbcu.com/ViewContent.aspx?filename=NPMR_ABC_2017-07-13_W.MP4$5332$5347","Bachelorette")</f>
        <v>Bachelorette</v>
      </c>
      <c r="E1866" s="3" t="s">
        <v>30</v>
      </c>
      <c r="F1866" s="3" t="s">
        <v>1964</v>
      </c>
      <c r="G1866" s="3" t="s">
        <v>1965</v>
      </c>
    </row>
    <row r="1867" spans="1:7">
      <c r="A1867" s="6">
        <v>42929</v>
      </c>
      <c r="B1867" s="3" t="s">
        <v>13</v>
      </c>
      <c r="C1867" s="3" t="s">
        <v>32</v>
      </c>
      <c r="D1867" s="8" t="str">
        <f>HYPERLINK("http://npthd.inbcu.com/ViewContent.aspx?filename=NPMR_ABC_2017-07-13_W.MP4$5347$5408","LOCAL")</f>
        <v>LOCAL</v>
      </c>
      <c r="E1867" s="3" t="s">
        <v>33</v>
      </c>
      <c r="F1867" s="3" t="s">
        <v>1965</v>
      </c>
      <c r="G1867" s="3" t="s">
        <v>1966</v>
      </c>
    </row>
    <row r="1868" spans="1:7">
      <c r="A1868" s="6">
        <v>42929</v>
      </c>
      <c r="B1868" s="3" t="s">
        <v>13</v>
      </c>
      <c r="C1868" s="3" t="s">
        <v>18</v>
      </c>
      <c r="D1868" s="8" t="str">
        <f>HYPERLINK("http://npthd.inbcu.com/ViewContent.aspx?filename=NPMR_ABC_2017-07-13_W.MP4$5408$5779","BATTLE OF THE NETWORK STARS: white house vs lawyers")</f>
        <v>BATTLE OF THE NETWORK STARS: white house vs lawyers</v>
      </c>
      <c r="E1868" s="3" t="s">
        <v>1967</v>
      </c>
      <c r="F1868" s="3" t="s">
        <v>1966</v>
      </c>
      <c r="G1868" s="3" t="s">
        <v>1968</v>
      </c>
    </row>
    <row r="1869" spans="1:7">
      <c r="A1869" s="6">
        <v>42929</v>
      </c>
      <c r="B1869" s="3" t="s">
        <v>13</v>
      </c>
      <c r="C1869" s="3" t="s">
        <v>21</v>
      </c>
      <c r="D1869" s="8" t="str">
        <f>HYPERLINK("http://npthd.inbcu.com/ViewContent.aspx?filename=NPMR_ABC_2017-07-13_W.MP4$5779$5944","COMMERCIAL")</f>
        <v>COMMERCIAL</v>
      </c>
      <c r="E1869" s="3" t="s">
        <v>428</v>
      </c>
      <c r="F1869" s="3" t="s">
        <v>1968</v>
      </c>
      <c r="G1869" s="3" t="s">
        <v>1793</v>
      </c>
    </row>
    <row r="1870" spans="1:7">
      <c r="A1870" s="6">
        <v>42929</v>
      </c>
      <c r="B1870" s="3" t="s">
        <v>13</v>
      </c>
      <c r="C1870" s="3" t="s">
        <v>14</v>
      </c>
      <c r="D1870" s="8" t="str">
        <f>HYPERLINK("http://npthd.inbcu.com/ViewContent.aspx?filename=NPMR_ABC_2017-07-13_W.MP4$5944$6004","Good Doctor, The")</f>
        <v>Good Doctor, The</v>
      </c>
      <c r="E1870" s="3" t="s">
        <v>66</v>
      </c>
      <c r="F1870" s="3" t="s">
        <v>1793</v>
      </c>
      <c r="G1870" s="3" t="s">
        <v>1969</v>
      </c>
    </row>
    <row r="1871" spans="1:7">
      <c r="A1871" s="6">
        <v>42929</v>
      </c>
      <c r="B1871" s="3" t="s">
        <v>13</v>
      </c>
      <c r="C1871" s="3" t="s">
        <v>18</v>
      </c>
      <c r="D1871" s="8" t="str">
        <f>HYPERLINK("http://npthd.inbcu.com/ViewContent.aspx?filename=NPMR_ABC_2017-07-13_W.MP4$6004$6357","BATTLE OF THE NETWORK STARS: white house vs lawyers")</f>
        <v>BATTLE OF THE NETWORK STARS: white house vs lawyers</v>
      </c>
      <c r="E1871" s="3" t="s">
        <v>1186</v>
      </c>
      <c r="F1871" s="3" t="s">
        <v>1969</v>
      </c>
      <c r="G1871" s="3" t="s">
        <v>1970</v>
      </c>
    </row>
    <row r="1872" spans="1:7">
      <c r="A1872" s="6">
        <v>42929</v>
      </c>
      <c r="B1872" s="3" t="s">
        <v>13</v>
      </c>
      <c r="C1872" s="3" t="s">
        <v>21</v>
      </c>
      <c r="D1872" s="8" t="str">
        <f>HYPERLINK("http://npthd.inbcu.com/ViewContent.aspx?filename=NPMR_ABC_2017-07-13_W.MP4$6357$6447","COMMERCIAL")</f>
        <v>COMMERCIAL</v>
      </c>
      <c r="E1872" s="3" t="s">
        <v>46</v>
      </c>
      <c r="F1872" s="3" t="s">
        <v>1970</v>
      </c>
      <c r="G1872" s="3" t="s">
        <v>1971</v>
      </c>
    </row>
    <row r="1873" spans="1:7">
      <c r="A1873" s="6">
        <v>42929</v>
      </c>
      <c r="B1873" s="3" t="s">
        <v>13</v>
      </c>
      <c r="C1873" s="3" t="s">
        <v>14</v>
      </c>
      <c r="D1873" s="8" t="str">
        <f>HYPERLINK("http://npthd.inbcu.com/ViewContent.aspx?filename=NPMR_ABC_2017-07-13_W.MP4$6447$6462","Somewhere Between")</f>
        <v>Somewhere Between</v>
      </c>
      <c r="E1873" s="3" t="s">
        <v>30</v>
      </c>
      <c r="F1873" s="3" t="s">
        <v>1971</v>
      </c>
      <c r="G1873" s="3" t="s">
        <v>1509</v>
      </c>
    </row>
    <row r="1874" spans="1:7">
      <c r="A1874" s="6">
        <v>42929</v>
      </c>
      <c r="B1874" s="3" t="s">
        <v>13</v>
      </c>
      <c r="C1874" s="3" t="s">
        <v>14</v>
      </c>
      <c r="D1874" s="8" t="str">
        <f>HYPERLINK("http://npthd.inbcu.com/ViewContent.aspx?filename=NPMR_ABC_2017-07-13_W.MP4$6462$6477","Mayor")</f>
        <v>Mayor</v>
      </c>
      <c r="E1874" s="3" t="s">
        <v>30</v>
      </c>
      <c r="F1874" s="3" t="s">
        <v>1509</v>
      </c>
      <c r="G1874" s="3" t="s">
        <v>1972</v>
      </c>
    </row>
    <row r="1875" spans="1:7">
      <c r="A1875" s="6">
        <v>42929</v>
      </c>
      <c r="B1875" s="3" t="s">
        <v>13</v>
      </c>
      <c r="C1875" s="3" t="s">
        <v>32</v>
      </c>
      <c r="D1875" s="8" t="str">
        <f>HYPERLINK("http://npthd.inbcu.com/ViewContent.aspx?filename=NPMR_ABC_2017-07-13_W.MP4$6477$6568","LOCAL")</f>
        <v>LOCAL</v>
      </c>
      <c r="E1875" s="3" t="s">
        <v>77</v>
      </c>
      <c r="F1875" s="3" t="s">
        <v>1972</v>
      </c>
      <c r="G1875" s="3" t="s">
        <v>1973</v>
      </c>
    </row>
    <row r="1876" spans="1:7">
      <c r="A1876" s="6">
        <v>42929</v>
      </c>
      <c r="B1876" s="3" t="s">
        <v>13</v>
      </c>
      <c r="C1876" s="3" t="s">
        <v>18</v>
      </c>
      <c r="D1876" s="8" t="str">
        <f>HYPERLINK("http://npthd.inbcu.com/ViewContent.aspx?filename=NPMR_ABC_2017-07-13_W.MP4$6568$6827","BATTLE OF THE NETWORK STARS: white house vs lawyers")</f>
        <v>BATTLE OF THE NETWORK STARS: white house vs lawyers</v>
      </c>
      <c r="E1876" s="3" t="s">
        <v>1974</v>
      </c>
      <c r="F1876" s="3" t="s">
        <v>1973</v>
      </c>
      <c r="G1876" s="3" t="s">
        <v>1975</v>
      </c>
    </row>
    <row r="1877" spans="1:7">
      <c r="A1877" s="6">
        <v>42929</v>
      </c>
      <c r="B1877" s="3" t="s">
        <v>13</v>
      </c>
      <c r="C1877" s="3" t="s">
        <v>14</v>
      </c>
      <c r="D1877" s="8" t="str">
        <f>HYPERLINK("http://npthd.inbcu.com/ViewContent.aspx?filename=NPMR_ABC_2017-07-13_W.MP4$6827$6832","Jimmy Kimmel Live!")</f>
        <v>Jimmy Kimmel Live!</v>
      </c>
      <c r="E1877" s="3" t="s">
        <v>54</v>
      </c>
      <c r="F1877" s="3" t="s">
        <v>1975</v>
      </c>
      <c r="G1877" s="3" t="s">
        <v>1976</v>
      </c>
    </row>
    <row r="1878" spans="1:7">
      <c r="A1878" s="6">
        <v>42929</v>
      </c>
      <c r="B1878" s="3" t="s">
        <v>13</v>
      </c>
      <c r="C1878" s="3" t="s">
        <v>18</v>
      </c>
      <c r="D1878" s="8" t="str">
        <f>HYPERLINK("http://npthd.inbcu.com/ViewContent.aspx?filename=NPMR_ABC_2017-07-13_W.MP4$6832$7296","BATTLE OF THE NETWORK STARS: white house vs lawyers")</f>
        <v>BATTLE OF THE NETWORK STARS: white house vs lawyers</v>
      </c>
      <c r="E1878" s="3" t="s">
        <v>1582</v>
      </c>
      <c r="F1878" s="3" t="s">
        <v>1976</v>
      </c>
      <c r="G1878" s="3" t="s">
        <v>1515</v>
      </c>
    </row>
    <row r="1879" spans="1:7">
      <c r="A1879" s="6">
        <v>42929</v>
      </c>
      <c r="B1879" s="3" t="s">
        <v>13</v>
      </c>
      <c r="C1879" s="3" t="s">
        <v>14</v>
      </c>
      <c r="D1879" s="8" t="str">
        <f>HYPERLINK("http://npthd.inbcu.com/ViewContent.aspx?filename=NPMR_ABC_2017-07-13_W.MP4$7296$7326","Battle of the Network Stars")</f>
        <v>Battle of the Network Stars</v>
      </c>
      <c r="E1879" s="3" t="s">
        <v>38</v>
      </c>
      <c r="F1879" s="3" t="s">
        <v>1515</v>
      </c>
      <c r="G1879" s="3" t="s">
        <v>394</v>
      </c>
    </row>
    <row r="1880" spans="1:7">
      <c r="A1880" s="6">
        <v>42929</v>
      </c>
      <c r="B1880" s="3" t="s">
        <v>13</v>
      </c>
      <c r="C1880" s="3" t="s">
        <v>14</v>
      </c>
      <c r="D1880" s="8" t="str">
        <f>HYPERLINK("http://npthd.inbcu.com/ViewContent.aspx?filename=NPMR_ABC_2017-07-13_W.MP4$7326$7331","Gong Show, The")</f>
        <v>Gong Show, The</v>
      </c>
      <c r="E1880" s="3" t="s">
        <v>54</v>
      </c>
      <c r="F1880" s="3" t="s">
        <v>394</v>
      </c>
      <c r="G1880" s="3" t="s">
        <v>395</v>
      </c>
    </row>
    <row r="1881" spans="1:7">
      <c r="A1881" s="6">
        <v>42929</v>
      </c>
      <c r="B1881" s="3" t="s">
        <v>13</v>
      </c>
      <c r="C1881" s="3" t="s">
        <v>18</v>
      </c>
      <c r="D1881" s="8" t="str">
        <f>HYPERLINK("http://npthd.inbcu.com/ViewContent.aspx?filename=NPMR_ABC_2017-07-13_W.MP4$7331$8047","THE GONG SHOW: helms, brie, arnett")</f>
        <v>THE GONG SHOW: helms, brie, arnett</v>
      </c>
      <c r="E1881" s="3" t="s">
        <v>1977</v>
      </c>
      <c r="F1881" s="3" t="s">
        <v>395</v>
      </c>
      <c r="G1881" s="3" t="s">
        <v>1978</v>
      </c>
    </row>
    <row r="1882" spans="1:7">
      <c r="A1882" s="6">
        <v>42929</v>
      </c>
      <c r="B1882" s="3" t="s">
        <v>13</v>
      </c>
      <c r="C1882" s="3" t="s">
        <v>21</v>
      </c>
      <c r="D1882" s="8" t="str">
        <f>HYPERLINK("http://npthd.inbcu.com/ViewContent.aspx?filename=NPMR_ABC_2017-07-13_W.MP4$8047$8227","COMMERCIAL")</f>
        <v>COMMERCIAL</v>
      </c>
      <c r="E1882" s="3" t="s">
        <v>22</v>
      </c>
      <c r="F1882" s="3" t="s">
        <v>1978</v>
      </c>
      <c r="G1882" s="3" t="s">
        <v>1979</v>
      </c>
    </row>
    <row r="1883" spans="1:7">
      <c r="A1883" s="6">
        <v>42929</v>
      </c>
      <c r="B1883" s="3" t="s">
        <v>13</v>
      </c>
      <c r="C1883" s="3" t="s">
        <v>14</v>
      </c>
      <c r="D1883" s="8" t="str">
        <f>HYPERLINK("http://npthd.inbcu.com/ViewContent.aspx?filename=NPMR_ABC_2017-07-13_W.MP4$8227$8257","ABC Sunday")</f>
        <v>ABC Sunday</v>
      </c>
      <c r="E1883" s="3" t="s">
        <v>38</v>
      </c>
      <c r="F1883" s="3" t="s">
        <v>1979</v>
      </c>
      <c r="G1883" s="3" t="s">
        <v>1980</v>
      </c>
    </row>
    <row r="1884" spans="1:7">
      <c r="A1884" s="6">
        <v>42929</v>
      </c>
      <c r="B1884" s="3" t="s">
        <v>13</v>
      </c>
      <c r="C1884" s="3" t="s">
        <v>18</v>
      </c>
      <c r="D1884" s="8" t="str">
        <f>HYPERLINK("http://npthd.inbcu.com/ViewContent.aspx?filename=NPMR_ABC_2017-07-13_W.MP4$8257$8645","THE GONG SHOW: helms, brie, arnett")</f>
        <v>THE GONG SHOW: helms, brie, arnett</v>
      </c>
      <c r="E1884" s="3" t="s">
        <v>1135</v>
      </c>
      <c r="F1884" s="3" t="s">
        <v>1980</v>
      </c>
      <c r="G1884" s="3" t="s">
        <v>1981</v>
      </c>
    </row>
    <row r="1885" spans="1:7">
      <c r="A1885" s="6">
        <v>42929</v>
      </c>
      <c r="B1885" s="3" t="s">
        <v>13</v>
      </c>
      <c r="C1885" s="3" t="s">
        <v>14</v>
      </c>
      <c r="D1885" s="8" t="str">
        <f>HYPERLINK("http://npthd.inbcu.com/ViewContent.aspx?filename=NPMR_ABC_2017-07-13_W.MP4$8645$8650","Jimmy Kimmel Live!")</f>
        <v>Jimmy Kimmel Live!</v>
      </c>
      <c r="E1885" s="3" t="s">
        <v>54</v>
      </c>
      <c r="F1885" s="3" t="s">
        <v>1981</v>
      </c>
      <c r="G1885" s="3" t="s">
        <v>1982</v>
      </c>
    </row>
    <row r="1886" spans="1:7">
      <c r="A1886" s="6">
        <v>42929</v>
      </c>
      <c r="B1886" s="3" t="s">
        <v>13</v>
      </c>
      <c r="C1886" s="3" t="s">
        <v>21</v>
      </c>
      <c r="D1886" s="8" t="str">
        <f>HYPERLINK("http://npthd.inbcu.com/ViewContent.aspx?filename=NPMR_ABC_2017-07-13_W.MP4$8650$8830","COMMERCIAL")</f>
        <v>COMMERCIAL</v>
      </c>
      <c r="E1886" s="3" t="s">
        <v>22</v>
      </c>
      <c r="F1886" s="3" t="s">
        <v>1982</v>
      </c>
      <c r="G1886" s="3" t="s">
        <v>1983</v>
      </c>
    </row>
    <row r="1887" spans="1:7">
      <c r="A1887" s="6">
        <v>42929</v>
      </c>
      <c r="B1887" s="3" t="s">
        <v>13</v>
      </c>
      <c r="C1887" s="3" t="s">
        <v>14</v>
      </c>
      <c r="D1887" s="8" t="str">
        <f>HYPERLINK("http://npthd.inbcu.com/ViewContent.aspx?filename=NPMR_ABC_2017-07-13_W.MP4$8830$8860","Battle of the Network Stars")</f>
        <v>Battle of the Network Stars</v>
      </c>
      <c r="E1887" s="3" t="s">
        <v>38</v>
      </c>
      <c r="F1887" s="3" t="s">
        <v>1983</v>
      </c>
      <c r="G1887" s="3" t="s">
        <v>1022</v>
      </c>
    </row>
    <row r="1888" spans="1:7">
      <c r="A1888" s="6">
        <v>42929</v>
      </c>
      <c r="B1888" s="3" t="s">
        <v>13</v>
      </c>
      <c r="C1888" s="3" t="s">
        <v>18</v>
      </c>
      <c r="D1888" s="8" t="str">
        <f>HYPERLINK("http://npthd.inbcu.com/ViewContent.aspx?filename=NPMR_ABC_2017-07-13_W.MP4$8860$9250","THE GONG SHOW: helms, brie, arnett")</f>
        <v>THE GONG SHOW: helms, brie, arnett</v>
      </c>
      <c r="E1888" s="3" t="s">
        <v>1382</v>
      </c>
      <c r="F1888" s="3" t="s">
        <v>1022</v>
      </c>
      <c r="G1888" s="3" t="s">
        <v>1667</v>
      </c>
    </row>
    <row r="1889" spans="1:7">
      <c r="A1889" s="6">
        <v>42929</v>
      </c>
      <c r="B1889" s="3" t="s">
        <v>13</v>
      </c>
      <c r="C1889" s="3" t="s">
        <v>21</v>
      </c>
      <c r="D1889" s="8" t="str">
        <f>HYPERLINK("http://npthd.inbcu.com/ViewContent.aspx?filename=NPMR_ABC_2017-07-13_W.MP4$9250$9355","COMMERCIAL")</f>
        <v>COMMERCIAL</v>
      </c>
      <c r="E1889" s="3" t="s">
        <v>199</v>
      </c>
      <c r="F1889" s="3" t="s">
        <v>1667</v>
      </c>
      <c r="G1889" s="3" t="s">
        <v>1984</v>
      </c>
    </row>
    <row r="1890" spans="1:7">
      <c r="A1890" s="6">
        <v>42929</v>
      </c>
      <c r="B1890" s="3" t="s">
        <v>13</v>
      </c>
      <c r="C1890" s="3" t="s">
        <v>14</v>
      </c>
      <c r="D1890" s="8" t="str">
        <f>HYPERLINK("http://npthd.inbcu.com/ViewContent.aspx?filename=NPMR_ABC_2017-07-13_W.MP4$9355$9370","Bachelorette")</f>
        <v>Bachelorette</v>
      </c>
      <c r="E1890" s="3" t="s">
        <v>30</v>
      </c>
      <c r="F1890" s="3" t="s">
        <v>1984</v>
      </c>
      <c r="G1890" s="3" t="s">
        <v>1985</v>
      </c>
    </row>
    <row r="1891" spans="1:7">
      <c r="A1891" s="6">
        <v>42929</v>
      </c>
      <c r="B1891" s="3" t="s">
        <v>13</v>
      </c>
      <c r="C1891" s="3" t="s">
        <v>14</v>
      </c>
      <c r="D1891" s="8" t="str">
        <f>HYPERLINK("http://npthd.inbcu.com/ViewContent.aspx?filename=NPMR_ABC_2017-07-13_W.MP4$9370$9385","Somewhere Between")</f>
        <v>Somewhere Between</v>
      </c>
      <c r="E1891" s="3" t="s">
        <v>30</v>
      </c>
      <c r="F1891" s="3" t="s">
        <v>1985</v>
      </c>
      <c r="G1891" s="3" t="s">
        <v>1986</v>
      </c>
    </row>
    <row r="1892" spans="1:7">
      <c r="A1892" s="6">
        <v>42929</v>
      </c>
      <c r="B1892" s="3" t="s">
        <v>13</v>
      </c>
      <c r="C1892" s="3" t="s">
        <v>32</v>
      </c>
      <c r="D1892" s="8" t="str">
        <f>HYPERLINK("http://npthd.inbcu.com/ViewContent.aspx?filename=NPMR_ABC_2017-07-13_W.MP4$9385$9492","LOCAL")</f>
        <v>LOCAL</v>
      </c>
      <c r="E1892" s="3" t="s">
        <v>104</v>
      </c>
      <c r="F1892" s="3" t="s">
        <v>1986</v>
      </c>
      <c r="G1892" s="3" t="s">
        <v>922</v>
      </c>
    </row>
    <row r="1893" spans="1:7">
      <c r="A1893" s="6">
        <v>42929</v>
      </c>
      <c r="B1893" s="3" t="s">
        <v>13</v>
      </c>
      <c r="C1893" s="3" t="s">
        <v>18</v>
      </c>
      <c r="D1893" s="8" t="str">
        <f>HYPERLINK("http://npthd.inbcu.com/ViewContent.aspx?filename=NPMR_ABC_2017-07-13_W.MP4$9492$9845","THE GONG SHOW: helms, brie, arnett")</f>
        <v>THE GONG SHOW: helms, brie, arnett</v>
      </c>
      <c r="E1893" s="3" t="s">
        <v>1186</v>
      </c>
      <c r="F1893" s="3" t="s">
        <v>922</v>
      </c>
      <c r="G1893" s="3" t="s">
        <v>1987</v>
      </c>
    </row>
    <row r="1894" spans="1:7">
      <c r="A1894" s="6">
        <v>42929</v>
      </c>
      <c r="B1894" s="3" t="s">
        <v>13</v>
      </c>
      <c r="C1894" s="3" t="s">
        <v>21</v>
      </c>
      <c r="D1894" s="8" t="str">
        <f>HYPERLINK("http://npthd.inbcu.com/ViewContent.aspx?filename=NPMR_ABC_2017-07-13_W.MP4$9845$9966","COMMERCIAL")</f>
        <v>COMMERCIAL</v>
      </c>
      <c r="E1894" s="3" t="s">
        <v>175</v>
      </c>
      <c r="F1894" s="3" t="s">
        <v>1987</v>
      </c>
      <c r="G1894" s="3" t="s">
        <v>1988</v>
      </c>
    </row>
    <row r="1895" spans="1:7">
      <c r="A1895" s="6">
        <v>42929</v>
      </c>
      <c r="B1895" s="3" t="s">
        <v>13</v>
      </c>
      <c r="C1895" s="3" t="s">
        <v>14</v>
      </c>
      <c r="D1895" s="8" t="str">
        <f>HYPERLINK("http://npthd.inbcu.com/ViewContent.aspx?filename=NPMR_ABC_2017-07-13_W.MP4$9966$9981","20/20")</f>
        <v>20/20</v>
      </c>
      <c r="E1895" s="3" t="s">
        <v>30</v>
      </c>
      <c r="F1895" s="3" t="s">
        <v>1988</v>
      </c>
      <c r="G1895" s="3" t="s">
        <v>1989</v>
      </c>
    </row>
    <row r="1896" spans="1:7">
      <c r="A1896" s="6">
        <v>42929</v>
      </c>
      <c r="B1896" s="3" t="s">
        <v>13</v>
      </c>
      <c r="C1896" s="3" t="s">
        <v>32</v>
      </c>
      <c r="D1896" s="8" t="str">
        <f>HYPERLINK("http://npthd.inbcu.com/ViewContent.aspx?filename=NPMR_ABC_2017-07-13_W.MP4$9981$10072","LOCAL")</f>
        <v>LOCAL</v>
      </c>
      <c r="E1896" s="3" t="s">
        <v>77</v>
      </c>
      <c r="F1896" s="3" t="s">
        <v>1989</v>
      </c>
      <c r="G1896" s="3" t="s">
        <v>1990</v>
      </c>
    </row>
    <row r="1897" spans="1:7">
      <c r="A1897" s="6">
        <v>42929</v>
      </c>
      <c r="B1897" s="3" t="s">
        <v>13</v>
      </c>
      <c r="C1897" s="3" t="s">
        <v>18</v>
      </c>
      <c r="D1897" s="8" t="str">
        <f>HYPERLINK("http://npthd.inbcu.com/ViewContent.aspx?filename=NPMR_ABC_2017-07-13_W.MP4$10072$10402","THE GONG SHOW: helms, brie, arnett")</f>
        <v>THE GONG SHOW: helms, brie, arnett</v>
      </c>
      <c r="E1897" s="3" t="s">
        <v>338</v>
      </c>
      <c r="F1897" s="3" t="s">
        <v>1990</v>
      </c>
      <c r="G1897" s="3" t="s">
        <v>1991</v>
      </c>
    </row>
    <row r="1898" spans="1:7">
      <c r="A1898" s="6">
        <v>42929</v>
      </c>
      <c r="B1898" s="3" t="s">
        <v>13</v>
      </c>
      <c r="C1898" s="3" t="s">
        <v>32</v>
      </c>
      <c r="D1898" s="8" t="str">
        <f>HYPERLINK("http://npthd.inbcu.com/ViewContent.aspx?filename=NPMR_ABC_2017-07-13_W.MP4$10402$10418","LOCAL")</f>
        <v>LOCAL</v>
      </c>
      <c r="E1898" s="3" t="s">
        <v>64</v>
      </c>
      <c r="F1898" s="3" t="s">
        <v>1991</v>
      </c>
      <c r="G1898" s="3" t="s">
        <v>1992</v>
      </c>
    </row>
    <row r="1899" spans="1:7">
      <c r="A1899" s="6">
        <v>42929</v>
      </c>
      <c r="B1899" s="3" t="s">
        <v>13</v>
      </c>
      <c r="C1899" s="3" t="s">
        <v>21</v>
      </c>
      <c r="D1899" s="8" t="str">
        <f>HYPERLINK("http://npthd.inbcu.com/ViewContent.aspx?filename=NPMR_ABC_2017-07-13_W.MP4$10418$10567","COMMERCIAL")</f>
        <v>COMMERCIAL</v>
      </c>
      <c r="E1899" s="3" t="s">
        <v>952</v>
      </c>
      <c r="F1899" s="3" t="s">
        <v>1992</v>
      </c>
      <c r="G1899" s="3" t="s">
        <v>1993</v>
      </c>
    </row>
    <row r="1900" spans="1:7">
      <c r="A1900" s="6">
        <v>42929</v>
      </c>
      <c r="B1900" s="3" t="s">
        <v>13</v>
      </c>
      <c r="C1900" s="3" t="s">
        <v>14</v>
      </c>
      <c r="D1900" s="8" t="str">
        <f>HYPERLINK("http://npthd.inbcu.com/ViewContent.aspx?filename=NPMR_ABC_2017-07-13_W.MP4$10567$10582","Jimmy Kimmel Live!")</f>
        <v>Jimmy Kimmel Live!</v>
      </c>
      <c r="E1900" s="3" t="s">
        <v>30</v>
      </c>
      <c r="F1900" s="3" t="s">
        <v>1993</v>
      </c>
      <c r="G1900" s="3" t="s">
        <v>1994</v>
      </c>
    </row>
    <row r="1901" spans="1:7">
      <c r="A1901" s="6">
        <v>42929</v>
      </c>
      <c r="B1901" s="3" t="s">
        <v>13</v>
      </c>
      <c r="C1901" s="3" t="s">
        <v>18</v>
      </c>
      <c r="D1901" s="8" t="str">
        <f>HYPERLINK("http://npthd.inbcu.com/ViewContent.aspx?filename=NPMR_ABC_2017-07-13_W.MP4$10582$10881","THE GONG SHOW: helms, brie, arnett")</f>
        <v>THE GONG SHOW: helms, brie, arnett</v>
      </c>
      <c r="E1901" s="3" t="s">
        <v>1522</v>
      </c>
      <c r="F1901" s="3" t="s">
        <v>1994</v>
      </c>
      <c r="G1901" s="3" t="s">
        <v>310</v>
      </c>
    </row>
    <row r="1902" spans="1:7">
      <c r="A1902" s="6">
        <v>42929</v>
      </c>
      <c r="B1902" s="3" t="s">
        <v>13</v>
      </c>
      <c r="C1902" s="3" t="s">
        <v>14</v>
      </c>
      <c r="D1902" s="8" t="str">
        <f>HYPERLINK("http://npthd.inbcu.com/ViewContent.aspx?filename=NPMR_ABC_2017-07-13_W.MP4$10881$10911","Gong Show, The")</f>
        <v>Gong Show, The</v>
      </c>
      <c r="E1902" s="3" t="s">
        <v>38</v>
      </c>
      <c r="F1902" s="3" t="s">
        <v>310</v>
      </c>
      <c r="G1902" s="3" t="s">
        <v>123</v>
      </c>
    </row>
    <row r="1903" spans="1:7">
      <c r="A1903" s="6">
        <v>42929</v>
      </c>
      <c r="B1903" s="3" t="s">
        <v>13</v>
      </c>
      <c r="C1903" s="3" t="s">
        <v>32</v>
      </c>
      <c r="D1903" s="8" t="str">
        <f>HYPERLINK("http://npthd.inbcu.com/ViewContent.aspx?filename=NPMR_ABC_2017-07-13_W.MP4$10911$10926","LOCAL")</f>
        <v>LOCAL</v>
      </c>
      <c r="E1903" s="3" t="s">
        <v>30</v>
      </c>
      <c r="F1903" s="3" t="s">
        <v>123</v>
      </c>
      <c r="G1903" s="3" t="s">
        <v>124</v>
      </c>
    </row>
    <row r="1904" spans="1:7">
      <c r="A1904" s="6">
        <v>42930</v>
      </c>
      <c r="B1904" s="3" t="s">
        <v>13</v>
      </c>
      <c r="C1904" s="3" t="s">
        <v>14</v>
      </c>
      <c r="D1904" s="8" t="str">
        <f>HYPERLINK("http://npthd.inbcu.com/ViewContent.aspx?filename=NPMR_ABC_2017-07-14_E.MP4$126$132","ABC Open")</f>
        <v>ABC Open</v>
      </c>
      <c r="E1904" s="3" t="s">
        <v>15</v>
      </c>
      <c r="F1904" s="3" t="s">
        <v>16</v>
      </c>
      <c r="G1904" s="3" t="s">
        <v>17</v>
      </c>
    </row>
    <row r="1905" spans="1:7">
      <c r="A1905" s="6">
        <v>42930</v>
      </c>
      <c r="B1905" s="3" t="s">
        <v>13</v>
      </c>
      <c r="C1905" s="3" t="s">
        <v>18</v>
      </c>
      <c r="D1905" s="8" t="str">
        <f>HYPERLINK("http://npthd.inbcu.com/ViewContent.aspx?filename=NPMR_ABC_2017-07-14_E.MP4$132$752","SHARK TANK: 818")</f>
        <v>SHARK TANK: 818</v>
      </c>
      <c r="E1905" s="3" t="s">
        <v>367</v>
      </c>
      <c r="F1905" s="3" t="s">
        <v>17</v>
      </c>
      <c r="G1905" s="3" t="s">
        <v>1995</v>
      </c>
    </row>
    <row r="1906" spans="1:7">
      <c r="A1906" s="6">
        <v>42930</v>
      </c>
      <c r="B1906" s="3" t="s">
        <v>13</v>
      </c>
      <c r="C1906" s="3" t="s">
        <v>21</v>
      </c>
      <c r="D1906" s="8" t="str">
        <f>HYPERLINK("http://npthd.inbcu.com/ViewContent.aspx?filename=NPMR_ABC_2017-07-14_E.MP4$752$887","COMMERCIAL")</f>
        <v>COMMERCIAL</v>
      </c>
      <c r="E1906" s="3" t="s">
        <v>459</v>
      </c>
      <c r="F1906" s="3" t="s">
        <v>1995</v>
      </c>
      <c r="G1906" s="3" t="s">
        <v>1996</v>
      </c>
    </row>
    <row r="1907" spans="1:7">
      <c r="A1907" s="6">
        <v>42930</v>
      </c>
      <c r="B1907" s="3" t="s">
        <v>13</v>
      </c>
      <c r="C1907" s="3" t="s">
        <v>14</v>
      </c>
      <c r="D1907" s="8" t="str">
        <f>HYPERLINK("http://npthd.inbcu.com/ViewContent.aspx?filename=NPMR_ABC_2017-07-14_E.MP4$887$918","20/20")</f>
        <v>20/20</v>
      </c>
      <c r="E1907" s="3" t="s">
        <v>98</v>
      </c>
      <c r="F1907" s="3" t="s">
        <v>1996</v>
      </c>
      <c r="G1907" s="3" t="s">
        <v>1997</v>
      </c>
    </row>
    <row r="1908" spans="1:7">
      <c r="A1908" s="6">
        <v>42930</v>
      </c>
      <c r="B1908" s="3" t="s">
        <v>13</v>
      </c>
      <c r="C1908" s="3" t="s">
        <v>14</v>
      </c>
      <c r="D1908" s="8" t="str">
        <f>HYPERLINK("http://npthd.inbcu.com/ViewContent.aspx?filename=NPMR_ABC_2017-07-14_E.MP4$918$933","Celebrity Family Feud")</f>
        <v>Celebrity Family Feud</v>
      </c>
      <c r="E1908" s="3" t="s">
        <v>30</v>
      </c>
      <c r="F1908" s="3" t="s">
        <v>1997</v>
      </c>
      <c r="G1908" s="3" t="s">
        <v>1998</v>
      </c>
    </row>
    <row r="1909" spans="1:7">
      <c r="A1909" s="6">
        <v>42930</v>
      </c>
      <c r="B1909" s="3" t="s">
        <v>13</v>
      </c>
      <c r="C1909" s="3" t="s">
        <v>18</v>
      </c>
      <c r="D1909" s="8" t="str">
        <f>HYPERLINK("http://npthd.inbcu.com/ViewContent.aspx?filename=NPMR_ABC_2017-07-14_E.MP4$933$1389","SHARK TANK: 818")</f>
        <v>SHARK TANK: 818</v>
      </c>
      <c r="E1909" s="3" t="s">
        <v>1683</v>
      </c>
      <c r="F1909" s="3" t="s">
        <v>1998</v>
      </c>
      <c r="G1909" s="3" t="s">
        <v>1999</v>
      </c>
    </row>
    <row r="1910" spans="1:7">
      <c r="A1910" s="6">
        <v>42930</v>
      </c>
      <c r="B1910" s="3" t="s">
        <v>13</v>
      </c>
      <c r="C1910" s="3" t="s">
        <v>21</v>
      </c>
      <c r="D1910" s="8" t="str">
        <f>HYPERLINK("http://npthd.inbcu.com/ViewContent.aspx?filename=NPMR_ABC_2017-07-14_E.MP4$1389$1509","COMMERCIAL")</f>
        <v>COMMERCIAL</v>
      </c>
      <c r="E1910" s="3" t="s">
        <v>43</v>
      </c>
      <c r="F1910" s="3" t="s">
        <v>1999</v>
      </c>
      <c r="G1910" s="3" t="s">
        <v>782</v>
      </c>
    </row>
    <row r="1911" spans="1:7">
      <c r="A1911" s="6">
        <v>42930</v>
      </c>
      <c r="B1911" s="3" t="s">
        <v>13</v>
      </c>
      <c r="C1911" s="3" t="s">
        <v>14</v>
      </c>
      <c r="D1911" s="8" t="str">
        <f>HYPERLINK("http://npthd.inbcu.com/ViewContent.aspx?filename=NPMR_ABC_2017-07-14_E.MP4$1509$1539","Bachelorette")</f>
        <v>Bachelorette</v>
      </c>
      <c r="E1911" s="3" t="s">
        <v>38</v>
      </c>
      <c r="F1911" s="3" t="s">
        <v>782</v>
      </c>
      <c r="G1911" s="3" t="s">
        <v>2000</v>
      </c>
    </row>
    <row r="1912" spans="1:7">
      <c r="A1912" s="6">
        <v>42930</v>
      </c>
      <c r="B1912" s="3" t="s">
        <v>13</v>
      </c>
      <c r="C1912" s="3" t="s">
        <v>32</v>
      </c>
      <c r="D1912" s="8" t="str">
        <f>HYPERLINK("http://npthd.inbcu.com/ViewContent.aspx?filename=NPMR_ABC_2017-07-14_E.MP4$1539$1599","LOCAL")</f>
        <v>LOCAL</v>
      </c>
      <c r="E1912" s="3" t="s">
        <v>66</v>
      </c>
      <c r="F1912" s="3" t="s">
        <v>2000</v>
      </c>
      <c r="G1912" s="3" t="s">
        <v>2001</v>
      </c>
    </row>
    <row r="1913" spans="1:7">
      <c r="A1913" s="6">
        <v>42930</v>
      </c>
      <c r="B1913" s="3" t="s">
        <v>13</v>
      </c>
      <c r="C1913" s="3" t="s">
        <v>18</v>
      </c>
      <c r="D1913" s="8" t="str">
        <f>HYPERLINK("http://npthd.inbcu.com/ViewContent.aspx?filename=NPMR_ABC_2017-07-14_E.MP4$1599$1911","SHARK TANK: 818")</f>
        <v>SHARK TANK: 818</v>
      </c>
      <c r="E1913" s="3" t="s">
        <v>1493</v>
      </c>
      <c r="F1913" s="3" t="s">
        <v>2001</v>
      </c>
      <c r="G1913" s="3" t="s">
        <v>2002</v>
      </c>
    </row>
    <row r="1914" spans="1:7">
      <c r="A1914" s="6">
        <v>42930</v>
      </c>
      <c r="B1914" s="3" t="s">
        <v>13</v>
      </c>
      <c r="C1914" s="3" t="s">
        <v>21</v>
      </c>
      <c r="D1914" s="8" t="str">
        <f>HYPERLINK("http://npthd.inbcu.com/ViewContent.aspx?filename=NPMR_ABC_2017-07-14_E.MP4$1911$2061","COMMERCIAL")</f>
        <v>COMMERCIAL</v>
      </c>
      <c r="E1914" s="3" t="s">
        <v>28</v>
      </c>
      <c r="F1914" s="3" t="s">
        <v>2002</v>
      </c>
      <c r="G1914" s="3" t="s">
        <v>2003</v>
      </c>
    </row>
    <row r="1915" spans="1:7">
      <c r="A1915" s="6">
        <v>42930</v>
      </c>
      <c r="B1915" s="3" t="s">
        <v>13</v>
      </c>
      <c r="C1915" s="3" t="s">
        <v>14</v>
      </c>
      <c r="D1915" s="8" t="str">
        <f>HYPERLINK("http://npthd.inbcu.com/ViewContent.aspx?filename=NPMR_ABC_2017-07-14_E.MP4$2061$2122","Good Doctor, The")</f>
        <v>Good Doctor, The</v>
      </c>
      <c r="E1915" s="3" t="s">
        <v>33</v>
      </c>
      <c r="F1915" s="3" t="s">
        <v>2003</v>
      </c>
      <c r="G1915" s="3" t="s">
        <v>229</v>
      </c>
    </row>
    <row r="1916" spans="1:7">
      <c r="A1916" s="6">
        <v>42930</v>
      </c>
      <c r="B1916" s="3" t="s">
        <v>13</v>
      </c>
      <c r="C1916" s="3" t="s">
        <v>18</v>
      </c>
      <c r="D1916" s="8" t="str">
        <f>HYPERLINK("http://npthd.inbcu.com/ViewContent.aspx?filename=NPMR_ABC_2017-07-14_E.MP4$2122$2624","SHARK TANK: 818")</f>
        <v>SHARK TANK: 818</v>
      </c>
      <c r="E1916" s="3" t="s">
        <v>2004</v>
      </c>
      <c r="F1916" s="3" t="s">
        <v>229</v>
      </c>
      <c r="G1916" s="3" t="s">
        <v>2005</v>
      </c>
    </row>
    <row r="1917" spans="1:7">
      <c r="A1917" s="6">
        <v>42930</v>
      </c>
      <c r="B1917" s="3" t="s">
        <v>13</v>
      </c>
      <c r="C1917" s="3" t="s">
        <v>21</v>
      </c>
      <c r="D1917" s="8" t="str">
        <f>HYPERLINK("http://npthd.inbcu.com/ViewContent.aspx?filename=NPMR_ABC_2017-07-14_E.MP4$2624$2804","COMMERCIAL")</f>
        <v>COMMERCIAL</v>
      </c>
      <c r="E1917" s="3" t="s">
        <v>22</v>
      </c>
      <c r="F1917" s="3" t="s">
        <v>2005</v>
      </c>
      <c r="G1917" s="3" t="s">
        <v>2006</v>
      </c>
    </row>
    <row r="1918" spans="1:7">
      <c r="A1918" s="6">
        <v>42930</v>
      </c>
      <c r="B1918" s="3" t="s">
        <v>13</v>
      </c>
      <c r="C1918" s="3" t="s">
        <v>14</v>
      </c>
      <c r="D1918" s="8" t="str">
        <f>HYPERLINK("http://npthd.inbcu.com/ViewContent.aspx?filename=NPMR_ABC_2017-07-14_E.MP4$2804$2819","Descendants 2")</f>
        <v>Descendants 2</v>
      </c>
      <c r="E1918" s="3" t="s">
        <v>30</v>
      </c>
      <c r="F1918" s="3" t="s">
        <v>2006</v>
      </c>
      <c r="G1918" s="3" t="s">
        <v>2007</v>
      </c>
    </row>
    <row r="1919" spans="1:7">
      <c r="A1919" s="6">
        <v>42930</v>
      </c>
      <c r="B1919" s="3" t="s">
        <v>13</v>
      </c>
      <c r="C1919" s="3" t="s">
        <v>32</v>
      </c>
      <c r="D1919" s="8" t="str">
        <f>HYPERLINK("http://npthd.inbcu.com/ViewContent.aspx?filename=NPMR_ABC_2017-07-14_E.MP4$2819$2880","LOCAL")</f>
        <v>LOCAL</v>
      </c>
      <c r="E1919" s="3" t="s">
        <v>33</v>
      </c>
      <c r="F1919" s="3" t="s">
        <v>2007</v>
      </c>
      <c r="G1919" s="3" t="s">
        <v>2008</v>
      </c>
    </row>
    <row r="1920" spans="1:7">
      <c r="A1920" s="6">
        <v>42930</v>
      </c>
      <c r="B1920" s="3" t="s">
        <v>13</v>
      </c>
      <c r="C1920" s="3" t="s">
        <v>18</v>
      </c>
      <c r="D1920" s="8" t="str">
        <f>HYPERLINK("http://npthd.inbcu.com/ViewContent.aspx?filename=NPMR_ABC_2017-07-14_E.MP4$2880$3368","SHARK TANK: 818")</f>
        <v>SHARK TANK: 818</v>
      </c>
      <c r="E1920" s="3" t="s">
        <v>1546</v>
      </c>
      <c r="F1920" s="3" t="s">
        <v>2008</v>
      </c>
      <c r="G1920" s="3" t="s">
        <v>2009</v>
      </c>
    </row>
    <row r="1921" spans="1:7">
      <c r="A1921" s="6">
        <v>42930</v>
      </c>
      <c r="B1921" s="3" t="s">
        <v>13</v>
      </c>
      <c r="C1921" s="3" t="s">
        <v>21</v>
      </c>
      <c r="D1921" s="8" t="str">
        <f>HYPERLINK("http://npthd.inbcu.com/ViewContent.aspx?filename=NPMR_ABC_2017-07-14_E.MP4$3368$3577","COMMERCIAL")</f>
        <v>COMMERCIAL</v>
      </c>
      <c r="E1921" s="3" t="s">
        <v>2010</v>
      </c>
      <c r="F1921" s="3" t="s">
        <v>2009</v>
      </c>
      <c r="G1921" s="3" t="s">
        <v>721</v>
      </c>
    </row>
    <row r="1922" spans="1:7">
      <c r="A1922" s="6">
        <v>42930</v>
      </c>
      <c r="B1922" s="3" t="s">
        <v>13</v>
      </c>
      <c r="C1922" s="3" t="s">
        <v>14</v>
      </c>
      <c r="D1922" s="8" t="str">
        <f>HYPERLINK("http://npthd.inbcu.com/ViewContent.aspx?filename=NPMR_ABC_2017-07-14_E.MP4$3577$3593","What Would You Do?")</f>
        <v>What Would You Do?</v>
      </c>
      <c r="E1922" s="3" t="s">
        <v>64</v>
      </c>
      <c r="F1922" s="3" t="s">
        <v>721</v>
      </c>
      <c r="G1922" s="3" t="s">
        <v>2011</v>
      </c>
    </row>
    <row r="1923" spans="1:7">
      <c r="A1923" s="6">
        <v>42930</v>
      </c>
      <c r="B1923" s="3" t="s">
        <v>13</v>
      </c>
      <c r="C1923" s="3" t="s">
        <v>14</v>
      </c>
      <c r="D1923" s="8" t="str">
        <f>HYPERLINK("http://npthd.inbcu.com/ViewContent.aspx?filename=NPMR_ABC_2017-07-14_E.MP4$3593$3623","Somewhere Between")</f>
        <v>Somewhere Between</v>
      </c>
      <c r="E1923" s="3" t="s">
        <v>38</v>
      </c>
      <c r="F1923" s="3" t="s">
        <v>2011</v>
      </c>
      <c r="G1923" s="3" t="s">
        <v>2012</v>
      </c>
    </row>
    <row r="1924" spans="1:7">
      <c r="A1924" s="6">
        <v>42930</v>
      </c>
      <c r="B1924" s="3" t="s">
        <v>13</v>
      </c>
      <c r="C1924" s="3" t="s">
        <v>32</v>
      </c>
      <c r="D1924" s="8" t="str">
        <f>HYPERLINK("http://npthd.inbcu.com/ViewContent.aspx?filename=NPMR_ABC_2017-07-14_E.MP4$3623$3627","LOCAL")</f>
        <v>LOCAL</v>
      </c>
      <c r="E1924" s="3" t="s">
        <v>84</v>
      </c>
      <c r="F1924" s="3" t="s">
        <v>2012</v>
      </c>
      <c r="G1924" s="3" t="s">
        <v>1334</v>
      </c>
    </row>
    <row r="1925" spans="1:7">
      <c r="A1925" s="6">
        <v>42930</v>
      </c>
      <c r="B1925" s="3" t="s">
        <v>13</v>
      </c>
      <c r="C1925" s="3" t="s">
        <v>18</v>
      </c>
      <c r="D1925" s="8" t="str">
        <f>HYPERLINK("http://npthd.inbcu.com/ViewContent.aspx?filename=NPMR_ABC_2017-07-14_E.MP4$3627$3751","SHARK TANK: 818")</f>
        <v>SHARK TANK: 818</v>
      </c>
      <c r="E1925" s="3" t="s">
        <v>2013</v>
      </c>
      <c r="F1925" s="3" t="s">
        <v>1334</v>
      </c>
      <c r="G1925" s="3" t="s">
        <v>802</v>
      </c>
    </row>
    <row r="1926" spans="1:7">
      <c r="A1926" s="6">
        <v>42930</v>
      </c>
      <c r="B1926" s="3" t="s">
        <v>13</v>
      </c>
      <c r="C1926" s="3" t="s">
        <v>14</v>
      </c>
      <c r="D1926" s="8" t="str">
        <f>HYPERLINK("http://npthd.inbcu.com/ViewContent.aspx?filename=NPMR_ABC_2017-07-14_E.MP4$3751$3781","ABC Summer Fun &amp; Games")</f>
        <v>ABC Summer Fun &amp; Games</v>
      </c>
      <c r="E1926" s="3" t="s">
        <v>38</v>
      </c>
      <c r="F1926" s="3" t="s">
        <v>802</v>
      </c>
      <c r="G1926" s="3" t="s">
        <v>804</v>
      </c>
    </row>
    <row r="1927" spans="1:7">
      <c r="A1927" s="6">
        <v>42930</v>
      </c>
      <c r="B1927" s="3" t="s">
        <v>13</v>
      </c>
      <c r="C1927" s="3" t="s">
        <v>18</v>
      </c>
      <c r="D1927" s="8" t="str">
        <f>HYPERLINK("http://npthd.inbcu.com/ViewContent.aspx?filename=NPMR_ABC_2017-07-14_E.MP4$3781$3787","SHARK TANK: 818")</f>
        <v>SHARK TANK: 818</v>
      </c>
      <c r="E1927" s="3" t="s">
        <v>15</v>
      </c>
      <c r="F1927" s="3" t="s">
        <v>804</v>
      </c>
      <c r="G1927" s="3" t="s">
        <v>805</v>
      </c>
    </row>
    <row r="1928" spans="1:7">
      <c r="A1928" s="6">
        <v>42930</v>
      </c>
      <c r="B1928" s="3" t="s">
        <v>13</v>
      </c>
      <c r="C1928" s="3" t="s">
        <v>18</v>
      </c>
      <c r="D1928" s="8" t="str">
        <f>HYPERLINK("http://npthd.inbcu.com/ViewContent.aspx?filename=NPMR_ABC_2017-07-14_E.MP4$3787$4348","WHAT WOULD YOU DO?:")</f>
        <v>WHAT WOULD YOU DO?:</v>
      </c>
      <c r="E1928" s="3" t="s">
        <v>1290</v>
      </c>
      <c r="F1928" s="3" t="s">
        <v>805</v>
      </c>
      <c r="G1928" s="3" t="s">
        <v>2014</v>
      </c>
    </row>
    <row r="1929" spans="1:7">
      <c r="A1929" s="6">
        <v>42930</v>
      </c>
      <c r="B1929" s="3" t="s">
        <v>13</v>
      </c>
      <c r="C1929" s="3" t="s">
        <v>21</v>
      </c>
      <c r="D1929" s="8" t="str">
        <f>HYPERLINK("http://npthd.inbcu.com/ViewContent.aspx?filename=NPMR_ABC_2017-07-14_E.MP4$4348$4558","COMMERCIAL")</f>
        <v>COMMERCIAL</v>
      </c>
      <c r="E1929" s="3" t="s">
        <v>150</v>
      </c>
      <c r="F1929" s="3" t="s">
        <v>2014</v>
      </c>
      <c r="G1929" s="3" t="s">
        <v>2015</v>
      </c>
    </row>
    <row r="1930" spans="1:7">
      <c r="A1930" s="6">
        <v>42930</v>
      </c>
      <c r="B1930" s="3" t="s">
        <v>13</v>
      </c>
      <c r="C1930" s="3" t="s">
        <v>14</v>
      </c>
      <c r="D1930" s="8" t="str">
        <f>HYPERLINK("http://npthd.inbcu.com/ViewContent.aspx?filename=NPMR_ABC_2017-07-14_E.MP4$4558$4588","ABC Summer Fun &amp; Games")</f>
        <v>ABC Summer Fun &amp; Games</v>
      </c>
      <c r="E1930" s="3" t="s">
        <v>38</v>
      </c>
      <c r="F1930" s="3" t="s">
        <v>2015</v>
      </c>
      <c r="G1930" s="3" t="s">
        <v>2016</v>
      </c>
    </row>
    <row r="1931" spans="1:7">
      <c r="A1931" s="6">
        <v>42930</v>
      </c>
      <c r="B1931" s="3" t="s">
        <v>13</v>
      </c>
      <c r="C1931" s="3" t="s">
        <v>14</v>
      </c>
      <c r="D1931" s="8" t="str">
        <f>HYPERLINK("http://npthd.inbcu.com/ViewContent.aspx?filename=NPMR_ABC_2017-07-14_E.MP4$4588$4603","Bachelorette")</f>
        <v>Bachelorette</v>
      </c>
      <c r="E1931" s="3" t="s">
        <v>30</v>
      </c>
      <c r="F1931" s="3" t="s">
        <v>2016</v>
      </c>
      <c r="G1931" s="3" t="s">
        <v>2017</v>
      </c>
    </row>
    <row r="1932" spans="1:7">
      <c r="A1932" s="6">
        <v>42930</v>
      </c>
      <c r="B1932" s="3" t="s">
        <v>13</v>
      </c>
      <c r="C1932" s="3" t="s">
        <v>18</v>
      </c>
      <c r="D1932" s="8" t="str">
        <f>HYPERLINK("http://npthd.inbcu.com/ViewContent.aspx?filename=NPMR_ABC_2017-07-14_E.MP4$4603$5129","WHAT WOULD YOU DO?:")</f>
        <v>WHAT WOULD YOU DO?:</v>
      </c>
      <c r="E1932" s="3" t="s">
        <v>775</v>
      </c>
      <c r="F1932" s="3" t="s">
        <v>2017</v>
      </c>
      <c r="G1932" s="3" t="s">
        <v>2018</v>
      </c>
    </row>
    <row r="1933" spans="1:7">
      <c r="A1933" s="6">
        <v>42930</v>
      </c>
      <c r="B1933" s="3" t="s">
        <v>13</v>
      </c>
      <c r="C1933" s="3" t="s">
        <v>21</v>
      </c>
      <c r="D1933" s="8" t="str">
        <f>HYPERLINK("http://npthd.inbcu.com/ViewContent.aspx?filename=NPMR_ABC_2017-07-14_E.MP4$5129$5325","COMMERCIAL")</f>
        <v>COMMERCIAL</v>
      </c>
      <c r="E1933" s="3" t="s">
        <v>812</v>
      </c>
      <c r="F1933" s="3" t="s">
        <v>2018</v>
      </c>
      <c r="G1933" s="3" t="s">
        <v>2019</v>
      </c>
    </row>
    <row r="1934" spans="1:7">
      <c r="A1934" s="6">
        <v>42930</v>
      </c>
      <c r="B1934" s="3" t="s">
        <v>13</v>
      </c>
      <c r="C1934" s="3" t="s">
        <v>14</v>
      </c>
      <c r="D1934" s="8" t="str">
        <f>HYPERLINK("http://npthd.inbcu.com/ViewContent.aspx?filename=NPMR_ABC_2017-07-14_E.MP4$5325$5330","Celebrity Family Feud")</f>
        <v>Celebrity Family Feud</v>
      </c>
      <c r="E1934" s="3" t="s">
        <v>54</v>
      </c>
      <c r="F1934" s="3" t="s">
        <v>2019</v>
      </c>
      <c r="G1934" s="3" t="s">
        <v>2020</v>
      </c>
    </row>
    <row r="1935" spans="1:7">
      <c r="A1935" s="6">
        <v>42930</v>
      </c>
      <c r="B1935" s="3" t="s">
        <v>13</v>
      </c>
      <c r="C1935" s="3" t="s">
        <v>14</v>
      </c>
      <c r="D1935" s="8" t="str">
        <f>HYPERLINK("http://npthd.inbcu.com/ViewContent.aspx?filename=NPMR_ABC_2017-07-14_E.MP4$5330$5360","World News Tonight")</f>
        <v>World News Tonight</v>
      </c>
      <c r="E1935" s="3" t="s">
        <v>38</v>
      </c>
      <c r="F1935" s="3" t="s">
        <v>2020</v>
      </c>
      <c r="G1935" s="3" t="s">
        <v>2021</v>
      </c>
    </row>
    <row r="1936" spans="1:7">
      <c r="A1936" s="6">
        <v>42930</v>
      </c>
      <c r="B1936" s="3" t="s">
        <v>13</v>
      </c>
      <c r="C1936" s="3" t="s">
        <v>32</v>
      </c>
      <c r="D1936" s="8" t="str">
        <f>HYPERLINK("http://npthd.inbcu.com/ViewContent.aspx?filename=NPMR_ABC_2017-07-14_E.MP4$5360$5421","LOCAL")</f>
        <v>LOCAL</v>
      </c>
      <c r="E1936" s="3" t="s">
        <v>33</v>
      </c>
      <c r="F1936" s="3" t="s">
        <v>2021</v>
      </c>
      <c r="G1936" s="3" t="s">
        <v>2022</v>
      </c>
    </row>
    <row r="1937" spans="1:7">
      <c r="A1937" s="6">
        <v>42930</v>
      </c>
      <c r="B1937" s="3" t="s">
        <v>13</v>
      </c>
      <c r="C1937" s="3" t="s">
        <v>18</v>
      </c>
      <c r="D1937" s="8" t="str">
        <f>HYPERLINK("http://npthd.inbcu.com/ViewContent.aspx?filename=NPMR_ABC_2017-07-14_E.MP4$5421$5867","WHAT WOULD YOU DO?:")</f>
        <v>WHAT WOULD YOU DO?:</v>
      </c>
      <c r="E1937" s="3" t="s">
        <v>2023</v>
      </c>
      <c r="F1937" s="3" t="s">
        <v>2022</v>
      </c>
      <c r="G1937" s="3" t="s">
        <v>2024</v>
      </c>
    </row>
    <row r="1938" spans="1:7">
      <c r="A1938" s="6">
        <v>42930</v>
      </c>
      <c r="B1938" s="3" t="s">
        <v>13</v>
      </c>
      <c r="C1938" s="3" t="s">
        <v>21</v>
      </c>
      <c r="D1938" s="8" t="str">
        <f>HYPERLINK("http://npthd.inbcu.com/ViewContent.aspx?filename=NPMR_ABC_2017-07-14_E.MP4$5867$5988","COMMERCIAL")</f>
        <v>COMMERCIAL</v>
      </c>
      <c r="E1938" s="3" t="s">
        <v>175</v>
      </c>
      <c r="F1938" s="3" t="s">
        <v>2024</v>
      </c>
      <c r="G1938" s="3" t="s">
        <v>2025</v>
      </c>
    </row>
    <row r="1939" spans="1:7">
      <c r="A1939" s="6">
        <v>42930</v>
      </c>
      <c r="B1939" s="3" t="s">
        <v>13</v>
      </c>
      <c r="C1939" s="3" t="s">
        <v>14</v>
      </c>
      <c r="D1939" s="8" t="str">
        <f>HYPERLINK("http://npthd.inbcu.com/ViewContent.aspx?filename=NPMR_ABC_2017-07-14_E.MP4$5988$6003","20/20")</f>
        <v>20/20</v>
      </c>
      <c r="E1939" s="3" t="s">
        <v>30</v>
      </c>
      <c r="F1939" s="3" t="s">
        <v>2025</v>
      </c>
      <c r="G1939" s="3" t="s">
        <v>1573</v>
      </c>
    </row>
    <row r="1940" spans="1:7">
      <c r="A1940" s="6">
        <v>42930</v>
      </c>
      <c r="B1940" s="3" t="s">
        <v>13</v>
      </c>
      <c r="C1940" s="3" t="s">
        <v>14</v>
      </c>
      <c r="D1940" s="8" t="str">
        <f>HYPERLINK("http://npthd.inbcu.com/ViewContent.aspx?filename=NPMR_ABC_2017-07-14_E.MP4$6003$6018","Good Morning America")</f>
        <v>Good Morning America</v>
      </c>
      <c r="E1940" s="3" t="s">
        <v>30</v>
      </c>
      <c r="F1940" s="3" t="s">
        <v>1573</v>
      </c>
      <c r="G1940" s="3" t="s">
        <v>2026</v>
      </c>
    </row>
    <row r="1941" spans="1:7">
      <c r="A1941" s="6">
        <v>42930</v>
      </c>
      <c r="B1941" s="3" t="s">
        <v>13</v>
      </c>
      <c r="C1941" s="3" t="s">
        <v>14</v>
      </c>
      <c r="D1941" s="8" t="str">
        <f>HYPERLINK("http://npthd.inbcu.com/ViewContent.aspx?filename=NPMR_ABC_2017-07-14_E.MP4$6018$6033","Descendants 2")</f>
        <v>Descendants 2</v>
      </c>
      <c r="E1941" s="3" t="s">
        <v>30</v>
      </c>
      <c r="F1941" s="3" t="s">
        <v>2026</v>
      </c>
      <c r="G1941" s="3" t="s">
        <v>2027</v>
      </c>
    </row>
    <row r="1942" spans="1:7">
      <c r="A1942" s="6">
        <v>42930</v>
      </c>
      <c r="B1942" s="3" t="s">
        <v>13</v>
      </c>
      <c r="C1942" s="3" t="s">
        <v>32</v>
      </c>
      <c r="D1942" s="8" t="str">
        <f>HYPERLINK("http://npthd.inbcu.com/ViewContent.aspx?filename=NPMR_ABC_2017-07-14_E.MP4$6033$6124","LOCAL")</f>
        <v>LOCAL</v>
      </c>
      <c r="E1942" s="3" t="s">
        <v>77</v>
      </c>
      <c r="F1942" s="3" t="s">
        <v>2027</v>
      </c>
      <c r="G1942" s="3" t="s">
        <v>2028</v>
      </c>
    </row>
    <row r="1943" spans="1:7">
      <c r="A1943" s="6">
        <v>42930</v>
      </c>
      <c r="B1943" s="3" t="s">
        <v>13</v>
      </c>
      <c r="C1943" s="3" t="s">
        <v>18</v>
      </c>
      <c r="D1943" s="8" t="str">
        <f>HYPERLINK("http://npthd.inbcu.com/ViewContent.aspx?filename=NPMR_ABC_2017-07-14_E.MP4$6124$6624","WHAT WOULD YOU DO?:")</f>
        <v>WHAT WOULD YOU DO?:</v>
      </c>
      <c r="E1943" s="3" t="s">
        <v>889</v>
      </c>
      <c r="F1943" s="3" t="s">
        <v>2028</v>
      </c>
      <c r="G1943" s="3" t="s">
        <v>2029</v>
      </c>
    </row>
    <row r="1944" spans="1:7">
      <c r="A1944" s="6">
        <v>42930</v>
      </c>
      <c r="B1944" s="3" t="s">
        <v>13</v>
      </c>
      <c r="C1944" s="3" t="s">
        <v>21</v>
      </c>
      <c r="D1944" s="8" t="str">
        <f>HYPERLINK("http://npthd.inbcu.com/ViewContent.aspx?filename=NPMR_ABC_2017-07-14_E.MP4$6624$6835","COMMERCIAL")</f>
        <v>COMMERCIAL</v>
      </c>
      <c r="E1944" s="3" t="s">
        <v>334</v>
      </c>
      <c r="F1944" s="3" t="s">
        <v>2029</v>
      </c>
      <c r="G1944" s="3" t="s">
        <v>2030</v>
      </c>
    </row>
    <row r="1945" spans="1:7">
      <c r="A1945" s="6">
        <v>42930</v>
      </c>
      <c r="B1945" s="3" t="s">
        <v>13</v>
      </c>
      <c r="C1945" s="3" t="s">
        <v>14</v>
      </c>
      <c r="D1945" s="8" t="str">
        <f>HYPERLINK("http://npthd.inbcu.com/ViewContent.aspx?filename=NPMR_ABC_2017-07-14_E.MP4$6835$6865","20/20")</f>
        <v>20/20</v>
      </c>
      <c r="E1945" s="3" t="s">
        <v>38</v>
      </c>
      <c r="F1945" s="3" t="s">
        <v>2030</v>
      </c>
      <c r="G1945" s="3" t="s">
        <v>2031</v>
      </c>
    </row>
    <row r="1946" spans="1:7">
      <c r="A1946" s="6">
        <v>42930</v>
      </c>
      <c r="B1946" s="3" t="s">
        <v>13</v>
      </c>
      <c r="C1946" s="3" t="s">
        <v>14</v>
      </c>
      <c r="D1946" s="8" t="str">
        <f>HYPERLINK("http://npthd.inbcu.com/ViewContent.aspx?filename=NPMR_ABC_2017-07-14_E.MP4$6865$6895","Somewhere Between")</f>
        <v>Somewhere Between</v>
      </c>
      <c r="E1946" s="3" t="s">
        <v>38</v>
      </c>
      <c r="F1946" s="3" t="s">
        <v>2031</v>
      </c>
      <c r="G1946" s="3" t="s">
        <v>2032</v>
      </c>
    </row>
    <row r="1947" spans="1:7">
      <c r="A1947" s="6">
        <v>42930</v>
      </c>
      <c r="B1947" s="3" t="s">
        <v>13</v>
      </c>
      <c r="C1947" s="3" t="s">
        <v>32</v>
      </c>
      <c r="D1947" s="8" t="str">
        <f>HYPERLINK("http://npthd.inbcu.com/ViewContent.aspx?filename=NPMR_ABC_2017-07-14_E.MP4$6895$6899","LOCAL")</f>
        <v>LOCAL</v>
      </c>
      <c r="E1947" s="3" t="s">
        <v>84</v>
      </c>
      <c r="F1947" s="3" t="s">
        <v>2032</v>
      </c>
      <c r="G1947" s="3" t="s">
        <v>2033</v>
      </c>
    </row>
    <row r="1948" spans="1:7">
      <c r="A1948" s="6">
        <v>42930</v>
      </c>
      <c r="B1948" s="3" t="s">
        <v>13</v>
      </c>
      <c r="C1948" s="3" t="s">
        <v>18</v>
      </c>
      <c r="D1948" s="8" t="str">
        <f>HYPERLINK("http://npthd.inbcu.com/ViewContent.aspx?filename=NPMR_ABC_2017-07-14_E.MP4$6899$7327","WHAT WOULD YOU DO?:")</f>
        <v>WHAT WOULD YOU DO?:</v>
      </c>
      <c r="E1948" s="3" t="s">
        <v>61</v>
      </c>
      <c r="F1948" s="3" t="s">
        <v>2033</v>
      </c>
      <c r="G1948" s="3" t="s">
        <v>87</v>
      </c>
    </row>
    <row r="1949" spans="1:7">
      <c r="A1949" s="6">
        <v>42930</v>
      </c>
      <c r="B1949" s="3" t="s">
        <v>13</v>
      </c>
      <c r="C1949" s="3" t="s">
        <v>18</v>
      </c>
      <c r="D1949" s="8" t="str">
        <f>HYPERLINK("http://npthd.inbcu.com/ViewContent.aspx?filename=NPMR_ABC_2017-07-14_E.MP4$7327$7933","20/20:")</f>
        <v>20/20:</v>
      </c>
      <c r="E1949" s="3" t="s">
        <v>2034</v>
      </c>
      <c r="F1949" s="3" t="s">
        <v>87</v>
      </c>
      <c r="G1949" s="3" t="s">
        <v>1370</v>
      </c>
    </row>
    <row r="1950" spans="1:7">
      <c r="A1950" s="6">
        <v>42930</v>
      </c>
      <c r="B1950" s="3" t="s">
        <v>13</v>
      </c>
      <c r="C1950" s="3" t="s">
        <v>21</v>
      </c>
      <c r="D1950" s="8" t="str">
        <f>HYPERLINK("http://npthd.inbcu.com/ViewContent.aspx?filename=NPMR_ABC_2017-07-14_E.MP4$7933$8114","COMMERCIAL")</f>
        <v>COMMERCIAL</v>
      </c>
      <c r="E1950" s="3" t="s">
        <v>108</v>
      </c>
      <c r="F1950" s="3" t="s">
        <v>1370</v>
      </c>
      <c r="G1950" s="3" t="s">
        <v>2035</v>
      </c>
    </row>
    <row r="1951" spans="1:7">
      <c r="A1951" s="6">
        <v>42930</v>
      </c>
      <c r="B1951" s="3" t="s">
        <v>13</v>
      </c>
      <c r="C1951" s="3" t="s">
        <v>14</v>
      </c>
      <c r="D1951" s="8" t="str">
        <f>HYPERLINK("http://npthd.inbcu.com/ViewContent.aspx?filename=NPMR_ABC_2017-07-14_E.MP4$8114$8144","World News Tonight")</f>
        <v>World News Tonight</v>
      </c>
      <c r="E1951" s="3" t="s">
        <v>38</v>
      </c>
      <c r="F1951" s="3" t="s">
        <v>2035</v>
      </c>
      <c r="G1951" s="3" t="s">
        <v>2036</v>
      </c>
    </row>
    <row r="1952" spans="1:7">
      <c r="A1952" s="6">
        <v>42930</v>
      </c>
      <c r="B1952" s="3" t="s">
        <v>13</v>
      </c>
      <c r="C1952" s="3" t="s">
        <v>18</v>
      </c>
      <c r="D1952" s="8" t="str">
        <f>HYPERLINK("http://npthd.inbcu.com/ViewContent.aspx?filename=NPMR_ABC_2017-07-14_E.MP4$8144$8623","20/20:")</f>
        <v>20/20:</v>
      </c>
      <c r="E1952" s="3" t="s">
        <v>1129</v>
      </c>
      <c r="F1952" s="3" t="s">
        <v>2036</v>
      </c>
      <c r="G1952" s="3" t="s">
        <v>1519</v>
      </c>
    </row>
    <row r="1953" spans="1:7">
      <c r="A1953" s="6">
        <v>42930</v>
      </c>
      <c r="B1953" s="3" t="s">
        <v>13</v>
      </c>
      <c r="C1953" s="3" t="s">
        <v>14</v>
      </c>
      <c r="D1953" s="8" t="str">
        <f>HYPERLINK("http://npthd.inbcu.com/ViewContent.aspx?filename=NPMR_ABC_2017-07-14_E.MP4$8623$8629","Funderdome")</f>
        <v>Funderdome</v>
      </c>
      <c r="E1953" s="3" t="s">
        <v>15</v>
      </c>
      <c r="F1953" s="3" t="s">
        <v>1519</v>
      </c>
      <c r="G1953" s="3" t="s">
        <v>2037</v>
      </c>
    </row>
    <row r="1954" spans="1:7">
      <c r="A1954" s="6">
        <v>42930</v>
      </c>
      <c r="B1954" s="3" t="s">
        <v>13</v>
      </c>
      <c r="C1954" s="3" t="s">
        <v>21</v>
      </c>
      <c r="D1954" s="8" t="str">
        <f>HYPERLINK("http://npthd.inbcu.com/ViewContent.aspx?filename=NPMR_ABC_2017-07-14_E.MP4$8629$8810","COMMERCIAL")</f>
        <v>COMMERCIAL</v>
      </c>
      <c r="E1954" s="3" t="s">
        <v>108</v>
      </c>
      <c r="F1954" s="3" t="s">
        <v>2037</v>
      </c>
      <c r="G1954" s="3" t="s">
        <v>2038</v>
      </c>
    </row>
    <row r="1955" spans="1:7">
      <c r="A1955" s="6">
        <v>42930</v>
      </c>
      <c r="B1955" s="3" t="s">
        <v>13</v>
      </c>
      <c r="C1955" s="3" t="s">
        <v>14</v>
      </c>
      <c r="D1955" s="8" t="str">
        <f>HYPERLINK("http://npthd.inbcu.com/ViewContent.aspx?filename=NPMR_ABC_2017-07-14_E.MP4$8810$8840","ABC Summer Fun &amp; Games")</f>
        <v>ABC Summer Fun &amp; Games</v>
      </c>
      <c r="E1955" s="3" t="s">
        <v>38</v>
      </c>
      <c r="F1955" s="3" t="s">
        <v>2038</v>
      </c>
      <c r="G1955" s="3" t="s">
        <v>2039</v>
      </c>
    </row>
    <row r="1956" spans="1:7">
      <c r="A1956" s="6">
        <v>42930</v>
      </c>
      <c r="B1956" s="3" t="s">
        <v>13</v>
      </c>
      <c r="C1956" s="3" t="s">
        <v>14</v>
      </c>
      <c r="D1956" s="8" t="str">
        <f>HYPERLINK("http://npthd.inbcu.com/ViewContent.aspx?filename=NPMR_ABC_2017-07-14_E.MP4$8840$8855","Good Morning America")</f>
        <v>Good Morning America</v>
      </c>
      <c r="E1956" s="3" t="s">
        <v>30</v>
      </c>
      <c r="F1956" s="3" t="s">
        <v>2039</v>
      </c>
      <c r="G1956" s="3" t="s">
        <v>294</v>
      </c>
    </row>
    <row r="1957" spans="1:7">
      <c r="A1957" s="6">
        <v>42930</v>
      </c>
      <c r="B1957" s="3" t="s">
        <v>13</v>
      </c>
      <c r="C1957" s="3" t="s">
        <v>18</v>
      </c>
      <c r="D1957" s="8" t="str">
        <f>HYPERLINK("http://npthd.inbcu.com/ViewContent.aspx?filename=NPMR_ABC_2017-07-14_E.MP4$8855$9272","20/20:")</f>
        <v>20/20:</v>
      </c>
      <c r="E1957" s="3" t="s">
        <v>2040</v>
      </c>
      <c r="F1957" s="3" t="s">
        <v>294</v>
      </c>
      <c r="G1957" s="3" t="s">
        <v>2041</v>
      </c>
    </row>
    <row r="1958" spans="1:7">
      <c r="A1958" s="6">
        <v>42930</v>
      </c>
      <c r="B1958" s="3" t="s">
        <v>13</v>
      </c>
      <c r="C1958" s="3" t="s">
        <v>21</v>
      </c>
      <c r="D1958" s="8" t="str">
        <f>HYPERLINK("http://npthd.inbcu.com/ViewContent.aspx?filename=NPMR_ABC_2017-07-14_E.MP4$9272$9392","COMMERCIAL")</f>
        <v>COMMERCIAL</v>
      </c>
      <c r="E1958" s="3" t="s">
        <v>43</v>
      </c>
      <c r="F1958" s="3" t="s">
        <v>2041</v>
      </c>
      <c r="G1958" s="3" t="s">
        <v>2042</v>
      </c>
    </row>
    <row r="1959" spans="1:7">
      <c r="A1959" s="6">
        <v>42930</v>
      </c>
      <c r="B1959" s="3" t="s">
        <v>13</v>
      </c>
      <c r="C1959" s="3" t="s">
        <v>14</v>
      </c>
      <c r="D1959" s="8" t="str">
        <f>HYPERLINK("http://npthd.inbcu.com/ViewContent.aspx?filename=NPMR_ABC_2017-07-14_E.MP4$9392$9423","Somewhere Between")</f>
        <v>Somewhere Between</v>
      </c>
      <c r="E1959" s="3" t="s">
        <v>98</v>
      </c>
      <c r="F1959" s="3" t="s">
        <v>2042</v>
      </c>
      <c r="G1959" s="3" t="s">
        <v>2043</v>
      </c>
    </row>
    <row r="1960" spans="1:7">
      <c r="A1960" s="6">
        <v>42930</v>
      </c>
      <c r="B1960" s="3" t="s">
        <v>13</v>
      </c>
      <c r="C1960" s="3" t="s">
        <v>32</v>
      </c>
      <c r="D1960" s="8" t="str">
        <f>HYPERLINK("http://npthd.inbcu.com/ViewContent.aspx?filename=NPMR_ABC_2017-07-14_E.MP4$9423$9528","LOCAL")</f>
        <v>LOCAL</v>
      </c>
      <c r="E1960" s="3" t="s">
        <v>199</v>
      </c>
      <c r="F1960" s="3" t="s">
        <v>2043</v>
      </c>
      <c r="G1960" s="3" t="s">
        <v>2044</v>
      </c>
    </row>
    <row r="1961" spans="1:7">
      <c r="A1961" s="6">
        <v>42930</v>
      </c>
      <c r="B1961" s="3" t="s">
        <v>13</v>
      </c>
      <c r="C1961" s="3" t="s">
        <v>18</v>
      </c>
      <c r="D1961" s="8" t="str">
        <f>HYPERLINK("http://npthd.inbcu.com/ViewContent.aspx?filename=NPMR_ABC_2017-07-14_E.MP4$9528$9865","20/20:")</f>
        <v>20/20:</v>
      </c>
      <c r="E1961" s="3" t="s">
        <v>2045</v>
      </c>
      <c r="F1961" s="3" t="s">
        <v>2044</v>
      </c>
      <c r="G1961" s="3" t="s">
        <v>2046</v>
      </c>
    </row>
    <row r="1962" spans="1:7">
      <c r="A1962" s="6">
        <v>42930</v>
      </c>
      <c r="B1962" s="3" t="s">
        <v>13</v>
      </c>
      <c r="C1962" s="3" t="s">
        <v>21</v>
      </c>
      <c r="D1962" s="8" t="str">
        <f>HYPERLINK("http://npthd.inbcu.com/ViewContent.aspx?filename=NPMR_ABC_2017-07-14_E.MP4$9865$9956","COMMERCIAL")</f>
        <v>COMMERCIAL</v>
      </c>
      <c r="E1962" s="3" t="s">
        <v>77</v>
      </c>
      <c r="F1962" s="3" t="s">
        <v>2046</v>
      </c>
      <c r="G1962" s="3" t="s">
        <v>768</v>
      </c>
    </row>
    <row r="1963" spans="1:7">
      <c r="A1963" s="6">
        <v>42930</v>
      </c>
      <c r="B1963" s="3" t="s">
        <v>13</v>
      </c>
      <c r="C1963" s="3" t="s">
        <v>14</v>
      </c>
      <c r="D1963" s="8" t="str">
        <f>HYPERLINK("http://npthd.inbcu.com/ViewContent.aspx?filename=NPMR_ABC_2017-07-14_E.MP4$9956$9971","Good Morning America")</f>
        <v>Good Morning America</v>
      </c>
      <c r="E1963" s="3" t="s">
        <v>30</v>
      </c>
      <c r="F1963" s="3" t="s">
        <v>768</v>
      </c>
      <c r="G1963" s="3" t="s">
        <v>1528</v>
      </c>
    </row>
    <row r="1964" spans="1:7">
      <c r="A1964" s="6">
        <v>42930</v>
      </c>
      <c r="B1964" s="3" t="s">
        <v>13</v>
      </c>
      <c r="C1964" s="3" t="s">
        <v>14</v>
      </c>
      <c r="D1964" s="8" t="str">
        <f>HYPERLINK("http://npthd.inbcu.com/ViewContent.aspx?filename=NPMR_ABC_2017-07-14_E.MP4$9971$9986","World News Tonight")</f>
        <v>World News Tonight</v>
      </c>
      <c r="E1964" s="3" t="s">
        <v>30</v>
      </c>
      <c r="F1964" s="3" t="s">
        <v>1528</v>
      </c>
      <c r="G1964" s="3" t="s">
        <v>1529</v>
      </c>
    </row>
    <row r="1965" spans="1:7">
      <c r="A1965" s="6">
        <v>42930</v>
      </c>
      <c r="B1965" s="3" t="s">
        <v>13</v>
      </c>
      <c r="C1965" s="3" t="s">
        <v>14</v>
      </c>
      <c r="D1965" s="8" t="str">
        <f>HYPERLINK("http://npthd.inbcu.com/ViewContent.aspx?filename=NPMR_ABC_2017-07-14_E.MP4$9986$10016","Good Doctor, The")</f>
        <v>Good Doctor, The</v>
      </c>
      <c r="E1965" s="3" t="s">
        <v>38</v>
      </c>
      <c r="F1965" s="3" t="s">
        <v>1529</v>
      </c>
      <c r="G1965" s="3" t="s">
        <v>1813</v>
      </c>
    </row>
    <row r="1966" spans="1:7">
      <c r="A1966" s="6">
        <v>42930</v>
      </c>
      <c r="B1966" s="3" t="s">
        <v>13</v>
      </c>
      <c r="C1966" s="3" t="s">
        <v>32</v>
      </c>
      <c r="D1966" s="8" t="str">
        <f>HYPERLINK("http://npthd.inbcu.com/ViewContent.aspx?filename=NPMR_ABC_2017-07-14_E.MP4$10016$10107","LOCAL")</f>
        <v>LOCAL</v>
      </c>
      <c r="E1966" s="3" t="s">
        <v>77</v>
      </c>
      <c r="F1966" s="3" t="s">
        <v>1813</v>
      </c>
      <c r="G1966" s="3" t="s">
        <v>2047</v>
      </c>
    </row>
    <row r="1967" spans="1:7">
      <c r="A1967" s="6">
        <v>42930</v>
      </c>
      <c r="B1967" s="3" t="s">
        <v>13</v>
      </c>
      <c r="C1967" s="3" t="s">
        <v>18</v>
      </c>
      <c r="D1967" s="8" t="str">
        <f>HYPERLINK("http://npthd.inbcu.com/ViewContent.aspx?filename=NPMR_ABC_2017-07-14_E.MP4$10107$10443","20/20:")</f>
        <v>20/20:</v>
      </c>
      <c r="E1967" s="3" t="s">
        <v>2048</v>
      </c>
      <c r="F1967" s="3" t="s">
        <v>2047</v>
      </c>
      <c r="G1967" s="3" t="s">
        <v>2049</v>
      </c>
    </row>
    <row r="1968" spans="1:7">
      <c r="A1968" s="6">
        <v>42930</v>
      </c>
      <c r="B1968" s="3" t="s">
        <v>13</v>
      </c>
      <c r="C1968" s="3" t="s">
        <v>32</v>
      </c>
      <c r="D1968" s="8" t="str">
        <f>HYPERLINK("http://npthd.inbcu.com/ViewContent.aspx?filename=NPMR_ABC_2017-07-14_E.MP4$10443$10460","LOCAL")</f>
        <v>LOCAL</v>
      </c>
      <c r="E1968" s="3" t="s">
        <v>576</v>
      </c>
      <c r="F1968" s="3" t="s">
        <v>2049</v>
      </c>
      <c r="G1968" s="3" t="s">
        <v>2050</v>
      </c>
    </row>
    <row r="1969" spans="1:7">
      <c r="A1969" s="6">
        <v>42930</v>
      </c>
      <c r="B1969" s="3" t="s">
        <v>13</v>
      </c>
      <c r="C1969" s="3" t="s">
        <v>21</v>
      </c>
      <c r="D1969" s="8" t="str">
        <f>HYPERLINK("http://npthd.inbcu.com/ViewContent.aspx?filename=NPMR_ABC_2017-07-14_E.MP4$10460$10671","COMMERCIAL")</f>
        <v>COMMERCIAL</v>
      </c>
      <c r="E1969" s="3" t="s">
        <v>334</v>
      </c>
      <c r="F1969" s="3" t="s">
        <v>2050</v>
      </c>
      <c r="G1969" s="3" t="s">
        <v>2051</v>
      </c>
    </row>
    <row r="1970" spans="1:7">
      <c r="A1970" s="6">
        <v>42930</v>
      </c>
      <c r="B1970" s="3" t="s">
        <v>13</v>
      </c>
      <c r="C1970" s="3" t="s">
        <v>18</v>
      </c>
      <c r="D1970" s="8" t="str">
        <f>HYPERLINK("http://npthd.inbcu.com/ViewContent.aspx?filename=NPMR_ABC_2017-07-14_E.MP4$10671$10906","20/20:")</f>
        <v>20/20:</v>
      </c>
      <c r="E1970" s="3" t="s">
        <v>2052</v>
      </c>
      <c r="F1970" s="3" t="s">
        <v>2051</v>
      </c>
      <c r="G1970" s="3" t="s">
        <v>216</v>
      </c>
    </row>
    <row r="1971" spans="1:7">
      <c r="A1971" s="6">
        <v>42930</v>
      </c>
      <c r="B1971" s="3" t="s">
        <v>13</v>
      </c>
      <c r="C1971" s="3" t="s">
        <v>14</v>
      </c>
      <c r="D1971" s="8" t="str">
        <f>HYPERLINK("http://npthd.inbcu.com/ViewContent.aspx?filename=NPMR_ABC_2017-07-14_E.MP4$10906$10912","Funderdome")</f>
        <v>Funderdome</v>
      </c>
      <c r="E1971" s="3" t="s">
        <v>15</v>
      </c>
      <c r="F1971" s="3" t="s">
        <v>216</v>
      </c>
      <c r="G1971" s="3" t="s">
        <v>698</v>
      </c>
    </row>
    <row r="1972" spans="1:7">
      <c r="A1972" s="6">
        <v>42930</v>
      </c>
      <c r="B1972" s="3" t="s">
        <v>13</v>
      </c>
      <c r="C1972" s="3" t="s">
        <v>32</v>
      </c>
      <c r="D1972" s="8" t="str">
        <f>HYPERLINK("http://npthd.inbcu.com/ViewContent.aspx?filename=NPMR_ABC_2017-07-14_E.MP4$10912$10926","LOCAL")</f>
        <v>LOCAL</v>
      </c>
      <c r="E1972" s="3" t="s">
        <v>342</v>
      </c>
      <c r="F1972" s="3" t="s">
        <v>698</v>
      </c>
      <c r="G1972" s="3" t="s">
        <v>124</v>
      </c>
    </row>
    <row r="1973" spans="1:7">
      <c r="A1973" s="6">
        <v>42931</v>
      </c>
      <c r="B1973" s="3" t="s">
        <v>13</v>
      </c>
      <c r="C1973" s="3" t="s">
        <v>14</v>
      </c>
      <c r="D1973" s="8" t="str">
        <f>HYPERLINK("http://npthd.inbcu.com/ViewContent.aspx?filename=NPMR_ABC_2017-07-15_E.MP4$119$124","ABC Open")</f>
        <v>ABC Open</v>
      </c>
      <c r="E1973" s="3" t="s">
        <v>54</v>
      </c>
      <c r="F1973" s="3" t="s">
        <v>16</v>
      </c>
      <c r="G1973" s="3" t="s">
        <v>125</v>
      </c>
    </row>
    <row r="1974" spans="1:7">
      <c r="A1974" s="6">
        <v>42931</v>
      </c>
      <c r="B1974" s="3" t="s">
        <v>13</v>
      </c>
      <c r="C1974" s="3" t="s">
        <v>18</v>
      </c>
      <c r="D1974" s="8" t="str">
        <f>HYPERLINK("http://npthd.inbcu.com/ViewContent.aspx?filename=NPMR_ABC_2017-07-15_E.MP4$124$694","20/20: IN AN INSTANT: home invasion horror")</f>
        <v>20/20: IN AN INSTANT: home invasion horror</v>
      </c>
      <c r="E1974" s="3" t="s">
        <v>3283</v>
      </c>
      <c r="F1974" s="3" t="s">
        <v>125</v>
      </c>
      <c r="G1974" s="3" t="s">
        <v>4665</v>
      </c>
    </row>
    <row r="1975" spans="1:7">
      <c r="A1975" s="6">
        <v>42931</v>
      </c>
      <c r="B1975" s="3" t="s">
        <v>13</v>
      </c>
      <c r="C1975" s="3" t="s">
        <v>21</v>
      </c>
      <c r="D1975" s="8" t="str">
        <f>HYPERLINK("http://npthd.inbcu.com/ViewContent.aspx?filename=NPMR_ABC_2017-07-15_E.MP4$694$844","COMMERCIAL")</f>
        <v>COMMERCIAL</v>
      </c>
      <c r="E1975" s="3" t="s">
        <v>28</v>
      </c>
      <c r="F1975" s="3" t="s">
        <v>4665</v>
      </c>
      <c r="G1975" s="3" t="s">
        <v>701</v>
      </c>
    </row>
    <row r="1976" spans="1:7">
      <c r="A1976" s="6">
        <v>42931</v>
      </c>
      <c r="B1976" s="3" t="s">
        <v>13</v>
      </c>
      <c r="C1976" s="3" t="s">
        <v>14</v>
      </c>
      <c r="D1976" s="8" t="str">
        <f>HYPERLINK("http://npthd.inbcu.com/ViewContent.aspx?filename=NPMR_ABC_2017-07-15_E.MP4$844$874","ABC Sunday")</f>
        <v>ABC Sunday</v>
      </c>
      <c r="E1976" s="3" t="s">
        <v>38</v>
      </c>
      <c r="F1976" s="3" t="s">
        <v>701</v>
      </c>
      <c r="G1976" s="3" t="s">
        <v>702</v>
      </c>
    </row>
    <row r="1977" spans="1:7">
      <c r="A1977" s="6">
        <v>42931</v>
      </c>
      <c r="B1977" s="3" t="s">
        <v>13</v>
      </c>
      <c r="C1977" s="3" t="s">
        <v>14</v>
      </c>
      <c r="D1977" s="8" t="str">
        <f>HYPERLINK("http://npthd.inbcu.com/ViewContent.aspx?filename=NPMR_ABC_2017-07-15_E.MP4$874$904","Bachelorette")</f>
        <v>Bachelorette</v>
      </c>
      <c r="E1977" s="3" t="s">
        <v>38</v>
      </c>
      <c r="F1977" s="3" t="s">
        <v>702</v>
      </c>
      <c r="G1977" s="3" t="s">
        <v>703</v>
      </c>
    </row>
    <row r="1978" spans="1:7">
      <c r="A1978" s="6">
        <v>42931</v>
      </c>
      <c r="B1978" s="3" t="s">
        <v>13</v>
      </c>
      <c r="C1978" s="3" t="s">
        <v>14</v>
      </c>
      <c r="D1978" s="8" t="str">
        <f>HYPERLINK("http://npthd.inbcu.com/ViewContent.aspx?filename=NPMR_ABC_2017-07-15_E.MP4$904$919","Good Morning America")</f>
        <v>Good Morning America</v>
      </c>
      <c r="E1978" s="3" t="s">
        <v>30</v>
      </c>
      <c r="F1978" s="3" t="s">
        <v>703</v>
      </c>
      <c r="G1978" s="3" t="s">
        <v>3917</v>
      </c>
    </row>
    <row r="1979" spans="1:7">
      <c r="A1979" s="6">
        <v>42931</v>
      </c>
      <c r="B1979" s="3" t="s">
        <v>13</v>
      </c>
      <c r="C1979" s="3" t="s">
        <v>18</v>
      </c>
      <c r="D1979" s="8" t="str">
        <f>HYPERLINK("http://npthd.inbcu.com/ViewContent.aspx?filename=NPMR_ABC_2017-07-15_E.MP4$919$1228","20/20: IN AN INSTANT: home invasion horror")</f>
        <v>20/20: IN AN INSTANT: home invasion horror</v>
      </c>
      <c r="E1979" s="3" t="s">
        <v>480</v>
      </c>
      <c r="F1979" s="3" t="s">
        <v>3917</v>
      </c>
      <c r="G1979" s="3" t="s">
        <v>5300</v>
      </c>
    </row>
    <row r="1980" spans="1:7">
      <c r="A1980" s="6">
        <v>42931</v>
      </c>
      <c r="B1980" s="3" t="s">
        <v>13</v>
      </c>
      <c r="C1980" s="3" t="s">
        <v>21</v>
      </c>
      <c r="D1980" s="8" t="str">
        <f>HYPERLINK("http://npthd.inbcu.com/ViewContent.aspx?filename=NPMR_ABC_2017-07-15_E.MP4$1228$1349","COMMERCIAL")</f>
        <v>COMMERCIAL</v>
      </c>
      <c r="E1980" s="3" t="s">
        <v>175</v>
      </c>
      <c r="F1980" s="3" t="s">
        <v>5300</v>
      </c>
      <c r="G1980" s="3" t="s">
        <v>5301</v>
      </c>
    </row>
    <row r="1981" spans="1:7">
      <c r="A1981" s="6">
        <v>42931</v>
      </c>
      <c r="B1981" s="3" t="s">
        <v>13</v>
      </c>
      <c r="C1981" s="3" t="s">
        <v>14</v>
      </c>
      <c r="D1981" s="8" t="str">
        <f>HYPERLINK("http://npthd.inbcu.com/ViewContent.aspx?filename=NPMR_ABC_2017-07-15_E.MP4$1349$1379","Battle of the Network Stars")</f>
        <v>Battle of the Network Stars</v>
      </c>
      <c r="E1981" s="3" t="s">
        <v>38</v>
      </c>
      <c r="F1981" s="3" t="s">
        <v>5301</v>
      </c>
      <c r="G1981" s="3" t="s">
        <v>3560</v>
      </c>
    </row>
    <row r="1982" spans="1:7">
      <c r="A1982" s="6">
        <v>42931</v>
      </c>
      <c r="B1982" s="3" t="s">
        <v>13</v>
      </c>
      <c r="C1982" s="3" t="s">
        <v>14</v>
      </c>
      <c r="D1982" s="8" t="str">
        <f>HYPERLINK("http://npthd.inbcu.com/ViewContent.aspx?filename=NPMR_ABC_2017-07-15_E.MP4$1379$1409","Good Doctor, The")</f>
        <v>Good Doctor, The</v>
      </c>
      <c r="E1982" s="3" t="s">
        <v>38</v>
      </c>
      <c r="F1982" s="3" t="s">
        <v>3560</v>
      </c>
      <c r="G1982" s="3" t="s">
        <v>4190</v>
      </c>
    </row>
    <row r="1983" spans="1:7">
      <c r="A1983" s="6">
        <v>42931</v>
      </c>
      <c r="B1983" s="3" t="s">
        <v>13</v>
      </c>
      <c r="C1983" s="3" t="s">
        <v>32</v>
      </c>
      <c r="D1983" s="8" t="str">
        <f>HYPERLINK("http://npthd.inbcu.com/ViewContent.aspx?filename=NPMR_ABC_2017-07-15_E.MP4$1409$1472","LOCAL")</f>
        <v>LOCAL</v>
      </c>
      <c r="E1983" s="3" t="s">
        <v>1344</v>
      </c>
      <c r="F1983" s="3" t="s">
        <v>4190</v>
      </c>
      <c r="G1983" s="3" t="s">
        <v>781</v>
      </c>
    </row>
    <row r="1984" spans="1:7">
      <c r="A1984" s="6">
        <v>42931</v>
      </c>
      <c r="B1984" s="3" t="s">
        <v>13</v>
      </c>
      <c r="C1984" s="3" t="s">
        <v>18</v>
      </c>
      <c r="D1984" s="8" t="str">
        <f>HYPERLINK("http://npthd.inbcu.com/ViewContent.aspx?filename=NPMR_ABC_2017-07-15_E.MP4$1472$2021","20/20: IN AN INSTANT: home invasion horror")</f>
        <v>20/20: IN AN INSTANT: home invasion horror</v>
      </c>
      <c r="E1984" s="3" t="s">
        <v>41</v>
      </c>
      <c r="F1984" s="3" t="s">
        <v>781</v>
      </c>
      <c r="G1984" s="3" t="s">
        <v>5302</v>
      </c>
    </row>
    <row r="1985" spans="1:7">
      <c r="A1985" s="6">
        <v>42931</v>
      </c>
      <c r="B1985" s="3" t="s">
        <v>13</v>
      </c>
      <c r="C1985" s="3" t="s">
        <v>21</v>
      </c>
      <c r="D1985" s="8" t="str">
        <f>HYPERLINK("http://npthd.inbcu.com/ViewContent.aspx?filename=NPMR_ABC_2017-07-15_E.MP4$2021$2202","COMMERCIAL")</f>
        <v>COMMERCIAL</v>
      </c>
      <c r="E1985" s="3" t="s">
        <v>108</v>
      </c>
      <c r="F1985" s="3" t="s">
        <v>5302</v>
      </c>
      <c r="G1985" s="3" t="s">
        <v>5303</v>
      </c>
    </row>
    <row r="1986" spans="1:7">
      <c r="A1986" s="6">
        <v>42931</v>
      </c>
      <c r="B1986" s="3" t="s">
        <v>13</v>
      </c>
      <c r="C1986" s="3" t="s">
        <v>1618</v>
      </c>
      <c r="D1986" s="8" t="str">
        <f>HYPERLINK("http://npthd.inbcu.com/ViewContent.aspx?filename=NPMR_ABC_2017-07-15_E.MP4$2202$2232","PSA")</f>
        <v>PSA</v>
      </c>
      <c r="E1986" s="3" t="s">
        <v>38</v>
      </c>
      <c r="F1986" s="3" t="s">
        <v>5303</v>
      </c>
      <c r="G1986" s="3" t="s">
        <v>5304</v>
      </c>
    </row>
    <row r="1987" spans="1:7">
      <c r="A1987" s="6">
        <v>42931</v>
      </c>
      <c r="B1987" s="3" t="s">
        <v>13</v>
      </c>
      <c r="C1987" s="3" t="s">
        <v>14</v>
      </c>
      <c r="D1987" s="8" t="str">
        <f>HYPERLINK("http://npthd.inbcu.com/ViewContent.aspx?filename=NPMR_ABC_2017-07-15_E.MP4$2232$2262","World News Tonight")</f>
        <v>World News Tonight</v>
      </c>
      <c r="E1987" s="3" t="s">
        <v>38</v>
      </c>
      <c r="F1987" s="3" t="s">
        <v>5304</v>
      </c>
      <c r="G1987" s="3" t="s">
        <v>5305</v>
      </c>
    </row>
    <row r="1988" spans="1:7">
      <c r="A1988" s="6">
        <v>42931</v>
      </c>
      <c r="B1988" s="3" t="s">
        <v>13</v>
      </c>
      <c r="C1988" s="3" t="s">
        <v>14</v>
      </c>
      <c r="D1988" s="8" t="str">
        <f>HYPERLINK("http://npthd.inbcu.com/ViewContent.aspx?filename=NPMR_ABC_2017-07-15_E.MP4$2262$2292","Somewhere Between")</f>
        <v>Somewhere Between</v>
      </c>
      <c r="E1988" s="3" t="s">
        <v>38</v>
      </c>
      <c r="F1988" s="3" t="s">
        <v>5305</v>
      </c>
      <c r="G1988" s="3" t="s">
        <v>709</v>
      </c>
    </row>
    <row r="1989" spans="1:7">
      <c r="A1989" s="6">
        <v>42931</v>
      </c>
      <c r="B1989" s="3" t="s">
        <v>13</v>
      </c>
      <c r="C1989" s="3" t="s">
        <v>18</v>
      </c>
      <c r="D1989" s="8" t="str">
        <f>HYPERLINK("http://npthd.inbcu.com/ViewContent.aspx?filename=NPMR_ABC_2017-07-15_E.MP4$2292$2939","20/20: IN AN INSTANT: home invasion horror")</f>
        <v>20/20: IN AN INSTANT: home invasion horror</v>
      </c>
      <c r="E1989" s="3" t="s">
        <v>852</v>
      </c>
      <c r="F1989" s="3" t="s">
        <v>709</v>
      </c>
      <c r="G1989" s="3" t="s">
        <v>1328</v>
      </c>
    </row>
    <row r="1990" spans="1:7">
      <c r="A1990" s="6">
        <v>42931</v>
      </c>
      <c r="B1990" s="3" t="s">
        <v>13</v>
      </c>
      <c r="C1990" s="3" t="s">
        <v>21</v>
      </c>
      <c r="D1990" s="8" t="str">
        <f>HYPERLINK("http://npthd.inbcu.com/ViewContent.aspx?filename=NPMR_ABC_2017-07-15_E.MP4$2939$3029","COMMERCIAL")</f>
        <v>COMMERCIAL</v>
      </c>
      <c r="E1990" s="3" t="s">
        <v>46</v>
      </c>
      <c r="F1990" s="3" t="s">
        <v>1328</v>
      </c>
      <c r="G1990" s="3" t="s">
        <v>5306</v>
      </c>
    </row>
    <row r="1991" spans="1:7">
      <c r="A1991" s="6">
        <v>42931</v>
      </c>
      <c r="B1991" s="3" t="s">
        <v>13</v>
      </c>
      <c r="C1991" s="3" t="s">
        <v>14</v>
      </c>
      <c r="D1991" s="8" t="str">
        <f>HYPERLINK("http://npthd.inbcu.com/ViewContent.aspx?filename=NPMR_ABC_2017-07-15_E.MP4$3029$3044","Good Morning America")</f>
        <v>Good Morning America</v>
      </c>
      <c r="E1991" s="3" t="s">
        <v>30</v>
      </c>
      <c r="F1991" s="3" t="s">
        <v>5306</v>
      </c>
      <c r="G1991" s="3" t="s">
        <v>5307</v>
      </c>
    </row>
    <row r="1992" spans="1:7">
      <c r="A1992" s="6">
        <v>42931</v>
      </c>
      <c r="B1992" s="3" t="s">
        <v>13</v>
      </c>
      <c r="C1992" s="3" t="s">
        <v>14</v>
      </c>
      <c r="D1992" s="8" t="str">
        <f>HYPERLINK("http://npthd.inbcu.com/ViewContent.aspx?filename=NPMR_ABC_2017-07-15_E.MP4$3044$3059","World News Tonight")</f>
        <v>World News Tonight</v>
      </c>
      <c r="E1992" s="3" t="s">
        <v>30</v>
      </c>
      <c r="F1992" s="3" t="s">
        <v>5307</v>
      </c>
      <c r="G1992" s="3" t="s">
        <v>5308</v>
      </c>
    </row>
    <row r="1993" spans="1:7">
      <c r="A1993" s="6">
        <v>42931</v>
      </c>
      <c r="B1993" s="3" t="s">
        <v>13</v>
      </c>
      <c r="C1993" s="3" t="s">
        <v>14</v>
      </c>
      <c r="D1993" s="8" t="str">
        <f>HYPERLINK("http://npthd.inbcu.com/ViewContent.aspx?filename=NPMR_ABC_2017-07-15_E.MP4$3059$3074","This Week")</f>
        <v>This Week</v>
      </c>
      <c r="E1993" s="3" t="s">
        <v>30</v>
      </c>
      <c r="F1993" s="3" t="s">
        <v>5308</v>
      </c>
      <c r="G1993" s="3" t="s">
        <v>5309</v>
      </c>
    </row>
    <row r="1994" spans="1:7">
      <c r="A1994" s="6">
        <v>42931</v>
      </c>
      <c r="B1994" s="3" t="s">
        <v>13</v>
      </c>
      <c r="C1994" s="3" t="s">
        <v>14</v>
      </c>
      <c r="D1994" s="8" t="str">
        <f>HYPERLINK("http://npthd.inbcu.com/ViewContent.aspx?filename=NPMR_ABC_2017-07-15_E.MP4$3074$3104","Bachelorette")</f>
        <v>Bachelorette</v>
      </c>
      <c r="E1994" s="3" t="s">
        <v>38</v>
      </c>
      <c r="F1994" s="3" t="s">
        <v>5309</v>
      </c>
      <c r="G1994" s="3" t="s">
        <v>5310</v>
      </c>
    </row>
    <row r="1995" spans="1:7">
      <c r="A1995" s="6">
        <v>42931</v>
      </c>
      <c r="B1995" s="3" t="s">
        <v>13</v>
      </c>
      <c r="C1995" s="3" t="s">
        <v>32</v>
      </c>
      <c r="D1995" s="8" t="str">
        <f>HYPERLINK("http://npthd.inbcu.com/ViewContent.aspx?filename=NPMR_ABC_2017-07-15_E.MP4$3104$3196","LOCAL")</f>
        <v>LOCAL</v>
      </c>
      <c r="E1995" s="3" t="s">
        <v>267</v>
      </c>
      <c r="F1995" s="3" t="s">
        <v>5310</v>
      </c>
      <c r="G1995" s="3" t="s">
        <v>2077</v>
      </c>
    </row>
    <row r="1996" spans="1:7">
      <c r="A1996" s="6">
        <v>42931</v>
      </c>
      <c r="B1996" s="3" t="s">
        <v>13</v>
      </c>
      <c r="C1996" s="3" t="s">
        <v>18</v>
      </c>
      <c r="D1996" s="8" t="str">
        <f>HYPERLINK("http://npthd.inbcu.com/ViewContent.aspx?filename=NPMR_ABC_2017-07-15_E.MP4$3196$3522","20/20: IN AN INSTANT: home invasion horror")</f>
        <v>20/20: IN AN INSTANT: home invasion horror</v>
      </c>
      <c r="E1996" s="3" t="s">
        <v>1215</v>
      </c>
      <c r="F1996" s="3" t="s">
        <v>2077</v>
      </c>
      <c r="G1996" s="3" t="s">
        <v>5311</v>
      </c>
    </row>
    <row r="1997" spans="1:7">
      <c r="A1997" s="6">
        <v>42931</v>
      </c>
      <c r="B1997" s="3" t="s">
        <v>13</v>
      </c>
      <c r="C1997" s="3" t="s">
        <v>21</v>
      </c>
      <c r="D1997" s="8" t="str">
        <f>HYPERLINK("http://npthd.inbcu.com/ViewContent.aspx?filename=NPMR_ABC_2017-07-15_E.MP4$3522$3703","COMMERCIAL")</f>
        <v>COMMERCIAL</v>
      </c>
      <c r="E1997" s="3" t="s">
        <v>108</v>
      </c>
      <c r="F1997" s="3" t="s">
        <v>5311</v>
      </c>
      <c r="G1997" s="3" t="s">
        <v>5059</v>
      </c>
    </row>
    <row r="1998" spans="1:7">
      <c r="A1998" s="6">
        <v>42931</v>
      </c>
      <c r="B1998" s="3" t="s">
        <v>13</v>
      </c>
      <c r="C1998" s="3" t="s">
        <v>14</v>
      </c>
      <c r="D1998" s="8" t="str">
        <f>HYPERLINK("http://npthd.inbcu.com/ViewContent.aspx?filename=NPMR_ABC_2017-07-15_E.MP4$3703$3748","CMA Music Festival")</f>
        <v>CMA Music Festival</v>
      </c>
      <c r="E1998" s="3" t="s">
        <v>1143</v>
      </c>
      <c r="F1998" s="3" t="s">
        <v>5059</v>
      </c>
      <c r="G1998" s="3" t="s">
        <v>5312</v>
      </c>
    </row>
    <row r="1999" spans="1:7">
      <c r="A1999" s="6">
        <v>42931</v>
      </c>
      <c r="B1999" s="3" t="s">
        <v>13</v>
      </c>
      <c r="C1999" s="3" t="s">
        <v>14</v>
      </c>
      <c r="D1999" s="8" t="str">
        <f>HYPERLINK("http://npthd.inbcu.com/ViewContent.aspx?filename=NPMR_ABC_2017-07-15_E.MP4$3748$3808","Good Doctor, The")</f>
        <v>Good Doctor, The</v>
      </c>
      <c r="E1999" s="3" t="s">
        <v>66</v>
      </c>
      <c r="F1999" s="3" t="s">
        <v>5312</v>
      </c>
      <c r="G1999" s="3" t="s">
        <v>5313</v>
      </c>
    </row>
    <row r="2000" spans="1:7">
      <c r="A2000" s="6">
        <v>42931</v>
      </c>
      <c r="B2000" s="3" t="s">
        <v>13</v>
      </c>
      <c r="C2000" s="3" t="s">
        <v>32</v>
      </c>
      <c r="D2000" s="8" t="str">
        <f>HYPERLINK("http://npthd.inbcu.com/ViewContent.aspx?filename=NPMR_ABC_2017-07-15_E.MP4$3808$3813","LOCAL")</f>
        <v>LOCAL</v>
      </c>
      <c r="E2000" s="3" t="s">
        <v>54</v>
      </c>
      <c r="F2000" s="3" t="s">
        <v>5313</v>
      </c>
      <c r="G2000" s="3" t="s">
        <v>5314</v>
      </c>
    </row>
    <row r="2001" spans="1:7">
      <c r="A2001" s="6">
        <v>42931</v>
      </c>
      <c r="B2001" s="3" t="s">
        <v>13</v>
      </c>
      <c r="C2001" s="3" t="s">
        <v>18</v>
      </c>
      <c r="D2001" s="8" t="str">
        <f>HYPERLINK("http://npthd.inbcu.com/ViewContent.aspx?filename=NPMR_ABC_2017-07-15_E.MP4$3813$4351","20/20: IN AN INSTANT: home invasion horror")</f>
        <v>20/20: IN AN INSTANT: home invasion horror</v>
      </c>
      <c r="E2001" s="3" t="s">
        <v>3348</v>
      </c>
      <c r="F2001" s="3" t="s">
        <v>5314</v>
      </c>
      <c r="G2001" s="3" t="s">
        <v>4733</v>
      </c>
    </row>
    <row r="2002" spans="1:7">
      <c r="A2002" s="6">
        <v>42931</v>
      </c>
      <c r="B2002" s="3" t="s">
        <v>13</v>
      </c>
      <c r="C2002" s="3" t="s">
        <v>21</v>
      </c>
      <c r="D2002" s="8" t="str">
        <f>HYPERLINK("http://npthd.inbcu.com/ViewContent.aspx?filename=NPMR_ABC_2017-07-15_E.MP4$4351$4503","COMMERCIAL")</f>
        <v>COMMERCIAL</v>
      </c>
      <c r="E2002" s="3" t="s">
        <v>128</v>
      </c>
      <c r="F2002" s="3" t="s">
        <v>4733</v>
      </c>
      <c r="G2002" s="3" t="s">
        <v>5315</v>
      </c>
    </row>
    <row r="2003" spans="1:7">
      <c r="A2003" s="6">
        <v>42931</v>
      </c>
      <c r="B2003" s="3" t="s">
        <v>13</v>
      </c>
      <c r="C2003" s="3" t="s">
        <v>14</v>
      </c>
      <c r="D2003" s="8" t="str">
        <f>HYPERLINK("http://npthd.inbcu.com/ViewContent.aspx?filename=NPMR_ABC_2017-07-15_E.MP4$4503$4518","Jimmy Kimmel Live!")</f>
        <v>Jimmy Kimmel Live!</v>
      </c>
      <c r="E2003" s="3" t="s">
        <v>30</v>
      </c>
      <c r="F2003" s="3" t="s">
        <v>5315</v>
      </c>
      <c r="G2003" s="3" t="s">
        <v>5316</v>
      </c>
    </row>
    <row r="2004" spans="1:7">
      <c r="A2004" s="6">
        <v>42931</v>
      </c>
      <c r="B2004" s="3" t="s">
        <v>13</v>
      </c>
      <c r="C2004" s="3" t="s">
        <v>14</v>
      </c>
      <c r="D2004" s="8" t="str">
        <f>HYPERLINK("http://npthd.inbcu.com/ViewContent.aspx?filename=NPMR_ABC_2017-07-15_E.MP4$4518$4638","Inhumans")</f>
        <v>Inhumans</v>
      </c>
      <c r="E2004" s="3" t="s">
        <v>43</v>
      </c>
      <c r="F2004" s="3" t="s">
        <v>5316</v>
      </c>
      <c r="G2004" s="3" t="s">
        <v>5317</v>
      </c>
    </row>
    <row r="2005" spans="1:7">
      <c r="A2005" s="6">
        <v>42931</v>
      </c>
      <c r="B2005" s="3" t="s">
        <v>13</v>
      </c>
      <c r="C2005" s="3" t="s">
        <v>18</v>
      </c>
      <c r="D2005" s="8" t="str">
        <f>HYPERLINK("http://npthd.inbcu.com/ViewContent.aspx?filename=NPMR_ABC_2017-07-15_E.MP4$4638$5020","20/20: IN AN INSTANT: home invasion horror")</f>
        <v>20/20: IN AN INSTANT: home invasion horror</v>
      </c>
      <c r="E2005" s="3" t="s">
        <v>3822</v>
      </c>
      <c r="F2005" s="3" t="s">
        <v>5317</v>
      </c>
      <c r="G2005" s="3" t="s">
        <v>254</v>
      </c>
    </row>
    <row r="2006" spans="1:7">
      <c r="A2006" s="6">
        <v>42931</v>
      </c>
      <c r="B2006" s="3" t="s">
        <v>13</v>
      </c>
      <c r="C2006" s="3" t="s">
        <v>21</v>
      </c>
      <c r="D2006" s="8" t="str">
        <f>HYPERLINK("http://npthd.inbcu.com/ViewContent.aspx?filename=NPMR_ABC_2017-07-15_E.MP4$5020$5112","COMMERCIAL")</f>
        <v>COMMERCIAL</v>
      </c>
      <c r="E2006" s="3" t="s">
        <v>267</v>
      </c>
      <c r="F2006" s="3" t="s">
        <v>254</v>
      </c>
      <c r="G2006" s="3" t="s">
        <v>5063</v>
      </c>
    </row>
    <row r="2007" spans="1:7">
      <c r="A2007" s="6">
        <v>42931</v>
      </c>
      <c r="B2007" s="3" t="s">
        <v>13</v>
      </c>
      <c r="C2007" s="3" t="s">
        <v>14</v>
      </c>
      <c r="D2007" s="8" t="str">
        <f>HYPERLINK("http://npthd.inbcu.com/ViewContent.aspx?filename=NPMR_ABC_2017-07-15_E.MP4$5112$5127","World News Tonight")</f>
        <v>World News Tonight</v>
      </c>
      <c r="E2007" s="3" t="s">
        <v>30</v>
      </c>
      <c r="F2007" s="3" t="s">
        <v>5063</v>
      </c>
      <c r="G2007" s="3" t="s">
        <v>258</v>
      </c>
    </row>
    <row r="2008" spans="1:7">
      <c r="A2008" s="6">
        <v>42931</v>
      </c>
      <c r="B2008" s="3" t="s">
        <v>13</v>
      </c>
      <c r="C2008" s="3" t="s">
        <v>14</v>
      </c>
      <c r="D2008" s="8" t="str">
        <f>HYPERLINK("http://npthd.inbcu.com/ViewContent.aspx?filename=NPMR_ABC_2017-07-15_E.MP4$5127$5157","Somewhere Between")</f>
        <v>Somewhere Between</v>
      </c>
      <c r="E2008" s="3" t="s">
        <v>38</v>
      </c>
      <c r="F2008" s="3" t="s">
        <v>258</v>
      </c>
      <c r="G2008" s="3" t="s">
        <v>3620</v>
      </c>
    </row>
    <row r="2009" spans="1:7">
      <c r="A2009" s="6">
        <v>42931</v>
      </c>
      <c r="B2009" s="3" t="s">
        <v>13</v>
      </c>
      <c r="C2009" s="3" t="s">
        <v>14</v>
      </c>
      <c r="D2009" s="8" t="str">
        <f>HYPERLINK("http://npthd.inbcu.com/ViewContent.aspx?filename=NPMR_ABC_2017-07-15_E.MP4$5157$5187","Mayor")</f>
        <v>Mayor</v>
      </c>
      <c r="E2009" s="3" t="s">
        <v>38</v>
      </c>
      <c r="F2009" s="3" t="s">
        <v>3620</v>
      </c>
      <c r="G2009" s="3" t="s">
        <v>4159</v>
      </c>
    </row>
    <row r="2010" spans="1:7">
      <c r="A2010" s="6">
        <v>42931</v>
      </c>
      <c r="B2010" s="3" t="s">
        <v>13</v>
      </c>
      <c r="C2010" s="3" t="s">
        <v>32</v>
      </c>
      <c r="D2010" s="8" t="str">
        <f>HYPERLINK("http://npthd.inbcu.com/ViewContent.aspx?filename=NPMR_ABC_2017-07-15_E.MP4$5187$5249","LOCAL")</f>
        <v>LOCAL</v>
      </c>
      <c r="E2010" s="3" t="s">
        <v>257</v>
      </c>
      <c r="F2010" s="3" t="s">
        <v>4159</v>
      </c>
      <c r="G2010" s="3" t="s">
        <v>3350</v>
      </c>
    </row>
    <row r="2011" spans="1:7">
      <c r="A2011" s="6">
        <v>42931</v>
      </c>
      <c r="B2011" s="3" t="s">
        <v>13</v>
      </c>
      <c r="C2011" s="3" t="s">
        <v>18</v>
      </c>
      <c r="D2011" s="8" t="str">
        <f>HYPERLINK("http://npthd.inbcu.com/ViewContent.aspx?filename=NPMR_ABC_2017-07-15_E.MP4$5249$5763","20/20: IN AN INSTANT: home invasion horror")</f>
        <v>20/20: IN AN INSTANT: home invasion horror</v>
      </c>
      <c r="E2011" s="3" t="s">
        <v>5318</v>
      </c>
      <c r="F2011" s="3" t="s">
        <v>3350</v>
      </c>
      <c r="G2011" s="3" t="s">
        <v>2474</v>
      </c>
    </row>
    <row r="2012" spans="1:7">
      <c r="A2012" s="6">
        <v>42931</v>
      </c>
      <c r="B2012" s="3" t="s">
        <v>13</v>
      </c>
      <c r="C2012" s="3" t="s">
        <v>21</v>
      </c>
      <c r="D2012" s="8" t="str">
        <f>HYPERLINK("http://npthd.inbcu.com/ViewContent.aspx?filename=NPMR_ABC_2017-07-15_E.MP4$5763$5823","COMMERCIAL")</f>
        <v>COMMERCIAL</v>
      </c>
      <c r="E2012" s="3" t="s">
        <v>66</v>
      </c>
      <c r="F2012" s="3" t="s">
        <v>2474</v>
      </c>
      <c r="G2012" s="3" t="s">
        <v>5319</v>
      </c>
    </row>
    <row r="2013" spans="1:7">
      <c r="A2013" s="6">
        <v>42931</v>
      </c>
      <c r="B2013" s="3" t="s">
        <v>13</v>
      </c>
      <c r="C2013" s="3" t="s">
        <v>14</v>
      </c>
      <c r="D2013" s="8" t="str">
        <f>HYPERLINK("http://npthd.inbcu.com/ViewContent.aspx?filename=NPMR_ABC_2017-07-15_E.MP4$5823$5838","Good Morning America")</f>
        <v>Good Morning America</v>
      </c>
      <c r="E2013" s="3" t="s">
        <v>30</v>
      </c>
      <c r="F2013" s="3" t="s">
        <v>5319</v>
      </c>
      <c r="G2013" s="3" t="s">
        <v>5320</v>
      </c>
    </row>
    <row r="2014" spans="1:7">
      <c r="A2014" s="6">
        <v>42931</v>
      </c>
      <c r="B2014" s="3" t="s">
        <v>13</v>
      </c>
      <c r="C2014" s="3" t="s">
        <v>14</v>
      </c>
      <c r="D2014" s="8" t="str">
        <f>HYPERLINK("http://npthd.inbcu.com/ViewContent.aspx?filename=NPMR_ABC_2017-07-15_E.MP4$5838$5853","World News Tonight")</f>
        <v>World News Tonight</v>
      </c>
      <c r="E2014" s="3" t="s">
        <v>30</v>
      </c>
      <c r="F2014" s="3" t="s">
        <v>5320</v>
      </c>
      <c r="G2014" s="3" t="s">
        <v>5270</v>
      </c>
    </row>
    <row r="2015" spans="1:7">
      <c r="A2015" s="6">
        <v>42931</v>
      </c>
      <c r="B2015" s="3" t="s">
        <v>13</v>
      </c>
      <c r="C2015" s="3" t="s">
        <v>14</v>
      </c>
      <c r="D2015" s="8" t="str">
        <f>HYPERLINK("http://npthd.inbcu.com/ViewContent.aspx?filename=NPMR_ABC_2017-07-15_E.MP4$5853$5883","Chew, The")</f>
        <v>Chew, The</v>
      </c>
      <c r="E2015" s="3" t="s">
        <v>38</v>
      </c>
      <c r="F2015" s="3" t="s">
        <v>5270</v>
      </c>
      <c r="G2015" s="3" t="s">
        <v>5271</v>
      </c>
    </row>
    <row r="2016" spans="1:7">
      <c r="A2016" s="6">
        <v>42931</v>
      </c>
      <c r="B2016" s="3" t="s">
        <v>13</v>
      </c>
      <c r="C2016" s="3" t="s">
        <v>14</v>
      </c>
      <c r="D2016" s="8" t="str">
        <f>HYPERLINK("http://npthd.inbcu.com/ViewContent.aspx?filename=NPMR_ABC_2017-07-15_E.MP4$5883$5913","Battle of the Network Stars")</f>
        <v>Battle of the Network Stars</v>
      </c>
      <c r="E2016" s="3" t="s">
        <v>38</v>
      </c>
      <c r="F2016" s="3" t="s">
        <v>5271</v>
      </c>
      <c r="G2016" s="3" t="s">
        <v>5321</v>
      </c>
    </row>
    <row r="2017" spans="1:7">
      <c r="A2017" s="6">
        <v>42931</v>
      </c>
      <c r="B2017" s="3" t="s">
        <v>13</v>
      </c>
      <c r="C2017" s="3" t="s">
        <v>32</v>
      </c>
      <c r="D2017" s="8" t="str">
        <f>HYPERLINK("http://npthd.inbcu.com/ViewContent.aspx?filename=NPMR_ABC_2017-07-15_E.MP4$5913$6006","LOCAL")</f>
        <v>LOCAL</v>
      </c>
      <c r="E2017" s="3" t="s">
        <v>955</v>
      </c>
      <c r="F2017" s="3" t="s">
        <v>5321</v>
      </c>
      <c r="G2017" s="3" t="s">
        <v>5322</v>
      </c>
    </row>
    <row r="2018" spans="1:7">
      <c r="A2018" s="6">
        <v>42931</v>
      </c>
      <c r="B2018" s="3" t="s">
        <v>13</v>
      </c>
      <c r="C2018" s="3" t="s">
        <v>18</v>
      </c>
      <c r="D2018" s="8" t="str">
        <f>HYPERLINK("http://npthd.inbcu.com/ViewContent.aspx?filename=NPMR_ABC_2017-07-15_E.MP4$6006$6585","20/20: IN AN INSTANT: home invasion horror")</f>
        <v>20/20: IN AN INSTANT: home invasion horror</v>
      </c>
      <c r="E2018" s="3" t="s">
        <v>5323</v>
      </c>
      <c r="F2018" s="3" t="s">
        <v>5322</v>
      </c>
      <c r="G2018" s="3" t="s">
        <v>2829</v>
      </c>
    </row>
    <row r="2019" spans="1:7">
      <c r="A2019" s="6">
        <v>42931</v>
      </c>
      <c r="B2019" s="3" t="s">
        <v>13</v>
      </c>
      <c r="C2019" s="3" t="s">
        <v>21</v>
      </c>
      <c r="D2019" s="8" t="str">
        <f>HYPERLINK("http://npthd.inbcu.com/ViewContent.aspx?filename=NPMR_ABC_2017-07-15_E.MP4$6585$6766","COMMERCIAL")</f>
        <v>COMMERCIAL</v>
      </c>
      <c r="E2019" s="3" t="s">
        <v>108</v>
      </c>
      <c r="F2019" s="3" t="s">
        <v>2829</v>
      </c>
      <c r="G2019" s="3" t="s">
        <v>1578</v>
      </c>
    </row>
    <row r="2020" spans="1:7">
      <c r="A2020" s="6">
        <v>42931</v>
      </c>
      <c r="B2020" s="3" t="s">
        <v>13</v>
      </c>
      <c r="C2020" s="3" t="s">
        <v>14</v>
      </c>
      <c r="D2020" s="8" t="str">
        <f>HYPERLINK("http://npthd.inbcu.com/ViewContent.aspx?filename=NPMR_ABC_2017-07-15_E.MP4$6766$6796","ABC Sunday")</f>
        <v>ABC Sunday</v>
      </c>
      <c r="E2020" s="3" t="s">
        <v>38</v>
      </c>
      <c r="F2020" s="3" t="s">
        <v>1578</v>
      </c>
      <c r="G2020" s="3" t="s">
        <v>5324</v>
      </c>
    </row>
    <row r="2021" spans="1:7">
      <c r="A2021" s="6">
        <v>42931</v>
      </c>
      <c r="B2021" s="3" t="s">
        <v>13</v>
      </c>
      <c r="C2021" s="3" t="s">
        <v>14</v>
      </c>
      <c r="D2021" s="8" t="str">
        <f>HYPERLINK("http://npthd.inbcu.com/ViewContent.aspx?filename=NPMR_ABC_2017-07-15_E.MP4$6796$6826","Bachelorette")</f>
        <v>Bachelorette</v>
      </c>
      <c r="E2021" s="3" t="s">
        <v>38</v>
      </c>
      <c r="F2021" s="3" t="s">
        <v>5324</v>
      </c>
      <c r="G2021" s="3" t="s">
        <v>1734</v>
      </c>
    </row>
    <row r="2022" spans="1:7">
      <c r="A2022" s="6">
        <v>42931</v>
      </c>
      <c r="B2022" s="3" t="s">
        <v>13</v>
      </c>
      <c r="C2022" s="3" t="s">
        <v>14</v>
      </c>
      <c r="D2022" s="8" t="str">
        <f>HYPERLINK("http://npthd.inbcu.com/ViewContent.aspx?filename=NPMR_ABC_2017-07-15_E.MP4$6826$6886","Good Doctor, The")</f>
        <v>Good Doctor, The</v>
      </c>
      <c r="E2022" s="3" t="s">
        <v>66</v>
      </c>
      <c r="F2022" s="3" t="s">
        <v>1734</v>
      </c>
      <c r="G2022" s="3" t="s">
        <v>5325</v>
      </c>
    </row>
    <row r="2023" spans="1:7">
      <c r="A2023" s="6">
        <v>42931</v>
      </c>
      <c r="B2023" s="3" t="s">
        <v>13</v>
      </c>
      <c r="C2023" s="3" t="s">
        <v>32</v>
      </c>
      <c r="D2023" s="8" t="str">
        <f>HYPERLINK("http://npthd.inbcu.com/ViewContent.aspx?filename=NPMR_ABC_2017-07-15_E.MP4$6886$6892","LOCAL")</f>
        <v>LOCAL</v>
      </c>
      <c r="E2023" s="3" t="s">
        <v>15</v>
      </c>
      <c r="F2023" s="3" t="s">
        <v>5325</v>
      </c>
      <c r="G2023" s="3" t="s">
        <v>2033</v>
      </c>
    </row>
    <row r="2024" spans="1:7">
      <c r="A2024" s="6">
        <v>42931</v>
      </c>
      <c r="B2024" s="3" t="s">
        <v>13</v>
      </c>
      <c r="C2024" s="3" t="s">
        <v>18</v>
      </c>
      <c r="D2024" s="8" t="str">
        <f>HYPERLINK("http://npthd.inbcu.com/ViewContent.aspx?filename=NPMR_ABC_2017-07-15_E.MP4$6892$7289","20/20: IN AN INSTANT: home invasion horror")</f>
        <v>20/20: IN AN INSTANT: home invasion horror</v>
      </c>
      <c r="E2024" s="3" t="s">
        <v>168</v>
      </c>
      <c r="F2024" s="3" t="s">
        <v>2033</v>
      </c>
      <c r="G2024" s="3" t="s">
        <v>1515</v>
      </c>
    </row>
    <row r="2025" spans="1:7">
      <c r="A2025" s="6">
        <v>42931</v>
      </c>
      <c r="B2025" s="3" t="s">
        <v>13</v>
      </c>
      <c r="C2025" s="3" t="s">
        <v>14</v>
      </c>
      <c r="D2025" s="8" t="str">
        <f>HYPERLINK("http://npthd.inbcu.com/ViewContent.aspx?filename=NPMR_ABC_2017-07-15_E.MP4$7289$7304","In An Instant")</f>
        <v>In An Instant</v>
      </c>
      <c r="E2025" s="3" t="s">
        <v>30</v>
      </c>
      <c r="F2025" s="3" t="s">
        <v>1515</v>
      </c>
      <c r="G2025" s="3" t="s">
        <v>3885</v>
      </c>
    </row>
    <row r="2026" spans="1:7">
      <c r="A2026" s="6">
        <v>42931</v>
      </c>
      <c r="B2026" s="3" t="s">
        <v>13</v>
      </c>
      <c r="C2026" s="3" t="s">
        <v>14</v>
      </c>
      <c r="D2026" s="8" t="str">
        <f>HYPERLINK("http://npthd.inbcu.com/ViewContent.aspx?filename=NPMR_ABC_2017-07-15_E.MP4$7304$7319","Celebrity Family Feud")</f>
        <v>Celebrity Family Feud</v>
      </c>
      <c r="E2026" s="3" t="s">
        <v>30</v>
      </c>
      <c r="F2026" s="3" t="s">
        <v>3885</v>
      </c>
      <c r="G2026" s="3" t="s">
        <v>394</v>
      </c>
    </row>
    <row r="2027" spans="1:7">
      <c r="A2027" s="6">
        <v>42931</v>
      </c>
      <c r="B2027" s="3" t="s">
        <v>13</v>
      </c>
      <c r="C2027" s="3" t="s">
        <v>14</v>
      </c>
      <c r="D2027" s="8" t="str">
        <f>HYPERLINK("http://npthd.inbcu.com/ViewContent.aspx?filename=NPMR_ABC_2017-07-15_E.MP4$7319$7324","Still Star Crossed")</f>
        <v>Still Star Crossed</v>
      </c>
      <c r="E2027" s="3" t="s">
        <v>54</v>
      </c>
      <c r="F2027" s="3" t="s">
        <v>394</v>
      </c>
      <c r="G2027" s="3" t="s">
        <v>395</v>
      </c>
    </row>
    <row r="2028" spans="1:7">
      <c r="A2028" s="6">
        <v>42931</v>
      </c>
      <c r="B2028" s="3" t="s">
        <v>13</v>
      </c>
      <c r="C2028" s="3" t="s">
        <v>18</v>
      </c>
      <c r="D2028" s="8" t="str">
        <f>HYPERLINK("http://npthd.inbcu.com/ViewContent.aspx?filename=NPMR_ABC_2017-07-15_E.MP4$7324$7737","STILL STAR CROSSED: nature hath framed strange fellows in her time")</f>
        <v>STILL STAR CROSSED: nature hath framed strange fellows in her time</v>
      </c>
      <c r="E2028" s="3" t="s">
        <v>2603</v>
      </c>
      <c r="F2028" s="3" t="s">
        <v>395</v>
      </c>
      <c r="G2028" s="3" t="s">
        <v>3151</v>
      </c>
    </row>
    <row r="2029" spans="1:7">
      <c r="A2029" s="6">
        <v>42931</v>
      </c>
      <c r="B2029" s="3" t="s">
        <v>13</v>
      </c>
      <c r="C2029" s="3" t="s">
        <v>21</v>
      </c>
      <c r="D2029" s="8" t="str">
        <f>HYPERLINK("http://npthd.inbcu.com/ViewContent.aspx?filename=NPMR_ABC_2017-07-15_E.MP4$7737$7917","COMMERCIAL")</f>
        <v>COMMERCIAL</v>
      </c>
      <c r="E2029" s="3" t="s">
        <v>22</v>
      </c>
      <c r="F2029" s="3" t="s">
        <v>3151</v>
      </c>
      <c r="G2029" s="3" t="s">
        <v>3838</v>
      </c>
    </row>
    <row r="2030" spans="1:7">
      <c r="A2030" s="6">
        <v>42931</v>
      </c>
      <c r="B2030" s="3" t="s">
        <v>13</v>
      </c>
      <c r="C2030" s="3" t="s">
        <v>14</v>
      </c>
      <c r="D2030" s="8" t="str">
        <f>HYPERLINK("http://npthd.inbcu.com/ViewContent.aspx?filename=NPMR_ABC_2017-07-15_E.MP4$7917$7947","Bachelorette")</f>
        <v>Bachelorette</v>
      </c>
      <c r="E2030" s="3" t="s">
        <v>38</v>
      </c>
      <c r="F2030" s="3" t="s">
        <v>3838</v>
      </c>
      <c r="G2030" s="3" t="s">
        <v>5326</v>
      </c>
    </row>
    <row r="2031" spans="1:7">
      <c r="A2031" s="6">
        <v>42931</v>
      </c>
      <c r="B2031" s="3" t="s">
        <v>13</v>
      </c>
      <c r="C2031" s="3" t="s">
        <v>18</v>
      </c>
      <c r="D2031" s="8" t="str">
        <f>HYPERLINK("http://npthd.inbcu.com/ViewContent.aspx?filename=NPMR_ABC_2017-07-15_E.MP4$7947$8340","STILL STAR CROSSED: nature hath framed strange fellows in her time")</f>
        <v>STILL STAR CROSSED: nature hath framed strange fellows in her time</v>
      </c>
      <c r="E2031" s="3" t="s">
        <v>765</v>
      </c>
      <c r="F2031" s="3" t="s">
        <v>5326</v>
      </c>
      <c r="G2031" s="3" t="s">
        <v>5327</v>
      </c>
    </row>
    <row r="2032" spans="1:7">
      <c r="A2032" s="6">
        <v>42931</v>
      </c>
      <c r="B2032" s="3" t="s">
        <v>13</v>
      </c>
      <c r="C2032" s="3" t="s">
        <v>14</v>
      </c>
      <c r="D2032" s="8" t="str">
        <f>HYPERLINK("http://npthd.inbcu.com/ViewContent.aspx?filename=NPMR_ABC_2017-07-15_E.MP4$8340$8345","Somewhere Between")</f>
        <v>Somewhere Between</v>
      </c>
      <c r="E2032" s="3" t="s">
        <v>54</v>
      </c>
      <c r="F2032" s="3" t="s">
        <v>5327</v>
      </c>
      <c r="G2032" s="3" t="s">
        <v>5328</v>
      </c>
    </row>
    <row r="2033" spans="1:7">
      <c r="A2033" s="6">
        <v>42931</v>
      </c>
      <c r="B2033" s="3" t="s">
        <v>13</v>
      </c>
      <c r="C2033" s="3" t="s">
        <v>21</v>
      </c>
      <c r="D2033" s="8" t="str">
        <f>HYPERLINK("http://npthd.inbcu.com/ViewContent.aspx?filename=NPMR_ABC_2017-07-15_E.MP4$8345$8540","COMMERCIAL")</f>
        <v>COMMERCIAL</v>
      </c>
      <c r="E2033" s="3" t="s">
        <v>388</v>
      </c>
      <c r="F2033" s="3" t="s">
        <v>5328</v>
      </c>
      <c r="G2033" s="3" t="s">
        <v>5329</v>
      </c>
    </row>
    <row r="2034" spans="1:7">
      <c r="A2034" s="6">
        <v>42931</v>
      </c>
      <c r="B2034" s="3" t="s">
        <v>13</v>
      </c>
      <c r="C2034" s="3" t="s">
        <v>14</v>
      </c>
      <c r="D2034" s="8" t="str">
        <f>HYPERLINK("http://npthd.inbcu.com/ViewContent.aspx?filename=NPMR_ABC_2017-07-15_E.MP4$8540$8570","Good Doctor, The")</f>
        <v>Good Doctor, The</v>
      </c>
      <c r="E2034" s="3" t="s">
        <v>38</v>
      </c>
      <c r="F2034" s="3" t="s">
        <v>5329</v>
      </c>
      <c r="G2034" s="3" t="s">
        <v>3592</v>
      </c>
    </row>
    <row r="2035" spans="1:7">
      <c r="A2035" s="6">
        <v>42931</v>
      </c>
      <c r="B2035" s="3" t="s">
        <v>13</v>
      </c>
      <c r="C2035" s="3" t="s">
        <v>18</v>
      </c>
      <c r="D2035" s="8" t="str">
        <f>HYPERLINK("http://npthd.inbcu.com/ViewContent.aspx?filename=NPMR_ABC_2017-07-15_E.MP4$8570$9181","STILL STAR CROSSED: nature hath framed strange fellows in her time")</f>
        <v>STILL STAR CROSSED: nature hath framed strange fellows in her time</v>
      </c>
      <c r="E2035" s="3" t="s">
        <v>1615</v>
      </c>
      <c r="F2035" s="3" t="s">
        <v>3592</v>
      </c>
      <c r="G2035" s="3" t="s">
        <v>2169</v>
      </c>
    </row>
    <row r="2036" spans="1:7">
      <c r="A2036" s="6">
        <v>42931</v>
      </c>
      <c r="B2036" s="3" t="s">
        <v>13</v>
      </c>
      <c r="C2036" s="3" t="s">
        <v>21</v>
      </c>
      <c r="D2036" s="8" t="str">
        <f>HYPERLINK("http://npthd.inbcu.com/ViewContent.aspx?filename=NPMR_ABC_2017-07-15_E.MP4$9181$9302","COMMERCIAL")</f>
        <v>COMMERCIAL</v>
      </c>
      <c r="E2036" s="3" t="s">
        <v>175</v>
      </c>
      <c r="F2036" s="3" t="s">
        <v>2169</v>
      </c>
      <c r="G2036" s="3" t="s">
        <v>5330</v>
      </c>
    </row>
    <row r="2037" spans="1:7">
      <c r="A2037" s="6">
        <v>42931</v>
      </c>
      <c r="B2037" s="3" t="s">
        <v>13</v>
      </c>
      <c r="C2037" s="3" t="s">
        <v>14</v>
      </c>
      <c r="D2037" s="8" t="str">
        <f>HYPERLINK("http://npthd.inbcu.com/ViewContent.aspx?filename=NPMR_ABC_2017-07-15_E.MP4$9302$9332","ABC Sunday")</f>
        <v>ABC Sunday</v>
      </c>
      <c r="E2037" s="3" t="s">
        <v>38</v>
      </c>
      <c r="F2037" s="3" t="s">
        <v>5330</v>
      </c>
      <c r="G2037" s="3" t="s">
        <v>5331</v>
      </c>
    </row>
    <row r="2038" spans="1:7">
      <c r="A2038" s="6">
        <v>42931</v>
      </c>
      <c r="B2038" s="3" t="s">
        <v>13</v>
      </c>
      <c r="C2038" s="3" t="s">
        <v>32</v>
      </c>
      <c r="D2038" s="8" t="str">
        <f>HYPERLINK("http://npthd.inbcu.com/ViewContent.aspx?filename=NPMR_ABC_2017-07-15_E.MP4$9332$9438","LOCAL")</f>
        <v>LOCAL</v>
      </c>
      <c r="E2038" s="3" t="s">
        <v>293</v>
      </c>
      <c r="F2038" s="3" t="s">
        <v>5331</v>
      </c>
      <c r="G2038" s="3" t="s">
        <v>3449</v>
      </c>
    </row>
    <row r="2039" spans="1:7">
      <c r="A2039" s="6">
        <v>42931</v>
      </c>
      <c r="B2039" s="3" t="s">
        <v>13</v>
      </c>
      <c r="C2039" s="3" t="s">
        <v>18</v>
      </c>
      <c r="D2039" s="8" t="str">
        <f>HYPERLINK("http://npthd.inbcu.com/ViewContent.aspx?filename=NPMR_ABC_2017-07-15_E.MP4$9438$9810","STILL STAR CROSSED: nature hath framed strange fellows in her time")</f>
        <v>STILL STAR CROSSED: nature hath framed strange fellows in her time</v>
      </c>
      <c r="E2039" s="3" t="s">
        <v>500</v>
      </c>
      <c r="F2039" s="3" t="s">
        <v>3449</v>
      </c>
      <c r="G2039" s="3" t="s">
        <v>3800</v>
      </c>
    </row>
    <row r="2040" spans="1:7">
      <c r="A2040" s="6">
        <v>42931</v>
      </c>
      <c r="B2040" s="3" t="s">
        <v>13</v>
      </c>
      <c r="C2040" s="3" t="s">
        <v>21</v>
      </c>
      <c r="D2040" s="8" t="str">
        <f>HYPERLINK("http://npthd.inbcu.com/ViewContent.aspx?filename=NPMR_ABC_2017-07-15_E.MP4$9810$9900","COMMERCIAL")</f>
        <v>COMMERCIAL</v>
      </c>
      <c r="E2040" s="3" t="s">
        <v>46</v>
      </c>
      <c r="F2040" s="3" t="s">
        <v>3800</v>
      </c>
      <c r="G2040" s="3" t="s">
        <v>1303</v>
      </c>
    </row>
    <row r="2041" spans="1:7">
      <c r="A2041" s="6">
        <v>42931</v>
      </c>
      <c r="B2041" s="3" t="s">
        <v>13</v>
      </c>
      <c r="C2041" s="3" t="s">
        <v>14</v>
      </c>
      <c r="D2041" s="8" t="str">
        <f>HYPERLINK("http://npthd.inbcu.com/ViewContent.aspx?filename=NPMR_ABC_2017-07-15_E.MP4$9900$9930","Somewhere Between")</f>
        <v>Somewhere Between</v>
      </c>
      <c r="E2041" s="3" t="s">
        <v>38</v>
      </c>
      <c r="F2041" s="3" t="s">
        <v>1303</v>
      </c>
      <c r="G2041" s="3" t="s">
        <v>839</v>
      </c>
    </row>
    <row r="2042" spans="1:7">
      <c r="A2042" s="6">
        <v>42931</v>
      </c>
      <c r="B2042" s="3" t="s">
        <v>13</v>
      </c>
      <c r="C2042" s="3" t="s">
        <v>32</v>
      </c>
      <c r="D2042" s="8" t="str">
        <f>HYPERLINK("http://npthd.inbcu.com/ViewContent.aspx?filename=NPMR_ABC_2017-07-15_E.MP4$9930$10022","LOCAL")</f>
        <v>LOCAL</v>
      </c>
      <c r="E2042" s="3" t="s">
        <v>267</v>
      </c>
      <c r="F2042" s="3" t="s">
        <v>839</v>
      </c>
      <c r="G2042" s="3" t="s">
        <v>5332</v>
      </c>
    </row>
    <row r="2043" spans="1:7">
      <c r="A2043" s="6">
        <v>42931</v>
      </c>
      <c r="B2043" s="3" t="s">
        <v>13</v>
      </c>
      <c r="C2043" s="3" t="s">
        <v>18</v>
      </c>
      <c r="D2043" s="8" t="str">
        <f>HYPERLINK("http://npthd.inbcu.com/ViewContent.aspx?filename=NPMR_ABC_2017-07-15_E.MP4$10022$10401","STILL STAR CROSSED: nature hath framed strange fellows in her time")</f>
        <v>STILL STAR CROSSED: nature hath framed strange fellows in her time</v>
      </c>
      <c r="E2043" s="3" t="s">
        <v>1174</v>
      </c>
      <c r="F2043" s="3" t="s">
        <v>5332</v>
      </c>
      <c r="G2043" s="3" t="s">
        <v>4619</v>
      </c>
    </row>
    <row r="2044" spans="1:7">
      <c r="A2044" s="6">
        <v>42931</v>
      </c>
      <c r="B2044" s="3" t="s">
        <v>13</v>
      </c>
      <c r="C2044" s="3" t="s">
        <v>32</v>
      </c>
      <c r="D2044" s="8" t="str">
        <f>HYPERLINK("http://npthd.inbcu.com/ViewContent.aspx?filename=NPMR_ABC_2017-07-15_E.MP4$10401$10416","LOCAL")</f>
        <v>LOCAL</v>
      </c>
      <c r="E2044" s="3" t="s">
        <v>30</v>
      </c>
      <c r="F2044" s="3" t="s">
        <v>4619</v>
      </c>
      <c r="G2044" s="3" t="s">
        <v>3049</v>
      </c>
    </row>
    <row r="2045" spans="1:7">
      <c r="A2045" s="6">
        <v>42931</v>
      </c>
      <c r="B2045" s="3" t="s">
        <v>13</v>
      </c>
      <c r="C2045" s="3" t="s">
        <v>21</v>
      </c>
      <c r="D2045" s="8" t="str">
        <f>HYPERLINK("http://npthd.inbcu.com/ViewContent.aspx?filename=NPMR_ABC_2017-07-15_E.MP4$10416$10536","COMMERCIAL")</f>
        <v>COMMERCIAL</v>
      </c>
      <c r="E2045" s="3" t="s">
        <v>43</v>
      </c>
      <c r="F2045" s="3" t="s">
        <v>3049</v>
      </c>
      <c r="G2045" s="3" t="s">
        <v>4042</v>
      </c>
    </row>
    <row r="2046" spans="1:7">
      <c r="A2046" s="6">
        <v>42931</v>
      </c>
      <c r="B2046" s="3" t="s">
        <v>13</v>
      </c>
      <c r="C2046" s="3" t="s">
        <v>14</v>
      </c>
      <c r="D2046" s="8" t="str">
        <f>HYPERLINK("http://npthd.inbcu.com/ViewContent.aspx?filename=NPMR_ABC_2017-07-15_E.MP4$10536$10566","Mayor")</f>
        <v>Mayor</v>
      </c>
      <c r="E2046" s="3" t="s">
        <v>38</v>
      </c>
      <c r="F2046" s="3" t="s">
        <v>4042</v>
      </c>
      <c r="G2046" s="3" t="s">
        <v>5333</v>
      </c>
    </row>
    <row r="2047" spans="1:7">
      <c r="A2047" s="6">
        <v>42931</v>
      </c>
      <c r="B2047" s="3" t="s">
        <v>13</v>
      </c>
      <c r="C2047" s="3" t="s">
        <v>18</v>
      </c>
      <c r="D2047" s="8" t="str">
        <f>HYPERLINK("http://npthd.inbcu.com/ViewContent.aspx?filename=NPMR_ABC_2017-07-15_E.MP4$10566$10874","STILL STAR CROSSED: nature hath framed strange fellows in her time")</f>
        <v>STILL STAR CROSSED: nature hath framed strange fellows in her time</v>
      </c>
      <c r="E2047" s="3" t="s">
        <v>2115</v>
      </c>
      <c r="F2047" s="3" t="s">
        <v>5333</v>
      </c>
      <c r="G2047" s="3" t="s">
        <v>310</v>
      </c>
    </row>
    <row r="2048" spans="1:7">
      <c r="A2048" s="6">
        <v>42931</v>
      </c>
      <c r="B2048" s="3" t="s">
        <v>13</v>
      </c>
      <c r="C2048" s="3" t="s">
        <v>14</v>
      </c>
      <c r="D2048" s="8" t="str">
        <f>HYPERLINK("http://npthd.inbcu.com/ViewContent.aspx?filename=NPMR_ABC_2017-07-15_E.MP4$10874$10904","Still Star Crossed")</f>
        <v>Still Star Crossed</v>
      </c>
      <c r="E2048" s="3" t="s">
        <v>38</v>
      </c>
      <c r="F2048" s="3" t="s">
        <v>310</v>
      </c>
      <c r="G2048" s="3" t="s">
        <v>123</v>
      </c>
    </row>
    <row r="2049" spans="1:7">
      <c r="A2049" s="6">
        <v>42931</v>
      </c>
      <c r="B2049" s="3" t="s">
        <v>13</v>
      </c>
      <c r="C2049" s="3" t="s">
        <v>32</v>
      </c>
      <c r="D2049" s="8" t="str">
        <f>HYPERLINK("http://npthd.inbcu.com/ViewContent.aspx?filename=NPMR_ABC_2017-07-15_E.MP4$10904$10919","LOCAL")</f>
        <v>LOCAL</v>
      </c>
      <c r="E2049" s="3" t="s">
        <v>30</v>
      </c>
      <c r="F2049" s="3" t="s">
        <v>123</v>
      </c>
      <c r="G2049" s="3" t="s">
        <v>124</v>
      </c>
    </row>
  </sheetData>
  <mergeCells count="2">
    <mergeCell ref="A1:H1"/>
    <mergeCell ref="A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5"/>
  <sheetViews>
    <sheetView showGridLines="0" topLeftCell="A1953" workbookViewId="0">
      <selection activeCell="A1977" sqref="A1977:G2055"/>
    </sheetView>
  </sheetViews>
  <sheetFormatPr defaultColWidth="30" defaultRowHeight="15"/>
  <cols>
    <col min="1" max="1" width="30" style="4" customWidth="1"/>
  </cols>
  <sheetData>
    <row r="1" spans="1:8" ht="23.25">
      <c r="A1" s="9" t="s">
        <v>0</v>
      </c>
      <c r="B1" s="10" t="s">
        <v>0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1"/>
    </row>
    <row r="4" spans="1:8" s="1" customFormat="1">
      <c r="A4" s="7" t="s">
        <v>1</v>
      </c>
      <c r="B4" s="1" t="s">
        <v>2</v>
      </c>
    </row>
    <row r="5" spans="1:8" s="1" customFormat="1">
      <c r="A5" s="7" t="s">
        <v>3</v>
      </c>
      <c r="B5" s="1" t="s">
        <v>4</v>
      </c>
    </row>
    <row r="7" spans="1:8" s="1" customFormat="1">
      <c r="A7" s="12" t="s">
        <v>5</v>
      </c>
      <c r="B7" s="13"/>
      <c r="C7" s="13"/>
      <c r="D7" s="13"/>
    </row>
    <row r="10" spans="1:8">
      <c r="A10" s="5" t="s">
        <v>6</v>
      </c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</row>
    <row r="11" spans="1:8">
      <c r="A11" s="6">
        <v>42901</v>
      </c>
      <c r="B11" s="3" t="s">
        <v>2053</v>
      </c>
      <c r="C11" s="3" t="s">
        <v>18</v>
      </c>
      <c r="D11" s="8" t="str">
        <f>HYPERLINK("http://npthd.inbcu.com/ViewContent.aspx?filename=NPMR_CBS_2017-06-15_E.MP4$118$321","THE BIG BANG THEORY: the comic-con conundrum")</f>
        <v>THE BIG BANG THEORY: the comic-con conundrum</v>
      </c>
      <c r="E11" s="3" t="s">
        <v>2054</v>
      </c>
      <c r="F11" s="3" t="s">
        <v>16</v>
      </c>
      <c r="G11" s="3" t="s">
        <v>2055</v>
      </c>
    </row>
    <row r="12" spans="1:8">
      <c r="A12" s="6">
        <v>42901</v>
      </c>
      <c r="B12" s="3" t="s">
        <v>2053</v>
      </c>
      <c r="C12" s="3" t="s">
        <v>21</v>
      </c>
      <c r="D12" s="8" t="str">
        <f>HYPERLINK("http://npthd.inbcu.com/ViewContent.aspx?filename=NPMR_CBS_2017-06-15_E.MP4$321$484","COMMERCIAL")</f>
        <v>COMMERCIAL</v>
      </c>
      <c r="E12" s="3" t="s">
        <v>1763</v>
      </c>
      <c r="F12" s="3" t="s">
        <v>2055</v>
      </c>
      <c r="G12" s="3" t="s">
        <v>2056</v>
      </c>
    </row>
    <row r="13" spans="1:8">
      <c r="A13" s="6">
        <v>42901</v>
      </c>
      <c r="B13" s="3" t="s">
        <v>2053</v>
      </c>
      <c r="C13" s="3" t="s">
        <v>14</v>
      </c>
      <c r="D13" s="8" t="str">
        <f>HYPERLINK("http://npthd.inbcu.com/ViewContent.aspx?filename=NPMR_CBS_2017-06-15_E.MP4$484$496","Candy Crush")</f>
        <v>Candy Crush</v>
      </c>
      <c r="E13" s="3" t="s">
        <v>2057</v>
      </c>
      <c r="F13" s="3" t="s">
        <v>2056</v>
      </c>
      <c r="G13" s="3" t="s">
        <v>501</v>
      </c>
    </row>
    <row r="14" spans="1:8">
      <c r="A14" s="6">
        <v>42901</v>
      </c>
      <c r="B14" s="3" t="s">
        <v>2053</v>
      </c>
      <c r="C14" s="3" t="s">
        <v>18</v>
      </c>
      <c r="D14" s="8" t="str">
        <f>HYPERLINK("http://npthd.inbcu.com/ViewContent.aspx?filename=NPMR_CBS_2017-06-15_E.MP4$496$895","THE BIG BANG THEORY: the comic-con conundrum")</f>
        <v>THE BIG BANG THEORY: the comic-con conundrum</v>
      </c>
      <c r="E14" s="3" t="s">
        <v>207</v>
      </c>
      <c r="F14" s="3" t="s">
        <v>501</v>
      </c>
      <c r="G14" s="3" t="s">
        <v>2058</v>
      </c>
    </row>
    <row r="15" spans="1:8">
      <c r="A15" s="6">
        <v>42901</v>
      </c>
      <c r="B15" s="3" t="s">
        <v>2053</v>
      </c>
      <c r="C15" s="3" t="s">
        <v>21</v>
      </c>
      <c r="D15" s="8" t="str">
        <f>HYPERLINK("http://npthd.inbcu.com/ViewContent.aspx?filename=NPMR_CBS_2017-06-15_E.MP4$895$1077","COMMERCIAL")</f>
        <v>COMMERCIAL</v>
      </c>
      <c r="E15" s="3" t="s">
        <v>275</v>
      </c>
      <c r="F15" s="3" t="s">
        <v>2058</v>
      </c>
      <c r="G15" s="3" t="s">
        <v>2059</v>
      </c>
    </row>
    <row r="16" spans="1:8">
      <c r="A16" s="6">
        <v>42901</v>
      </c>
      <c r="B16" s="3" t="s">
        <v>2053</v>
      </c>
      <c r="C16" s="3" t="s">
        <v>1618</v>
      </c>
      <c r="D16" s="8" t="str">
        <f>HYPERLINK("http://npthd.inbcu.com/ViewContent.aspx?filename=NPMR_CBS_2017-06-15_E.MP4$1077$1087","PSA")</f>
        <v>PSA</v>
      </c>
      <c r="E16" s="3" t="s">
        <v>197</v>
      </c>
      <c r="F16" s="3" t="s">
        <v>2059</v>
      </c>
      <c r="G16" s="3" t="s">
        <v>2060</v>
      </c>
    </row>
    <row r="17" spans="1:7">
      <c r="A17" s="6">
        <v>42901</v>
      </c>
      <c r="B17" s="3" t="s">
        <v>2053</v>
      </c>
      <c r="C17" s="3" t="s">
        <v>32</v>
      </c>
      <c r="D17" s="8" t="str">
        <f>HYPERLINK("http://npthd.inbcu.com/ViewContent.aspx?filename=NPMR_CBS_2017-06-15_E.MP4$1087$1119","LOCAL")</f>
        <v>LOCAL</v>
      </c>
      <c r="E17" s="3" t="s">
        <v>213</v>
      </c>
      <c r="F17" s="3" t="s">
        <v>2060</v>
      </c>
      <c r="G17" s="3" t="s">
        <v>1822</v>
      </c>
    </row>
    <row r="18" spans="1:7">
      <c r="A18" s="6">
        <v>42901</v>
      </c>
      <c r="B18" s="3" t="s">
        <v>2053</v>
      </c>
      <c r="C18" s="3" t="s">
        <v>14</v>
      </c>
      <c r="D18" s="8" t="str">
        <f>HYPERLINK("http://npthd.inbcu.com/ViewContent.aspx?filename=NPMR_CBS_2017-06-15_E.MP4$1119$1129","Superior Donuts")</f>
        <v>Superior Donuts</v>
      </c>
      <c r="E18" s="3" t="s">
        <v>197</v>
      </c>
      <c r="F18" s="3" t="s">
        <v>1822</v>
      </c>
      <c r="G18" s="3" t="s">
        <v>2061</v>
      </c>
    </row>
    <row r="19" spans="1:7">
      <c r="A19" s="6">
        <v>42901</v>
      </c>
      <c r="B19" s="3" t="s">
        <v>2053</v>
      </c>
      <c r="C19" s="3" t="s">
        <v>32</v>
      </c>
      <c r="D19" s="8" t="str">
        <f>HYPERLINK("http://npthd.inbcu.com/ViewContent.aspx?filename=NPMR_CBS_2017-06-15_E.MP4$1129$1223","LOCAL")</f>
        <v>LOCAL</v>
      </c>
      <c r="E19" s="3" t="s">
        <v>1917</v>
      </c>
      <c r="F19" s="3" t="s">
        <v>2061</v>
      </c>
      <c r="G19" s="3" t="s">
        <v>2062</v>
      </c>
    </row>
    <row r="20" spans="1:7">
      <c r="A20" s="6">
        <v>42901</v>
      </c>
      <c r="B20" s="3" t="s">
        <v>2053</v>
      </c>
      <c r="C20" s="3" t="s">
        <v>18</v>
      </c>
      <c r="D20" s="8" t="str">
        <f>HYPERLINK("http://npthd.inbcu.com/ViewContent.aspx?filename=NPMR_CBS_2017-06-15_E.MP4$1223$1712","THE BIG BANG THEORY: the comic-con conundrum")</f>
        <v>THE BIG BANG THEORY: the comic-con conundrum</v>
      </c>
      <c r="E20" s="3" t="s">
        <v>779</v>
      </c>
      <c r="F20" s="3" t="s">
        <v>2062</v>
      </c>
      <c r="G20" s="3" t="s">
        <v>2063</v>
      </c>
    </row>
    <row r="21" spans="1:7">
      <c r="A21" s="6">
        <v>42901</v>
      </c>
      <c r="B21" s="3" t="s">
        <v>2053</v>
      </c>
      <c r="C21" s="3" t="s">
        <v>21</v>
      </c>
      <c r="D21" s="8" t="str">
        <f>HYPERLINK("http://npthd.inbcu.com/ViewContent.aspx?filename=NPMR_CBS_2017-06-15_E.MP4$1712$1892","COMMERCIAL")</f>
        <v>COMMERCIAL</v>
      </c>
      <c r="E21" s="3" t="s">
        <v>22</v>
      </c>
      <c r="F21" s="3" t="s">
        <v>2063</v>
      </c>
      <c r="G21" s="3" t="s">
        <v>2064</v>
      </c>
    </row>
    <row r="22" spans="1:7">
      <c r="A22" s="6">
        <v>42901</v>
      </c>
      <c r="B22" s="3" t="s">
        <v>2053</v>
      </c>
      <c r="C22" s="3" t="s">
        <v>14</v>
      </c>
      <c r="D22" s="8" t="str">
        <f>HYPERLINK("http://npthd.inbcu.com/ViewContent.aspx?filename=NPMR_CBS_2017-06-15_E.MP4$1892$1906","Late Show with Stephen Colbert")</f>
        <v>Late Show with Stephen Colbert</v>
      </c>
      <c r="E22" s="3" t="s">
        <v>342</v>
      </c>
      <c r="F22" s="3" t="s">
        <v>2064</v>
      </c>
      <c r="G22" s="3" t="s">
        <v>2065</v>
      </c>
    </row>
    <row r="23" spans="1:7">
      <c r="A23" s="6">
        <v>42901</v>
      </c>
      <c r="B23" s="3" t="s">
        <v>2053</v>
      </c>
      <c r="C23" s="3" t="s">
        <v>18</v>
      </c>
      <c r="D23" s="8" t="str">
        <f>HYPERLINK("http://npthd.inbcu.com/ViewContent.aspx?filename=NPMR_CBS_2017-06-15_E.MP4$1906$1952","THE BIG BANG THEORY: the comic-con conundrum")</f>
        <v>THE BIG BANG THEORY: the comic-con conundrum</v>
      </c>
      <c r="E23" s="3" t="s">
        <v>549</v>
      </c>
      <c r="F23" s="3" t="s">
        <v>2065</v>
      </c>
      <c r="G23" s="3" t="s">
        <v>2066</v>
      </c>
    </row>
    <row r="24" spans="1:7">
      <c r="A24" s="6">
        <v>42901</v>
      </c>
      <c r="B24" s="3" t="s">
        <v>2053</v>
      </c>
      <c r="C24" s="3" t="s">
        <v>14</v>
      </c>
      <c r="D24" s="8" t="str">
        <f>HYPERLINK("http://npthd.inbcu.com/ViewContent.aspx?filename=NPMR_CBS_2017-06-15_E.MP4$1952$1973","Big Brother")</f>
        <v>Big Brother</v>
      </c>
      <c r="E24" s="3" t="s">
        <v>2067</v>
      </c>
      <c r="F24" s="3" t="s">
        <v>2066</v>
      </c>
      <c r="G24" s="3" t="s">
        <v>2068</v>
      </c>
    </row>
    <row r="25" spans="1:7">
      <c r="A25" s="6">
        <v>42901</v>
      </c>
      <c r="B25" s="3" t="s">
        <v>2053</v>
      </c>
      <c r="C25" s="3" t="s">
        <v>18</v>
      </c>
      <c r="D25" s="8" t="str">
        <f>HYPERLINK("http://npthd.inbcu.com/ViewContent.aspx?filename=NPMR_CBS_2017-06-15_E.MP4$1973$1977","THE BIG BANG THEORY: the comic-con conundrum")</f>
        <v>THE BIG BANG THEORY: the comic-con conundrum</v>
      </c>
      <c r="E25" s="3" t="s">
        <v>84</v>
      </c>
      <c r="F25" s="3" t="s">
        <v>2068</v>
      </c>
      <c r="G25" s="3" t="s">
        <v>2069</v>
      </c>
    </row>
    <row r="26" spans="1:7">
      <c r="A26" s="6">
        <v>42901</v>
      </c>
      <c r="B26" s="3" t="s">
        <v>2053</v>
      </c>
      <c r="C26" s="3" t="s">
        <v>14</v>
      </c>
      <c r="D26" s="8" t="str">
        <f>HYPERLINK("http://npthd.inbcu.com/ViewContent.aspx?filename=NPMR_CBS_2017-06-15_E.MP4$1977$1983","Zoo")</f>
        <v>Zoo</v>
      </c>
      <c r="E26" s="3" t="s">
        <v>15</v>
      </c>
      <c r="F26" s="3" t="s">
        <v>2069</v>
      </c>
      <c r="G26" s="3" t="s">
        <v>2070</v>
      </c>
    </row>
    <row r="27" spans="1:7">
      <c r="A27" s="6">
        <v>42901</v>
      </c>
      <c r="B27" s="3" t="s">
        <v>2053</v>
      </c>
      <c r="C27" s="3" t="s">
        <v>18</v>
      </c>
      <c r="D27" s="8" t="str">
        <f>HYPERLINK("http://npthd.inbcu.com/ViewContent.aspx?filename=NPMR_CBS_2017-06-15_E.MP4$1983$2478","SUPERIOR DONUTS: man with a health plan")</f>
        <v>SUPERIOR DONUTS: man with a health plan</v>
      </c>
      <c r="E27" s="3" t="s">
        <v>1312</v>
      </c>
      <c r="F27" s="3" t="s">
        <v>2070</v>
      </c>
      <c r="G27" s="3" t="s">
        <v>2071</v>
      </c>
    </row>
    <row r="28" spans="1:7">
      <c r="A28" s="6">
        <v>42901</v>
      </c>
      <c r="B28" s="3" t="s">
        <v>2053</v>
      </c>
      <c r="C28" s="3" t="s">
        <v>21</v>
      </c>
      <c r="D28" s="8" t="str">
        <f>HYPERLINK("http://npthd.inbcu.com/ViewContent.aspx?filename=NPMR_CBS_2017-06-15_E.MP4$2478$2570","COMMERCIAL")</f>
        <v>COMMERCIAL</v>
      </c>
      <c r="E28" s="3" t="s">
        <v>267</v>
      </c>
      <c r="F28" s="3" t="s">
        <v>2071</v>
      </c>
      <c r="G28" s="3" t="s">
        <v>2072</v>
      </c>
    </row>
    <row r="29" spans="1:7">
      <c r="A29" s="6">
        <v>42901</v>
      </c>
      <c r="B29" s="3" t="s">
        <v>2053</v>
      </c>
      <c r="C29" s="3" t="s">
        <v>14</v>
      </c>
      <c r="D29" s="8" t="str">
        <f>HYPERLINK("http://npthd.inbcu.com/ViewContent.aspx?filename=NPMR_CBS_2017-06-15_E.MP4$2570$2590","CBS All Access")</f>
        <v>CBS All Access</v>
      </c>
      <c r="E29" s="3" t="s">
        <v>1805</v>
      </c>
      <c r="F29" s="3" t="s">
        <v>2072</v>
      </c>
      <c r="G29" s="3" t="s">
        <v>355</v>
      </c>
    </row>
    <row r="30" spans="1:7">
      <c r="A30" s="6">
        <v>42901</v>
      </c>
      <c r="B30" s="3" t="s">
        <v>2053</v>
      </c>
      <c r="C30" s="3" t="s">
        <v>18</v>
      </c>
      <c r="D30" s="8" t="str">
        <f>HYPERLINK("http://npthd.inbcu.com/ViewContent.aspx?filename=NPMR_CBS_2017-06-15_E.MP4$2590$2938","SUPERIOR DONUTS: man with a health plan")</f>
        <v>SUPERIOR DONUTS: man with a health plan</v>
      </c>
      <c r="E30" s="3" t="s">
        <v>442</v>
      </c>
      <c r="F30" s="3" t="s">
        <v>355</v>
      </c>
      <c r="G30" s="3" t="s">
        <v>1328</v>
      </c>
    </row>
    <row r="31" spans="1:7">
      <c r="A31" s="6">
        <v>42901</v>
      </c>
      <c r="B31" s="3" t="s">
        <v>2053</v>
      </c>
      <c r="C31" s="3" t="s">
        <v>21</v>
      </c>
      <c r="D31" s="8" t="str">
        <f>HYPERLINK("http://npthd.inbcu.com/ViewContent.aspx?filename=NPMR_CBS_2017-06-15_E.MP4$2938$3091","COMMERCIAL")</f>
        <v>COMMERCIAL</v>
      </c>
      <c r="E31" s="3" t="s">
        <v>1735</v>
      </c>
      <c r="F31" s="3" t="s">
        <v>1328</v>
      </c>
      <c r="G31" s="3" t="s">
        <v>2073</v>
      </c>
    </row>
    <row r="32" spans="1:7">
      <c r="A32" s="6">
        <v>42901</v>
      </c>
      <c r="B32" s="3" t="s">
        <v>2053</v>
      </c>
      <c r="C32" s="3" t="s">
        <v>14</v>
      </c>
      <c r="D32" s="8" t="str">
        <f>HYPERLINK("http://npthd.inbcu.com/ViewContent.aspx?filename=NPMR_CBS_2017-06-15_E.MP4$3091$3100","Candy Crush")</f>
        <v>Candy Crush</v>
      </c>
      <c r="E32" s="3" t="s">
        <v>2074</v>
      </c>
      <c r="F32" s="3" t="s">
        <v>2073</v>
      </c>
      <c r="G32" s="3" t="s">
        <v>2075</v>
      </c>
    </row>
    <row r="33" spans="1:7">
      <c r="A33" s="6">
        <v>42901</v>
      </c>
      <c r="B33" s="3" t="s">
        <v>2053</v>
      </c>
      <c r="C33" s="3" t="s">
        <v>32</v>
      </c>
      <c r="D33" s="8" t="str">
        <f>HYPERLINK("http://npthd.inbcu.com/ViewContent.aspx?filename=NPMR_CBS_2017-06-15_E.MP4$3100$3195","LOCAL")</f>
        <v>LOCAL</v>
      </c>
      <c r="E33" s="3" t="s">
        <v>2076</v>
      </c>
      <c r="F33" s="3" t="s">
        <v>2075</v>
      </c>
      <c r="G33" s="3" t="s">
        <v>2077</v>
      </c>
    </row>
    <row r="34" spans="1:7">
      <c r="A34" s="6">
        <v>42901</v>
      </c>
      <c r="B34" s="3" t="s">
        <v>2053</v>
      </c>
      <c r="C34" s="3" t="s">
        <v>18</v>
      </c>
      <c r="D34" s="8" t="str">
        <f>HYPERLINK("http://npthd.inbcu.com/ViewContent.aspx?filename=NPMR_CBS_2017-06-15_E.MP4$3195$3542","SUPERIOR DONUTS: man with a health plan")</f>
        <v>SUPERIOR DONUTS: man with a health plan</v>
      </c>
      <c r="E34" s="3" t="s">
        <v>713</v>
      </c>
      <c r="F34" s="3" t="s">
        <v>2077</v>
      </c>
      <c r="G34" s="3" t="s">
        <v>2078</v>
      </c>
    </row>
    <row r="35" spans="1:7">
      <c r="A35" s="6">
        <v>42901</v>
      </c>
      <c r="B35" s="3" t="s">
        <v>2053</v>
      </c>
      <c r="C35" s="3" t="s">
        <v>21</v>
      </c>
      <c r="D35" s="8" t="str">
        <f>HYPERLINK("http://npthd.inbcu.com/ViewContent.aspx?filename=NPMR_CBS_2017-06-15_E.MP4$3542$3679","COMMERCIAL")</f>
        <v>COMMERCIAL</v>
      </c>
      <c r="E35" s="3" t="s">
        <v>488</v>
      </c>
      <c r="F35" s="3" t="s">
        <v>2078</v>
      </c>
      <c r="G35" s="3" t="s">
        <v>2079</v>
      </c>
    </row>
    <row r="36" spans="1:7">
      <c r="A36" s="6">
        <v>42901</v>
      </c>
      <c r="B36" s="3" t="s">
        <v>2053</v>
      </c>
      <c r="C36" s="3" t="s">
        <v>14</v>
      </c>
      <c r="D36" s="8" t="str">
        <f>HYPERLINK("http://npthd.inbcu.com/ViewContent.aspx?filename=NPMR_CBS_2017-06-15_E.MP4$3679$3689","Big Brother")</f>
        <v>Big Brother</v>
      </c>
      <c r="E36" s="3" t="s">
        <v>197</v>
      </c>
      <c r="F36" s="3" t="s">
        <v>2079</v>
      </c>
      <c r="G36" s="3" t="s">
        <v>877</v>
      </c>
    </row>
    <row r="37" spans="1:7">
      <c r="A37" s="6">
        <v>42901</v>
      </c>
      <c r="B37" s="3" t="s">
        <v>2053</v>
      </c>
      <c r="C37" s="3" t="s">
        <v>18</v>
      </c>
      <c r="D37" s="8" t="str">
        <f>HYPERLINK("http://npthd.inbcu.com/ViewContent.aspx?filename=NPMR_CBS_2017-06-15_E.MP4$3689$3752","SUPERIOR DONUTS: man with a health plan")</f>
        <v>SUPERIOR DONUTS: man with a health plan</v>
      </c>
      <c r="E37" s="3" t="s">
        <v>1344</v>
      </c>
      <c r="F37" s="3" t="s">
        <v>877</v>
      </c>
      <c r="G37" s="3" t="s">
        <v>2080</v>
      </c>
    </row>
    <row r="38" spans="1:7">
      <c r="A38" s="6">
        <v>42901</v>
      </c>
      <c r="B38" s="3" t="s">
        <v>2053</v>
      </c>
      <c r="C38" s="3" t="s">
        <v>14</v>
      </c>
      <c r="D38" s="8" t="str">
        <f>HYPERLINK("http://npthd.inbcu.com/ViewContent.aspx?filename=NPMR_CBS_2017-06-15_E.MP4$3752$3773","Kevin Can Wait")</f>
        <v>Kevin Can Wait</v>
      </c>
      <c r="E38" s="3" t="s">
        <v>2067</v>
      </c>
      <c r="F38" s="3" t="s">
        <v>2080</v>
      </c>
      <c r="G38" s="3" t="s">
        <v>804</v>
      </c>
    </row>
    <row r="39" spans="1:7">
      <c r="A39" s="6">
        <v>42901</v>
      </c>
      <c r="B39" s="3" t="s">
        <v>2053</v>
      </c>
      <c r="C39" s="3" t="s">
        <v>18</v>
      </c>
      <c r="D39" s="8" t="str">
        <f>HYPERLINK("http://npthd.inbcu.com/ViewContent.aspx?filename=NPMR_CBS_2017-06-15_E.MP4$3773$3778","SUPERIOR DONUTS: man with a health plan")</f>
        <v>SUPERIOR DONUTS: man with a health plan</v>
      </c>
      <c r="E39" s="3" t="s">
        <v>54</v>
      </c>
      <c r="F39" s="3" t="s">
        <v>804</v>
      </c>
      <c r="G39" s="3" t="s">
        <v>157</v>
      </c>
    </row>
    <row r="40" spans="1:7">
      <c r="A40" s="6">
        <v>42901</v>
      </c>
      <c r="B40" s="3" t="s">
        <v>2053</v>
      </c>
      <c r="C40" s="3" t="s">
        <v>14</v>
      </c>
      <c r="D40" s="8" t="str">
        <f>HYPERLINK("http://npthd.inbcu.com/ViewContent.aspx?filename=NPMR_CBS_2017-06-15_E.MP4$3778$3783","Late Show with Stephen Colbert")</f>
        <v>Late Show with Stephen Colbert</v>
      </c>
      <c r="E40" s="3" t="s">
        <v>54</v>
      </c>
      <c r="F40" s="3" t="s">
        <v>157</v>
      </c>
      <c r="G40" s="3" t="s">
        <v>2081</v>
      </c>
    </row>
    <row r="41" spans="1:7">
      <c r="A41" s="6">
        <v>42901</v>
      </c>
      <c r="B41" s="3" t="s">
        <v>2053</v>
      </c>
      <c r="C41" s="3" t="s">
        <v>18</v>
      </c>
      <c r="D41" s="8" t="str">
        <f>HYPERLINK("http://npthd.inbcu.com/ViewContent.aspx?filename=NPMR_CBS_2017-06-15_E.MP4$3783$3925","MOM: xanax and a baby duck")</f>
        <v>MOM: xanax and a baby duck</v>
      </c>
      <c r="E41" s="3" t="s">
        <v>2082</v>
      </c>
      <c r="F41" s="3" t="s">
        <v>2081</v>
      </c>
      <c r="G41" s="3" t="s">
        <v>2083</v>
      </c>
    </row>
    <row r="42" spans="1:7">
      <c r="A42" s="6">
        <v>42901</v>
      </c>
      <c r="B42" s="3" t="s">
        <v>2053</v>
      </c>
      <c r="C42" s="3" t="s">
        <v>21</v>
      </c>
      <c r="D42" s="8" t="str">
        <f>HYPERLINK("http://npthd.inbcu.com/ViewContent.aspx?filename=NPMR_CBS_2017-06-15_E.MP4$3925$4047","COMMERCIAL")</f>
        <v>COMMERCIAL</v>
      </c>
      <c r="E42" s="3" t="s">
        <v>252</v>
      </c>
      <c r="F42" s="3" t="s">
        <v>2083</v>
      </c>
      <c r="G42" s="3" t="s">
        <v>2084</v>
      </c>
    </row>
    <row r="43" spans="1:7">
      <c r="A43" s="6">
        <v>42901</v>
      </c>
      <c r="B43" s="3" t="s">
        <v>2053</v>
      </c>
      <c r="C43" s="3" t="s">
        <v>14</v>
      </c>
      <c r="D43" s="8" t="str">
        <f>HYPERLINK("http://npthd.inbcu.com/ViewContent.aspx?filename=NPMR_CBS_2017-06-15_E.MP4$4047$4067","Candy Crush")</f>
        <v>Candy Crush</v>
      </c>
      <c r="E43" s="3" t="s">
        <v>1805</v>
      </c>
      <c r="F43" s="3" t="s">
        <v>2084</v>
      </c>
      <c r="G43" s="3" t="s">
        <v>2085</v>
      </c>
    </row>
    <row r="44" spans="1:7">
      <c r="A44" s="6">
        <v>42901</v>
      </c>
      <c r="B44" s="3" t="s">
        <v>2053</v>
      </c>
      <c r="C44" s="3" t="s">
        <v>18</v>
      </c>
      <c r="D44" s="8" t="str">
        <f>HYPERLINK("http://npthd.inbcu.com/ViewContent.aspx?filename=NPMR_CBS_2017-06-15_E.MP4$4067$4475","MOM: xanax and a baby duck")</f>
        <v>MOM: xanax and a baby duck</v>
      </c>
      <c r="E44" s="3" t="s">
        <v>1696</v>
      </c>
      <c r="F44" s="3" t="s">
        <v>2085</v>
      </c>
      <c r="G44" s="3" t="s">
        <v>2086</v>
      </c>
    </row>
    <row r="45" spans="1:7">
      <c r="A45" s="6">
        <v>42901</v>
      </c>
      <c r="B45" s="3" t="s">
        <v>2053</v>
      </c>
      <c r="C45" s="3" t="s">
        <v>21</v>
      </c>
      <c r="D45" s="8" t="str">
        <f>HYPERLINK("http://npthd.inbcu.com/ViewContent.aspx?filename=NPMR_CBS_2017-06-15_E.MP4$4475$4625","COMMERCIAL")</f>
        <v>COMMERCIAL</v>
      </c>
      <c r="E45" s="3" t="s">
        <v>28</v>
      </c>
      <c r="F45" s="3" t="s">
        <v>2086</v>
      </c>
      <c r="G45" s="3" t="s">
        <v>2087</v>
      </c>
    </row>
    <row r="46" spans="1:7">
      <c r="A46" s="6">
        <v>42901</v>
      </c>
      <c r="B46" s="3" t="s">
        <v>2053</v>
      </c>
      <c r="C46" s="3" t="s">
        <v>32</v>
      </c>
      <c r="D46" s="8" t="str">
        <f>HYPERLINK("http://npthd.inbcu.com/ViewContent.aspx?filename=NPMR_CBS_2017-06-15_E.MP4$4625$4691","LOCAL")</f>
        <v>LOCAL</v>
      </c>
      <c r="E46" s="3" t="s">
        <v>2088</v>
      </c>
      <c r="F46" s="3" t="s">
        <v>2087</v>
      </c>
      <c r="G46" s="3" t="s">
        <v>2089</v>
      </c>
    </row>
    <row r="47" spans="1:7">
      <c r="A47" s="6">
        <v>42901</v>
      </c>
      <c r="B47" s="3" t="s">
        <v>2053</v>
      </c>
      <c r="C47" s="3" t="s">
        <v>18</v>
      </c>
      <c r="D47" s="8" t="str">
        <f>HYPERLINK("http://npthd.inbcu.com/ViewContent.aspx?filename=NPMR_CBS_2017-06-15_E.MP4$4691$5209","MOM: xanax and a baby duck")</f>
        <v>MOM: xanax and a baby duck</v>
      </c>
      <c r="E47" s="3" t="s">
        <v>1095</v>
      </c>
      <c r="F47" s="3" t="s">
        <v>2089</v>
      </c>
      <c r="G47" s="3" t="s">
        <v>2090</v>
      </c>
    </row>
    <row r="48" spans="1:7">
      <c r="A48" s="6">
        <v>42901</v>
      </c>
      <c r="B48" s="3" t="s">
        <v>2053</v>
      </c>
      <c r="C48" s="3" t="s">
        <v>21</v>
      </c>
      <c r="D48" s="8" t="str">
        <f>HYPERLINK("http://npthd.inbcu.com/ViewContent.aspx?filename=NPMR_CBS_2017-06-15_E.MP4$5209$5362","COMMERCIAL")</f>
        <v>COMMERCIAL</v>
      </c>
      <c r="E48" s="3" t="s">
        <v>1735</v>
      </c>
      <c r="F48" s="3" t="s">
        <v>2090</v>
      </c>
      <c r="G48" s="3" t="s">
        <v>1435</v>
      </c>
    </row>
    <row r="49" spans="1:7">
      <c r="A49" s="6">
        <v>42901</v>
      </c>
      <c r="B49" s="3" t="s">
        <v>2053</v>
      </c>
      <c r="C49" s="3" t="s">
        <v>14</v>
      </c>
      <c r="D49" s="8" t="str">
        <f>HYPERLINK("http://npthd.inbcu.com/ViewContent.aspx?filename=NPMR_CBS_2017-06-15_E.MP4$5362$5372","Big Brother")</f>
        <v>Big Brother</v>
      </c>
      <c r="E49" s="3" t="s">
        <v>197</v>
      </c>
      <c r="F49" s="3" t="s">
        <v>1435</v>
      </c>
      <c r="G49" s="3" t="s">
        <v>2091</v>
      </c>
    </row>
    <row r="50" spans="1:7">
      <c r="A50" s="6">
        <v>42901</v>
      </c>
      <c r="B50" s="3" t="s">
        <v>2053</v>
      </c>
      <c r="C50" s="3" t="s">
        <v>18</v>
      </c>
      <c r="D50" s="8" t="str">
        <f>HYPERLINK("http://npthd.inbcu.com/ViewContent.aspx?filename=NPMR_CBS_2017-06-15_E.MP4$5372$5493","MOM: xanax and a baby duck")</f>
        <v>MOM: xanax and a baby duck</v>
      </c>
      <c r="E50" s="3" t="s">
        <v>175</v>
      </c>
      <c r="F50" s="3" t="s">
        <v>2091</v>
      </c>
      <c r="G50" s="3" t="s">
        <v>2092</v>
      </c>
    </row>
    <row r="51" spans="1:7">
      <c r="A51" s="6">
        <v>42901</v>
      </c>
      <c r="B51" s="3" t="s">
        <v>2053</v>
      </c>
      <c r="C51" s="3" t="s">
        <v>14</v>
      </c>
      <c r="D51" s="8" t="str">
        <f>HYPERLINK("http://npthd.inbcu.com/ViewContent.aspx?filename=NPMR_CBS_2017-06-15_E.MP4$5493$5513","Salvation")</f>
        <v>Salvation</v>
      </c>
      <c r="E51" s="3" t="s">
        <v>1805</v>
      </c>
      <c r="F51" s="3" t="s">
        <v>2092</v>
      </c>
      <c r="G51" s="3" t="s">
        <v>1436</v>
      </c>
    </row>
    <row r="52" spans="1:7">
      <c r="A52" s="6">
        <v>42901</v>
      </c>
      <c r="B52" s="3" t="s">
        <v>2053</v>
      </c>
      <c r="C52" s="3" t="s">
        <v>18</v>
      </c>
      <c r="D52" s="8" t="str">
        <f>HYPERLINK("http://npthd.inbcu.com/ViewContent.aspx?filename=NPMR_CBS_2017-06-15_E.MP4$5513$5517","MOM: xanax and a baby duck")</f>
        <v>MOM: xanax and a baby duck</v>
      </c>
      <c r="E52" s="3" t="s">
        <v>84</v>
      </c>
      <c r="F52" s="3" t="s">
        <v>1436</v>
      </c>
      <c r="G52" s="3" t="s">
        <v>2093</v>
      </c>
    </row>
    <row r="53" spans="1:7">
      <c r="A53" s="6">
        <v>42901</v>
      </c>
      <c r="B53" s="3" t="s">
        <v>2053</v>
      </c>
      <c r="C53" s="3" t="s">
        <v>14</v>
      </c>
      <c r="D53" s="8" t="str">
        <f>HYPERLINK("http://npthd.inbcu.com/ViewContent.aspx?filename=NPMR_CBS_2017-06-15_E.MP4$5517$5523","Zoo")</f>
        <v>Zoo</v>
      </c>
      <c r="E53" s="3" t="s">
        <v>15</v>
      </c>
      <c r="F53" s="3" t="s">
        <v>2093</v>
      </c>
      <c r="G53" s="3" t="s">
        <v>551</v>
      </c>
    </row>
    <row r="54" spans="1:7">
      <c r="A54" s="6">
        <v>42901</v>
      </c>
      <c r="B54" s="3" t="s">
        <v>2053</v>
      </c>
      <c r="C54" s="3" t="s">
        <v>18</v>
      </c>
      <c r="D54" s="8" t="str">
        <f>HYPERLINK("http://npthd.inbcu.com/ViewContent.aspx?filename=NPMR_CBS_2017-06-15_E.MP4$5523$6143","LIFE IN PIECES:")</f>
        <v>LIFE IN PIECES:</v>
      </c>
      <c r="E54" s="3" t="s">
        <v>367</v>
      </c>
      <c r="F54" s="3" t="s">
        <v>551</v>
      </c>
      <c r="G54" s="3" t="s">
        <v>740</v>
      </c>
    </row>
    <row r="55" spans="1:7">
      <c r="A55" s="6">
        <v>42901</v>
      </c>
      <c r="B55" s="3" t="s">
        <v>2053</v>
      </c>
      <c r="C55" s="3" t="s">
        <v>21</v>
      </c>
      <c r="D55" s="8" t="str">
        <f>HYPERLINK("http://npthd.inbcu.com/ViewContent.aspx?filename=NPMR_CBS_2017-06-15_E.MP4$6143$6244","COMMERCIAL")</f>
        <v>COMMERCIAL</v>
      </c>
      <c r="E55" s="3" t="s">
        <v>2094</v>
      </c>
      <c r="F55" s="3" t="s">
        <v>740</v>
      </c>
      <c r="G55" s="3" t="s">
        <v>2095</v>
      </c>
    </row>
    <row r="56" spans="1:7">
      <c r="A56" s="6">
        <v>42901</v>
      </c>
      <c r="B56" s="3" t="s">
        <v>2053</v>
      </c>
      <c r="C56" s="3" t="s">
        <v>14</v>
      </c>
      <c r="D56" s="8" t="str">
        <f>HYPERLINK("http://npthd.inbcu.com/ViewContent.aspx?filename=NPMR_CBS_2017-06-15_E.MP4$6244$6259","Big Brother")</f>
        <v>Big Brother</v>
      </c>
      <c r="E56" s="3" t="s">
        <v>30</v>
      </c>
      <c r="F56" s="3" t="s">
        <v>2095</v>
      </c>
      <c r="G56" s="3" t="s">
        <v>2096</v>
      </c>
    </row>
    <row r="57" spans="1:7">
      <c r="A57" s="6">
        <v>42901</v>
      </c>
      <c r="B57" s="3" t="s">
        <v>2053</v>
      </c>
      <c r="C57" s="3" t="s">
        <v>18</v>
      </c>
      <c r="D57" s="8" t="str">
        <f>HYPERLINK("http://npthd.inbcu.com/ViewContent.aspx?filename=NPMR_CBS_2017-06-15_E.MP4$6259$6531","LIFE IN PIECES:")</f>
        <v>LIFE IN PIECES:</v>
      </c>
      <c r="E57" s="3" t="s">
        <v>381</v>
      </c>
      <c r="F57" s="3" t="s">
        <v>2096</v>
      </c>
      <c r="G57" s="3" t="s">
        <v>2097</v>
      </c>
    </row>
    <row r="58" spans="1:7">
      <c r="A58" s="6">
        <v>42901</v>
      </c>
      <c r="B58" s="3" t="s">
        <v>2053</v>
      </c>
      <c r="C58" s="3" t="s">
        <v>21</v>
      </c>
      <c r="D58" s="8" t="str">
        <f>HYPERLINK("http://npthd.inbcu.com/ViewContent.aspx?filename=NPMR_CBS_2017-06-15_E.MP4$6531$6681","COMMERCIAL")</f>
        <v>COMMERCIAL</v>
      </c>
      <c r="E58" s="3" t="s">
        <v>28</v>
      </c>
      <c r="F58" s="3" t="s">
        <v>2097</v>
      </c>
      <c r="G58" s="3" t="s">
        <v>2098</v>
      </c>
    </row>
    <row r="59" spans="1:7">
      <c r="A59" s="6">
        <v>42901</v>
      </c>
      <c r="B59" s="3" t="s">
        <v>2053</v>
      </c>
      <c r="C59" s="3" t="s">
        <v>14</v>
      </c>
      <c r="D59" s="8" t="str">
        <f>HYPERLINK("http://npthd.inbcu.com/ViewContent.aspx?filename=NPMR_CBS_2017-06-15_E.MP4$6681$6693","48 Hours")</f>
        <v>48 Hours</v>
      </c>
      <c r="E59" s="3" t="s">
        <v>2057</v>
      </c>
      <c r="F59" s="3" t="s">
        <v>2098</v>
      </c>
      <c r="G59" s="3" t="s">
        <v>2099</v>
      </c>
    </row>
    <row r="60" spans="1:7">
      <c r="A60" s="6">
        <v>42901</v>
      </c>
      <c r="B60" s="3" t="s">
        <v>2053</v>
      </c>
      <c r="C60" s="3" t="s">
        <v>14</v>
      </c>
      <c r="D60" s="8" t="str">
        <f>HYPERLINK("http://npthd.inbcu.com/ViewContent.aspx?filename=NPMR_CBS_2017-06-15_E.MP4$6693$6702","Candy Crush")</f>
        <v>Candy Crush</v>
      </c>
      <c r="E60" s="3" t="s">
        <v>2074</v>
      </c>
      <c r="F60" s="3" t="s">
        <v>2099</v>
      </c>
      <c r="G60" s="3" t="s">
        <v>1443</v>
      </c>
    </row>
    <row r="61" spans="1:7">
      <c r="A61" s="6">
        <v>42901</v>
      </c>
      <c r="B61" s="3" t="s">
        <v>2053</v>
      </c>
      <c r="C61" s="3" t="s">
        <v>32</v>
      </c>
      <c r="D61" s="8" t="str">
        <f>HYPERLINK("http://npthd.inbcu.com/ViewContent.aspx?filename=NPMR_CBS_2017-06-15_E.MP4$6702$6797","LOCAL")</f>
        <v>LOCAL</v>
      </c>
      <c r="E61" s="3" t="s">
        <v>2076</v>
      </c>
      <c r="F61" s="3" t="s">
        <v>1443</v>
      </c>
      <c r="G61" s="3" t="s">
        <v>2100</v>
      </c>
    </row>
    <row r="62" spans="1:7">
      <c r="A62" s="6">
        <v>42901</v>
      </c>
      <c r="B62" s="3" t="s">
        <v>2053</v>
      </c>
      <c r="C62" s="3" t="s">
        <v>18</v>
      </c>
      <c r="D62" s="8" t="str">
        <f>HYPERLINK("http://npthd.inbcu.com/ViewContent.aspx?filename=NPMR_CBS_2017-06-15_E.MP4$6797$6893","LIFE IN PIECES:")</f>
        <v>LIFE IN PIECES:</v>
      </c>
      <c r="E62" s="3" t="s">
        <v>2101</v>
      </c>
      <c r="F62" s="3" t="s">
        <v>2100</v>
      </c>
      <c r="G62" s="3" t="s">
        <v>2102</v>
      </c>
    </row>
    <row r="63" spans="1:7">
      <c r="A63" s="6">
        <v>42901</v>
      </c>
      <c r="B63" s="3" t="s">
        <v>2053</v>
      </c>
      <c r="C63" s="3" t="s">
        <v>21</v>
      </c>
      <c r="D63" s="8" t="str">
        <f>HYPERLINK("http://npthd.inbcu.com/ViewContent.aspx?filename=NPMR_CBS_2017-06-15_E.MP4$6893$7030","COMMERCIAL")</f>
        <v>COMMERCIAL</v>
      </c>
      <c r="E63" s="3" t="s">
        <v>488</v>
      </c>
      <c r="F63" s="3" t="s">
        <v>2102</v>
      </c>
      <c r="G63" s="3" t="s">
        <v>2103</v>
      </c>
    </row>
    <row r="64" spans="1:7">
      <c r="A64" s="6">
        <v>42901</v>
      </c>
      <c r="B64" s="3" t="s">
        <v>2053</v>
      </c>
      <c r="C64" s="3" t="s">
        <v>14</v>
      </c>
      <c r="D64" s="8" t="str">
        <f>HYPERLINK("http://npthd.inbcu.com/ViewContent.aspx?filename=NPMR_CBS_2017-06-15_E.MP4$7030$7040","Talk, The")</f>
        <v>Talk, The</v>
      </c>
      <c r="E64" s="3" t="s">
        <v>197</v>
      </c>
      <c r="F64" s="3" t="s">
        <v>2103</v>
      </c>
      <c r="G64" s="3" t="s">
        <v>2104</v>
      </c>
    </row>
    <row r="65" spans="1:7">
      <c r="A65" s="6">
        <v>42901</v>
      </c>
      <c r="B65" s="3" t="s">
        <v>2053</v>
      </c>
      <c r="C65" s="3" t="s">
        <v>18</v>
      </c>
      <c r="D65" s="8" t="str">
        <f>HYPERLINK("http://npthd.inbcu.com/ViewContent.aspx?filename=NPMR_CBS_2017-06-15_E.MP4$7040$7293","LIFE IN PIECES:")</f>
        <v>LIFE IN PIECES:</v>
      </c>
      <c r="E65" s="3" t="s">
        <v>2105</v>
      </c>
      <c r="F65" s="3" t="s">
        <v>2104</v>
      </c>
      <c r="G65" s="3" t="s">
        <v>2106</v>
      </c>
    </row>
    <row r="66" spans="1:7">
      <c r="A66" s="6">
        <v>42901</v>
      </c>
      <c r="B66" s="3" t="s">
        <v>2053</v>
      </c>
      <c r="C66" s="3" t="s">
        <v>14</v>
      </c>
      <c r="D66" s="8" t="str">
        <f>HYPERLINK("http://npthd.inbcu.com/ViewContent.aspx?filename=NPMR_CBS_2017-06-15_E.MP4$7293$7313","Kevin Can Wait")</f>
        <v>Kevin Can Wait</v>
      </c>
      <c r="E66" s="3" t="s">
        <v>1805</v>
      </c>
      <c r="F66" s="3" t="s">
        <v>2106</v>
      </c>
      <c r="G66" s="3" t="s">
        <v>750</v>
      </c>
    </row>
    <row r="67" spans="1:7">
      <c r="A67" s="6">
        <v>42901</v>
      </c>
      <c r="B67" s="3" t="s">
        <v>2053</v>
      </c>
      <c r="C67" s="3" t="s">
        <v>18</v>
      </c>
      <c r="D67" s="8" t="str">
        <f>HYPERLINK("http://npthd.inbcu.com/ViewContent.aspx?filename=NPMR_CBS_2017-06-15_E.MP4$7313$7318","LIFE IN PIECES:")</f>
        <v>LIFE IN PIECES:</v>
      </c>
      <c r="E67" s="3" t="s">
        <v>54</v>
      </c>
      <c r="F67" s="3" t="s">
        <v>750</v>
      </c>
      <c r="G67" s="3" t="s">
        <v>394</v>
      </c>
    </row>
    <row r="68" spans="1:7">
      <c r="A68" s="6">
        <v>42901</v>
      </c>
      <c r="B68" s="3" t="s">
        <v>2053</v>
      </c>
      <c r="C68" s="3" t="s">
        <v>14</v>
      </c>
      <c r="D68" s="8" t="str">
        <f>HYPERLINK("http://npthd.inbcu.com/ViewContent.aspx?filename=NPMR_CBS_2017-06-15_E.MP4$7318$7323","Late Show with Stephen Colbert")</f>
        <v>Late Show with Stephen Colbert</v>
      </c>
      <c r="E68" s="3" t="s">
        <v>54</v>
      </c>
      <c r="F68" s="3" t="s">
        <v>394</v>
      </c>
      <c r="G68" s="3" t="s">
        <v>395</v>
      </c>
    </row>
    <row r="69" spans="1:7">
      <c r="A69" s="6">
        <v>42901</v>
      </c>
      <c r="B69" s="3" t="s">
        <v>2053</v>
      </c>
      <c r="C69" s="3" t="s">
        <v>18</v>
      </c>
      <c r="D69" s="8" t="str">
        <f>HYPERLINK("http://npthd.inbcu.com/ViewContent.aspx?filename=NPMR_CBS_2017-06-15_E.MP4$7323$7989","SCORPION:")</f>
        <v>SCORPION:</v>
      </c>
      <c r="E69" s="3" t="s">
        <v>2107</v>
      </c>
      <c r="F69" s="3" t="s">
        <v>395</v>
      </c>
      <c r="G69" s="3" t="s">
        <v>2108</v>
      </c>
    </row>
    <row r="70" spans="1:7">
      <c r="A70" s="6">
        <v>42901</v>
      </c>
      <c r="B70" s="3" t="s">
        <v>2053</v>
      </c>
      <c r="C70" s="3" t="s">
        <v>21</v>
      </c>
      <c r="D70" s="8" t="str">
        <f>HYPERLINK("http://npthd.inbcu.com/ViewContent.aspx?filename=NPMR_CBS_2017-06-15_E.MP4$7989$8170","COMMERCIAL")</f>
        <v>COMMERCIAL</v>
      </c>
      <c r="E70" s="3" t="s">
        <v>108</v>
      </c>
      <c r="F70" s="3" t="s">
        <v>2108</v>
      </c>
      <c r="G70" s="3" t="s">
        <v>1016</v>
      </c>
    </row>
    <row r="71" spans="1:7">
      <c r="A71" s="6">
        <v>42901</v>
      </c>
      <c r="B71" s="3" t="s">
        <v>2053</v>
      </c>
      <c r="C71" s="3" t="s">
        <v>14</v>
      </c>
      <c r="D71" s="8" t="str">
        <f>HYPERLINK("http://npthd.inbcu.com/ViewContent.aspx?filename=NPMR_CBS_2017-06-15_E.MP4$8170$8185","CBS All Access")</f>
        <v>CBS All Access</v>
      </c>
      <c r="E71" s="3" t="s">
        <v>30</v>
      </c>
      <c r="F71" s="3" t="s">
        <v>1016</v>
      </c>
      <c r="G71" s="3" t="s">
        <v>1517</v>
      </c>
    </row>
    <row r="72" spans="1:7">
      <c r="A72" s="6">
        <v>42901</v>
      </c>
      <c r="B72" s="3" t="s">
        <v>2053</v>
      </c>
      <c r="C72" s="3" t="s">
        <v>14</v>
      </c>
      <c r="D72" s="8" t="str">
        <f>HYPERLINK("http://npthd.inbcu.com/ViewContent.aspx?filename=NPMR_CBS_2017-06-15_E.MP4$8185$8205","Candy Crush")</f>
        <v>Candy Crush</v>
      </c>
      <c r="E72" s="3" t="s">
        <v>1805</v>
      </c>
      <c r="F72" s="3" t="s">
        <v>1517</v>
      </c>
      <c r="G72" s="3" t="s">
        <v>2109</v>
      </c>
    </row>
    <row r="73" spans="1:7">
      <c r="A73" s="6">
        <v>42901</v>
      </c>
      <c r="B73" s="3" t="s">
        <v>2053</v>
      </c>
      <c r="C73" s="3" t="s">
        <v>18</v>
      </c>
      <c r="D73" s="8" t="str">
        <f>HYPERLINK("http://npthd.inbcu.com/ViewContent.aspx?filename=NPMR_CBS_2017-06-15_E.MP4$8205$8761","SCORPION:")</f>
        <v>SCORPION:</v>
      </c>
      <c r="E73" s="3" t="s">
        <v>1585</v>
      </c>
      <c r="F73" s="3" t="s">
        <v>2109</v>
      </c>
      <c r="G73" s="3" t="s">
        <v>2110</v>
      </c>
    </row>
    <row r="74" spans="1:7">
      <c r="A74" s="6">
        <v>42901</v>
      </c>
      <c r="B74" s="3" t="s">
        <v>2053</v>
      </c>
      <c r="C74" s="3" t="s">
        <v>21</v>
      </c>
      <c r="D74" s="8" t="str">
        <f>HYPERLINK("http://npthd.inbcu.com/ViewContent.aspx?filename=NPMR_CBS_2017-06-15_E.MP4$8761$8943","COMMERCIAL")</f>
        <v>COMMERCIAL</v>
      </c>
      <c r="E74" s="3" t="s">
        <v>275</v>
      </c>
      <c r="F74" s="3" t="s">
        <v>2110</v>
      </c>
      <c r="G74" s="3" t="s">
        <v>2111</v>
      </c>
    </row>
    <row r="75" spans="1:7">
      <c r="A75" s="6">
        <v>42901</v>
      </c>
      <c r="B75" s="3" t="s">
        <v>2053</v>
      </c>
      <c r="C75" s="3" t="s">
        <v>14</v>
      </c>
      <c r="D75" s="8" t="str">
        <f>HYPERLINK("http://npthd.inbcu.com/ViewContent.aspx?filename=NPMR_CBS_2017-06-15_E.MP4$8943$8953","CBS This Morning")</f>
        <v>CBS This Morning</v>
      </c>
      <c r="E75" s="3" t="s">
        <v>197</v>
      </c>
      <c r="F75" s="3" t="s">
        <v>2111</v>
      </c>
      <c r="G75" s="3" t="s">
        <v>581</v>
      </c>
    </row>
    <row r="76" spans="1:7">
      <c r="A76" s="6">
        <v>42901</v>
      </c>
      <c r="B76" s="3" t="s">
        <v>2053</v>
      </c>
      <c r="C76" s="3" t="s">
        <v>14</v>
      </c>
      <c r="D76" s="8" t="str">
        <f>HYPERLINK("http://npthd.inbcu.com/ViewContent.aspx?filename=NPMR_CBS_2017-06-15_E.MP4$8953$8978","Salvation")</f>
        <v>Salvation</v>
      </c>
      <c r="E76" s="3" t="s">
        <v>582</v>
      </c>
      <c r="F76" s="3" t="s">
        <v>581</v>
      </c>
      <c r="G76" s="3" t="s">
        <v>583</v>
      </c>
    </row>
    <row r="77" spans="1:7">
      <c r="A77" s="6">
        <v>42901</v>
      </c>
      <c r="B77" s="3" t="s">
        <v>2053</v>
      </c>
      <c r="C77" s="3" t="s">
        <v>18</v>
      </c>
      <c r="D77" s="8" t="str">
        <f>HYPERLINK("http://npthd.inbcu.com/ViewContent.aspx?filename=NPMR_CBS_2017-06-15_E.MP4$8978$9539","SCORPION:")</f>
        <v>SCORPION:</v>
      </c>
      <c r="E77" s="3" t="s">
        <v>1290</v>
      </c>
      <c r="F77" s="3" t="s">
        <v>583</v>
      </c>
      <c r="G77" s="3" t="s">
        <v>2112</v>
      </c>
    </row>
    <row r="78" spans="1:7">
      <c r="A78" s="6">
        <v>42901</v>
      </c>
      <c r="B78" s="3" t="s">
        <v>2053</v>
      </c>
      <c r="C78" s="3" t="s">
        <v>21</v>
      </c>
      <c r="D78" s="8" t="str">
        <f>HYPERLINK("http://npthd.inbcu.com/ViewContent.aspx?filename=NPMR_CBS_2017-06-15_E.MP4$9539$9690","COMMERCIAL")</f>
        <v>COMMERCIAL</v>
      </c>
      <c r="E78" s="3" t="s">
        <v>91</v>
      </c>
      <c r="F78" s="3" t="s">
        <v>2112</v>
      </c>
      <c r="G78" s="3" t="s">
        <v>2113</v>
      </c>
    </row>
    <row r="79" spans="1:7">
      <c r="A79" s="6">
        <v>42901</v>
      </c>
      <c r="B79" s="3" t="s">
        <v>2053</v>
      </c>
      <c r="C79" s="3" t="s">
        <v>32</v>
      </c>
      <c r="D79" s="8" t="str">
        <f>HYPERLINK("http://npthd.inbcu.com/ViewContent.aspx?filename=NPMR_CBS_2017-06-15_E.MP4$9690$9831","LOCAL")</f>
        <v>LOCAL</v>
      </c>
      <c r="E79" s="3" t="s">
        <v>1753</v>
      </c>
      <c r="F79" s="3" t="s">
        <v>2113</v>
      </c>
      <c r="G79" s="3" t="s">
        <v>2114</v>
      </c>
    </row>
    <row r="80" spans="1:7">
      <c r="A80" s="6">
        <v>42901</v>
      </c>
      <c r="B80" s="3" t="s">
        <v>2053</v>
      </c>
      <c r="C80" s="3" t="s">
        <v>18</v>
      </c>
      <c r="D80" s="8" t="str">
        <f>HYPERLINK("http://npthd.inbcu.com/ViewContent.aspx?filename=NPMR_CBS_2017-06-15_E.MP4$9831$10139","SCORPION:")</f>
        <v>SCORPION:</v>
      </c>
      <c r="E80" s="3" t="s">
        <v>2115</v>
      </c>
      <c r="F80" s="3" t="s">
        <v>2114</v>
      </c>
      <c r="G80" s="3" t="s">
        <v>2116</v>
      </c>
    </row>
    <row r="81" spans="1:7">
      <c r="A81" s="6">
        <v>42901</v>
      </c>
      <c r="B81" s="3" t="s">
        <v>2053</v>
      </c>
      <c r="C81" s="3" t="s">
        <v>21</v>
      </c>
      <c r="D81" s="8" t="str">
        <f>HYPERLINK("http://npthd.inbcu.com/ViewContent.aspx?filename=NPMR_CBS_2017-06-15_E.MP4$10139$10292","COMMERCIAL")</f>
        <v>COMMERCIAL</v>
      </c>
      <c r="E81" s="3" t="s">
        <v>1735</v>
      </c>
      <c r="F81" s="3" t="s">
        <v>2116</v>
      </c>
      <c r="G81" s="3" t="s">
        <v>2117</v>
      </c>
    </row>
    <row r="82" spans="1:7">
      <c r="A82" s="6">
        <v>42901</v>
      </c>
      <c r="B82" s="3" t="s">
        <v>2053</v>
      </c>
      <c r="C82" s="3" t="s">
        <v>14</v>
      </c>
      <c r="D82" s="8" t="str">
        <f>HYPERLINK("http://npthd.inbcu.com/ViewContent.aspx?filename=NPMR_CBS_2017-06-15_E.MP4$10292$10303","Late Show with Stephen Colbert")</f>
        <v>Late Show with Stephen Colbert</v>
      </c>
      <c r="E82" s="3" t="s">
        <v>1940</v>
      </c>
      <c r="F82" s="3" t="s">
        <v>2117</v>
      </c>
      <c r="G82" s="3" t="s">
        <v>2118</v>
      </c>
    </row>
    <row r="83" spans="1:7">
      <c r="A83" s="6">
        <v>42901</v>
      </c>
      <c r="B83" s="3" t="s">
        <v>2053</v>
      </c>
      <c r="C83" s="3" t="s">
        <v>14</v>
      </c>
      <c r="D83" s="8" t="str">
        <f>HYPERLINK("http://npthd.inbcu.com/ViewContent.aspx?filename=NPMR_CBS_2017-06-15_E.MP4$10303$10313","48 Hours")</f>
        <v>48 Hours</v>
      </c>
      <c r="E83" s="3" t="s">
        <v>197</v>
      </c>
      <c r="F83" s="3" t="s">
        <v>2118</v>
      </c>
      <c r="G83" s="3" t="s">
        <v>2119</v>
      </c>
    </row>
    <row r="84" spans="1:7">
      <c r="A84" s="6">
        <v>42901</v>
      </c>
      <c r="B84" s="3" t="s">
        <v>2053</v>
      </c>
      <c r="C84" s="3" t="s">
        <v>14</v>
      </c>
      <c r="D84" s="8" t="str">
        <f>HYPERLINK("http://npthd.inbcu.com/ViewContent.aspx?filename=NPMR_CBS_2017-06-15_E.MP4$10313$10327","Big Brother")</f>
        <v>Big Brother</v>
      </c>
      <c r="E84" s="3" t="s">
        <v>342</v>
      </c>
      <c r="F84" s="3" t="s">
        <v>2119</v>
      </c>
      <c r="G84" s="3" t="s">
        <v>2120</v>
      </c>
    </row>
    <row r="85" spans="1:7">
      <c r="A85" s="6">
        <v>42901</v>
      </c>
      <c r="B85" s="3" t="s">
        <v>2053</v>
      </c>
      <c r="C85" s="3" t="s">
        <v>32</v>
      </c>
      <c r="D85" s="8" t="str">
        <f>HYPERLINK("http://npthd.inbcu.com/ViewContent.aspx?filename=NPMR_CBS_2017-06-15_E.MP4$10327$10422","LOCAL")</f>
        <v>LOCAL</v>
      </c>
      <c r="E85" s="3" t="s">
        <v>2076</v>
      </c>
      <c r="F85" s="3" t="s">
        <v>2120</v>
      </c>
      <c r="G85" s="3" t="s">
        <v>2121</v>
      </c>
    </row>
    <row r="86" spans="1:7">
      <c r="A86" s="6">
        <v>42901</v>
      </c>
      <c r="B86" s="3" t="s">
        <v>2053</v>
      </c>
      <c r="C86" s="3" t="s">
        <v>18</v>
      </c>
      <c r="D86" s="8" t="str">
        <f>HYPERLINK("http://npthd.inbcu.com/ViewContent.aspx?filename=NPMR_CBS_2017-06-15_E.MP4$10422$10802","SCORPION:")</f>
        <v>SCORPION:</v>
      </c>
      <c r="E86" s="3" t="s">
        <v>1034</v>
      </c>
      <c r="F86" s="3" t="s">
        <v>2121</v>
      </c>
      <c r="G86" s="3" t="s">
        <v>2122</v>
      </c>
    </row>
    <row r="87" spans="1:7">
      <c r="A87" s="6">
        <v>42901</v>
      </c>
      <c r="B87" s="3" t="s">
        <v>2053</v>
      </c>
      <c r="C87" s="3" t="s">
        <v>32</v>
      </c>
      <c r="D87" s="8" t="str">
        <f>HYPERLINK("http://npthd.inbcu.com/ViewContent.aspx?filename=NPMR_CBS_2017-06-15_E.MP4$10802$10814","LOCAL")</f>
        <v>LOCAL</v>
      </c>
      <c r="E87" s="3" t="s">
        <v>2057</v>
      </c>
      <c r="F87" s="3" t="s">
        <v>2122</v>
      </c>
      <c r="G87" s="3" t="s">
        <v>2123</v>
      </c>
    </row>
    <row r="88" spans="1:7">
      <c r="A88" s="6">
        <v>42901</v>
      </c>
      <c r="B88" s="3" t="s">
        <v>2053</v>
      </c>
      <c r="C88" s="3" t="s">
        <v>21</v>
      </c>
      <c r="D88" s="8" t="str">
        <f>HYPERLINK("http://npthd.inbcu.com/ViewContent.aspx?filename=NPMR_CBS_2017-06-15_E.MP4$10814$10874","COMMERCIAL")</f>
        <v>COMMERCIAL</v>
      </c>
      <c r="E88" s="3" t="s">
        <v>66</v>
      </c>
      <c r="F88" s="3" t="s">
        <v>2123</v>
      </c>
      <c r="G88" s="3" t="s">
        <v>938</v>
      </c>
    </row>
    <row r="89" spans="1:7">
      <c r="A89" s="6">
        <v>42901</v>
      </c>
      <c r="B89" s="3" t="s">
        <v>2053</v>
      </c>
      <c r="C89" s="3" t="s">
        <v>14</v>
      </c>
      <c r="D89" s="8" t="str">
        <f>HYPERLINK("http://npthd.inbcu.com/ViewContent.aspx?filename=NPMR_CBS_2017-06-15_E.MP4$10874$10880","Late Show with Stephen Colbert")</f>
        <v>Late Show with Stephen Colbert</v>
      </c>
      <c r="E89" s="3" t="s">
        <v>15</v>
      </c>
      <c r="F89" s="3" t="s">
        <v>938</v>
      </c>
      <c r="G89" s="3" t="s">
        <v>773</v>
      </c>
    </row>
    <row r="90" spans="1:7">
      <c r="A90" s="6">
        <v>42901</v>
      </c>
      <c r="B90" s="3" t="s">
        <v>2053</v>
      </c>
      <c r="C90" s="3" t="s">
        <v>14</v>
      </c>
      <c r="D90" s="8" t="str">
        <f>HYPERLINK("http://npthd.inbcu.com/ViewContent.aspx?filename=NPMR_CBS_2017-06-15_E.MP4$10880$10902","Zoo")</f>
        <v>Zoo</v>
      </c>
      <c r="E90" s="3" t="s">
        <v>2124</v>
      </c>
      <c r="F90" s="3" t="s">
        <v>773</v>
      </c>
      <c r="G90" s="3" t="s">
        <v>1181</v>
      </c>
    </row>
    <row r="91" spans="1:7">
      <c r="A91" s="6">
        <v>42901</v>
      </c>
      <c r="B91" s="3" t="s">
        <v>2053</v>
      </c>
      <c r="C91" s="3" t="s">
        <v>32</v>
      </c>
      <c r="D91" s="8" t="str">
        <f>HYPERLINK("http://npthd.inbcu.com/ViewContent.aspx?filename=NPMR_CBS_2017-06-15_E.MP4$10902$10918","LOCAL")</f>
        <v>LOCAL</v>
      </c>
      <c r="E91" s="3" t="s">
        <v>64</v>
      </c>
      <c r="F91" s="3" t="s">
        <v>1181</v>
      </c>
      <c r="G91" s="3" t="s">
        <v>124</v>
      </c>
    </row>
    <row r="92" spans="1:7">
      <c r="A92" s="6">
        <v>42902</v>
      </c>
      <c r="B92" s="3" t="s">
        <v>2053</v>
      </c>
      <c r="C92" s="3" t="s">
        <v>18</v>
      </c>
      <c r="D92" s="8" t="str">
        <f>HYPERLINK("http://npthd.inbcu.com/ViewContent.aspx?filename=NPMR_CBS_2017-06-16_E.MP4$118$376","48 HOURS: death by text")</f>
        <v>48 HOURS: death by text</v>
      </c>
      <c r="E92" s="3" t="s">
        <v>2125</v>
      </c>
      <c r="F92" s="3" t="s">
        <v>16</v>
      </c>
      <c r="G92" s="3" t="s">
        <v>2126</v>
      </c>
    </row>
    <row r="93" spans="1:7">
      <c r="A93" s="6">
        <v>42902</v>
      </c>
      <c r="B93" s="3" t="s">
        <v>2053</v>
      </c>
      <c r="C93" s="3" t="s">
        <v>21</v>
      </c>
      <c r="D93" s="8" t="str">
        <f>HYPERLINK("http://npthd.inbcu.com/ViewContent.aspx?filename=NPMR_CBS_2017-06-16_E.MP4$376$438","COMMERCIAL")</f>
        <v>COMMERCIAL</v>
      </c>
      <c r="E93" s="3" t="s">
        <v>257</v>
      </c>
      <c r="F93" s="3" t="s">
        <v>2126</v>
      </c>
      <c r="G93" s="3" t="s">
        <v>2127</v>
      </c>
    </row>
    <row r="94" spans="1:7">
      <c r="A94" s="6">
        <v>42902</v>
      </c>
      <c r="B94" s="3" t="s">
        <v>2053</v>
      </c>
      <c r="C94" s="3" t="s">
        <v>1618</v>
      </c>
      <c r="D94" s="8" t="str">
        <f>HYPERLINK("http://npthd.inbcu.com/ViewContent.aspx?filename=NPMR_CBS_2017-06-16_E.MP4$438$458","PSA")</f>
        <v>PSA</v>
      </c>
      <c r="E94" s="3" t="s">
        <v>1805</v>
      </c>
      <c r="F94" s="3" t="s">
        <v>2127</v>
      </c>
      <c r="G94" s="3" t="s">
        <v>2128</v>
      </c>
    </row>
    <row r="95" spans="1:7">
      <c r="A95" s="6">
        <v>42902</v>
      </c>
      <c r="B95" s="3" t="s">
        <v>2053</v>
      </c>
      <c r="C95" s="3" t="s">
        <v>14</v>
      </c>
      <c r="D95" s="8" t="str">
        <f>HYPERLINK("http://npthd.inbcu.com/ViewContent.aspx?filename=NPMR_CBS_2017-06-16_E.MP4$458$469","60 Minutes")</f>
        <v>60 Minutes</v>
      </c>
      <c r="E95" s="3" t="s">
        <v>1940</v>
      </c>
      <c r="F95" s="3" t="s">
        <v>2128</v>
      </c>
      <c r="G95" s="3" t="s">
        <v>2129</v>
      </c>
    </row>
    <row r="96" spans="1:7">
      <c r="A96" s="6">
        <v>42902</v>
      </c>
      <c r="B96" s="3" t="s">
        <v>2053</v>
      </c>
      <c r="C96" s="3" t="s">
        <v>18</v>
      </c>
      <c r="D96" s="8" t="str">
        <f>HYPERLINK("http://npthd.inbcu.com/ViewContent.aspx?filename=NPMR_CBS_2017-06-16_E.MP4$469$992","48 HOURS: death by text")</f>
        <v>48 HOURS: death by text</v>
      </c>
      <c r="E96" s="3" t="s">
        <v>2130</v>
      </c>
      <c r="F96" s="3" t="s">
        <v>2129</v>
      </c>
      <c r="G96" s="3" t="s">
        <v>2131</v>
      </c>
    </row>
    <row r="97" spans="1:7">
      <c r="A97" s="6">
        <v>42902</v>
      </c>
      <c r="B97" s="3" t="s">
        <v>2053</v>
      </c>
      <c r="C97" s="3" t="s">
        <v>21</v>
      </c>
      <c r="D97" s="8" t="str">
        <f>HYPERLINK("http://npthd.inbcu.com/ViewContent.aspx?filename=NPMR_CBS_2017-06-16_E.MP4$992$1143","COMMERCIAL")</f>
        <v>COMMERCIAL</v>
      </c>
      <c r="E97" s="3" t="s">
        <v>91</v>
      </c>
      <c r="F97" s="3" t="s">
        <v>2131</v>
      </c>
      <c r="G97" s="3" t="s">
        <v>2132</v>
      </c>
    </row>
    <row r="98" spans="1:7">
      <c r="A98" s="6">
        <v>42902</v>
      </c>
      <c r="B98" s="3" t="s">
        <v>2053</v>
      </c>
      <c r="C98" s="3" t="s">
        <v>1618</v>
      </c>
      <c r="D98" s="8" t="str">
        <f>HYPERLINK("http://npthd.inbcu.com/ViewContent.aspx?filename=NPMR_CBS_2017-06-16_E.MP4$1143$1153","PSA")</f>
        <v>PSA</v>
      </c>
      <c r="E98" s="3" t="s">
        <v>197</v>
      </c>
      <c r="F98" s="3" t="s">
        <v>2132</v>
      </c>
      <c r="G98" s="3" t="s">
        <v>2133</v>
      </c>
    </row>
    <row r="99" spans="1:7">
      <c r="A99" s="6">
        <v>42902</v>
      </c>
      <c r="B99" s="3" t="s">
        <v>2053</v>
      </c>
      <c r="C99" s="3" t="s">
        <v>14</v>
      </c>
      <c r="D99" s="8" t="str">
        <f>HYPERLINK("http://npthd.inbcu.com/ViewContent.aspx?filename=NPMR_CBS_2017-06-16_E.MP4$1153$1163","Late Show with Stephen Colbert")</f>
        <v>Late Show with Stephen Colbert</v>
      </c>
      <c r="E99" s="3" t="s">
        <v>197</v>
      </c>
      <c r="F99" s="3" t="s">
        <v>2133</v>
      </c>
      <c r="G99" s="3" t="s">
        <v>2134</v>
      </c>
    </row>
    <row r="100" spans="1:7">
      <c r="A100" s="6">
        <v>42902</v>
      </c>
      <c r="B100" s="3" t="s">
        <v>2053</v>
      </c>
      <c r="C100" s="3" t="s">
        <v>14</v>
      </c>
      <c r="D100" s="8" t="str">
        <f>HYPERLINK("http://npthd.inbcu.com/ViewContent.aspx?filename=NPMR_CBS_2017-06-16_E.MP4$1163$1178","Salvation")</f>
        <v>Salvation</v>
      </c>
      <c r="E100" s="3" t="s">
        <v>30</v>
      </c>
      <c r="F100" s="3" t="s">
        <v>2134</v>
      </c>
      <c r="G100" s="3" t="s">
        <v>1318</v>
      </c>
    </row>
    <row r="101" spans="1:7">
      <c r="A101" s="6">
        <v>42902</v>
      </c>
      <c r="B101" s="3" t="s">
        <v>2053</v>
      </c>
      <c r="C101" s="3" t="s">
        <v>14</v>
      </c>
      <c r="D101" s="8" t="str">
        <f>HYPERLINK("http://npthd.inbcu.com/ViewContent.aspx?filename=NPMR_CBS_2017-06-16_E.MP4$1178$1195","CBS All Access")</f>
        <v>CBS All Access</v>
      </c>
      <c r="E101" s="3" t="s">
        <v>576</v>
      </c>
      <c r="F101" s="3" t="s">
        <v>1318</v>
      </c>
      <c r="G101" s="3" t="s">
        <v>2135</v>
      </c>
    </row>
    <row r="102" spans="1:7">
      <c r="A102" s="6">
        <v>42902</v>
      </c>
      <c r="B102" s="3" t="s">
        <v>2053</v>
      </c>
      <c r="C102" s="3" t="s">
        <v>18</v>
      </c>
      <c r="D102" s="8" t="str">
        <f>HYPERLINK("http://npthd.inbcu.com/ViewContent.aspx?filename=NPMR_CBS_2017-06-16_E.MP4$1195$1696","48 HOURS: death by text")</f>
        <v>48 HOURS: death by text</v>
      </c>
      <c r="E102" s="3" t="s">
        <v>1633</v>
      </c>
      <c r="F102" s="3" t="s">
        <v>2135</v>
      </c>
      <c r="G102" s="3" t="s">
        <v>2136</v>
      </c>
    </row>
    <row r="103" spans="1:7">
      <c r="A103" s="6">
        <v>42902</v>
      </c>
      <c r="B103" s="3" t="s">
        <v>2053</v>
      </c>
      <c r="C103" s="3" t="s">
        <v>21</v>
      </c>
      <c r="D103" s="8" t="str">
        <f>HYPERLINK("http://npthd.inbcu.com/ViewContent.aspx?filename=NPMR_CBS_2017-06-16_E.MP4$1696$1877","COMMERCIAL")</f>
        <v>COMMERCIAL</v>
      </c>
      <c r="E103" s="3" t="s">
        <v>108</v>
      </c>
      <c r="F103" s="3" t="s">
        <v>2136</v>
      </c>
      <c r="G103" s="3" t="s">
        <v>1266</v>
      </c>
    </row>
    <row r="104" spans="1:7">
      <c r="A104" s="6">
        <v>42902</v>
      </c>
      <c r="B104" s="3" t="s">
        <v>2053</v>
      </c>
      <c r="C104" s="3" t="s">
        <v>14</v>
      </c>
      <c r="D104" s="8" t="str">
        <f>HYPERLINK("http://npthd.inbcu.com/ViewContent.aspx?filename=NPMR_CBS_2017-06-16_E.MP4$1877$1887","Zoo")</f>
        <v>Zoo</v>
      </c>
      <c r="E104" s="3" t="s">
        <v>197</v>
      </c>
      <c r="F104" s="3" t="s">
        <v>1266</v>
      </c>
      <c r="G104" s="3" t="s">
        <v>2137</v>
      </c>
    </row>
    <row r="105" spans="1:7">
      <c r="A105" s="6">
        <v>42902</v>
      </c>
      <c r="B105" s="3" t="s">
        <v>2053</v>
      </c>
      <c r="C105" s="3" t="s">
        <v>14</v>
      </c>
      <c r="D105" s="8" t="str">
        <f>HYPERLINK("http://npthd.inbcu.com/ViewContent.aspx?filename=NPMR_CBS_2017-06-16_E.MP4$1887$1893","Late Show with Stephen Colbert")</f>
        <v>Late Show with Stephen Colbert</v>
      </c>
      <c r="E105" s="3" t="s">
        <v>15</v>
      </c>
      <c r="F105" s="3" t="s">
        <v>2137</v>
      </c>
      <c r="G105" s="3" t="s">
        <v>2138</v>
      </c>
    </row>
    <row r="106" spans="1:7">
      <c r="A106" s="6">
        <v>42902</v>
      </c>
      <c r="B106" s="3" t="s">
        <v>2053</v>
      </c>
      <c r="C106" s="3" t="s">
        <v>32</v>
      </c>
      <c r="D106" s="8" t="str">
        <f>HYPERLINK("http://npthd.inbcu.com/ViewContent.aspx?filename=NPMR_CBS_2017-06-16_E.MP4$1893$1988","LOCAL")</f>
        <v>LOCAL</v>
      </c>
      <c r="E106" s="3" t="s">
        <v>2076</v>
      </c>
      <c r="F106" s="3" t="s">
        <v>2138</v>
      </c>
      <c r="G106" s="3" t="s">
        <v>2139</v>
      </c>
    </row>
    <row r="107" spans="1:7">
      <c r="A107" s="6">
        <v>42902</v>
      </c>
      <c r="B107" s="3" t="s">
        <v>2053</v>
      </c>
      <c r="C107" s="3" t="s">
        <v>18</v>
      </c>
      <c r="D107" s="8" t="str">
        <f>HYPERLINK("http://npthd.inbcu.com/ViewContent.aspx?filename=NPMR_CBS_2017-06-16_E.MP4$1988$2492","48 HOURS: death by text")</f>
        <v>48 HOURS: death by text</v>
      </c>
      <c r="E107" s="3" t="s">
        <v>2140</v>
      </c>
      <c r="F107" s="3" t="s">
        <v>2139</v>
      </c>
      <c r="G107" s="3" t="s">
        <v>1121</v>
      </c>
    </row>
    <row r="108" spans="1:7">
      <c r="A108" s="6">
        <v>42902</v>
      </c>
      <c r="B108" s="3" t="s">
        <v>2053</v>
      </c>
      <c r="C108" s="3" t="s">
        <v>21</v>
      </c>
      <c r="D108" s="8" t="str">
        <f>HYPERLINK("http://npthd.inbcu.com/ViewContent.aspx?filename=NPMR_CBS_2017-06-16_E.MP4$2492$2612","COMMERCIAL")</f>
        <v>COMMERCIAL</v>
      </c>
      <c r="E108" s="3" t="s">
        <v>43</v>
      </c>
      <c r="F108" s="3" t="s">
        <v>1121</v>
      </c>
      <c r="G108" s="3" t="s">
        <v>1123</v>
      </c>
    </row>
    <row r="109" spans="1:7">
      <c r="A109" s="6">
        <v>42902</v>
      </c>
      <c r="B109" s="3" t="s">
        <v>2053</v>
      </c>
      <c r="C109" s="3" t="s">
        <v>14</v>
      </c>
      <c r="D109" s="8" t="str">
        <f>HYPERLINK("http://npthd.inbcu.com/ViewContent.aspx?filename=NPMR_CBS_2017-06-16_E.MP4$2612$2618","Bull")</f>
        <v>Bull</v>
      </c>
      <c r="E109" s="3" t="s">
        <v>15</v>
      </c>
      <c r="F109" s="3" t="s">
        <v>1123</v>
      </c>
      <c r="G109" s="3" t="s">
        <v>2141</v>
      </c>
    </row>
    <row r="110" spans="1:7">
      <c r="A110" s="6">
        <v>42902</v>
      </c>
      <c r="B110" s="3" t="s">
        <v>2053</v>
      </c>
      <c r="C110" s="3" t="s">
        <v>32</v>
      </c>
      <c r="D110" s="8" t="str">
        <f>HYPERLINK("http://npthd.inbcu.com/ViewContent.aspx?filename=NPMR_CBS_2017-06-16_E.MP4$2618$2714","LOCAL")</f>
        <v>LOCAL</v>
      </c>
      <c r="E110" s="3" t="s">
        <v>2101</v>
      </c>
      <c r="F110" s="3" t="s">
        <v>2141</v>
      </c>
      <c r="G110" s="3" t="s">
        <v>793</v>
      </c>
    </row>
    <row r="111" spans="1:7">
      <c r="A111" s="6">
        <v>42902</v>
      </c>
      <c r="B111" s="3" t="s">
        <v>2053</v>
      </c>
      <c r="C111" s="3" t="s">
        <v>18</v>
      </c>
      <c r="D111" s="8" t="str">
        <f>HYPERLINK("http://npthd.inbcu.com/ViewContent.aspx?filename=NPMR_CBS_2017-06-16_E.MP4$2714$3165","48 HOURS: death by text")</f>
        <v>48 HOURS: death by text</v>
      </c>
      <c r="E111" s="3" t="s">
        <v>354</v>
      </c>
      <c r="F111" s="3" t="s">
        <v>793</v>
      </c>
      <c r="G111" s="3" t="s">
        <v>1418</v>
      </c>
    </row>
    <row r="112" spans="1:7">
      <c r="A112" s="6">
        <v>42902</v>
      </c>
      <c r="B112" s="3" t="s">
        <v>2053</v>
      </c>
      <c r="C112" s="3" t="s">
        <v>21</v>
      </c>
      <c r="D112" s="8" t="str">
        <f>HYPERLINK("http://npthd.inbcu.com/ViewContent.aspx?filename=NPMR_CBS_2017-06-16_E.MP4$3165$3346","COMMERCIAL")</f>
        <v>COMMERCIAL</v>
      </c>
      <c r="E112" s="3" t="s">
        <v>108</v>
      </c>
      <c r="F112" s="3" t="s">
        <v>1418</v>
      </c>
      <c r="G112" s="3" t="s">
        <v>2142</v>
      </c>
    </row>
    <row r="113" spans="1:7">
      <c r="A113" s="6">
        <v>42902</v>
      </c>
      <c r="B113" s="3" t="s">
        <v>2053</v>
      </c>
      <c r="C113" s="3" t="s">
        <v>14</v>
      </c>
      <c r="D113" s="8" t="str">
        <f>HYPERLINK("http://npthd.inbcu.com/ViewContent.aspx?filename=NPMR_CBS_2017-06-16_E.MP4$3346$3356","Salvation")</f>
        <v>Salvation</v>
      </c>
      <c r="E113" s="3" t="s">
        <v>197</v>
      </c>
      <c r="F113" s="3" t="s">
        <v>2142</v>
      </c>
      <c r="G113" s="3" t="s">
        <v>2143</v>
      </c>
    </row>
    <row r="114" spans="1:7">
      <c r="A114" s="6">
        <v>42902</v>
      </c>
      <c r="B114" s="3" t="s">
        <v>2053</v>
      </c>
      <c r="C114" s="3" t="s">
        <v>18</v>
      </c>
      <c r="D114" s="8" t="str">
        <f>HYPERLINK("http://npthd.inbcu.com/ViewContent.aspx?filename=NPMR_CBS_2017-06-16_E.MP4$3356$3696","48 HOURS: death by text")</f>
        <v>48 HOURS: death by text</v>
      </c>
      <c r="E114" s="3" t="s">
        <v>142</v>
      </c>
      <c r="F114" s="3" t="s">
        <v>2143</v>
      </c>
      <c r="G114" s="3" t="s">
        <v>2144</v>
      </c>
    </row>
    <row r="115" spans="1:7">
      <c r="A115" s="6">
        <v>42902</v>
      </c>
      <c r="B115" s="3" t="s">
        <v>2053</v>
      </c>
      <c r="C115" s="3" t="s">
        <v>14</v>
      </c>
      <c r="D115" s="8" t="str">
        <f>HYPERLINK("http://npthd.inbcu.com/ViewContent.aspx?filename=NPMR_CBS_2017-06-16_E.MP4$3696$3706","CBS News")</f>
        <v>CBS News</v>
      </c>
      <c r="E115" s="3" t="s">
        <v>197</v>
      </c>
      <c r="F115" s="3" t="s">
        <v>2144</v>
      </c>
      <c r="G115" s="3" t="s">
        <v>2145</v>
      </c>
    </row>
    <row r="116" spans="1:7">
      <c r="A116" s="6">
        <v>42902</v>
      </c>
      <c r="B116" s="3" t="s">
        <v>2053</v>
      </c>
      <c r="C116" s="3" t="s">
        <v>14</v>
      </c>
      <c r="D116" s="8" t="str">
        <f>HYPERLINK("http://npthd.inbcu.com/ViewContent.aspx?filename=NPMR_CBS_2017-06-16_E.MP4$3706$3718","CBS This Morning")</f>
        <v>CBS This Morning</v>
      </c>
      <c r="E116" s="3" t="s">
        <v>2057</v>
      </c>
      <c r="F116" s="3" t="s">
        <v>2145</v>
      </c>
      <c r="G116" s="3" t="s">
        <v>242</v>
      </c>
    </row>
    <row r="117" spans="1:7">
      <c r="A117" s="6">
        <v>42902</v>
      </c>
      <c r="B117" s="3" t="s">
        <v>2053</v>
      </c>
      <c r="C117" s="3" t="s">
        <v>14</v>
      </c>
      <c r="D117" s="8" t="str">
        <f>HYPERLINK("http://npthd.inbcu.com/ViewContent.aspx?filename=NPMR_CBS_2017-06-16_E.MP4$3718$3724","Late Show with Stephen Colbert")</f>
        <v>Late Show with Stephen Colbert</v>
      </c>
      <c r="E117" s="3" t="s">
        <v>15</v>
      </c>
      <c r="F117" s="3" t="s">
        <v>242</v>
      </c>
      <c r="G117" s="3" t="s">
        <v>55</v>
      </c>
    </row>
    <row r="118" spans="1:7">
      <c r="A118" s="6">
        <v>42902</v>
      </c>
      <c r="B118" s="3" t="s">
        <v>2053</v>
      </c>
      <c r="C118" s="3" t="s">
        <v>18</v>
      </c>
      <c r="D118" s="8" t="str">
        <f>HYPERLINK("http://npthd.inbcu.com/ViewContent.aspx?filename=NPMR_CBS_2017-06-16_E.MP4$3724$4139","HAWAII 5-0:")</f>
        <v>HAWAII 5-0:</v>
      </c>
      <c r="E118" s="3" t="s">
        <v>2146</v>
      </c>
      <c r="F118" s="3" t="s">
        <v>55</v>
      </c>
      <c r="G118" s="3" t="s">
        <v>2147</v>
      </c>
    </row>
    <row r="119" spans="1:7">
      <c r="A119" s="6">
        <v>42902</v>
      </c>
      <c r="B119" s="3" t="s">
        <v>2053</v>
      </c>
      <c r="C119" s="3" t="s">
        <v>21</v>
      </c>
      <c r="D119" s="8" t="str">
        <f>HYPERLINK("http://npthd.inbcu.com/ViewContent.aspx?filename=NPMR_CBS_2017-06-16_E.MP4$4139$4292","COMMERCIAL")</f>
        <v>COMMERCIAL</v>
      </c>
      <c r="E119" s="3" t="s">
        <v>1735</v>
      </c>
      <c r="F119" s="3" t="s">
        <v>2147</v>
      </c>
      <c r="G119" s="3" t="s">
        <v>2148</v>
      </c>
    </row>
    <row r="120" spans="1:7">
      <c r="A120" s="6">
        <v>42902</v>
      </c>
      <c r="B120" s="3" t="s">
        <v>2053</v>
      </c>
      <c r="C120" s="3" t="s">
        <v>14</v>
      </c>
      <c r="D120" s="8" t="str">
        <f>HYPERLINK("http://npthd.inbcu.com/ViewContent.aspx?filename=NPMR_CBS_2017-06-16_E.MP4$4292$4312","Big Brother")</f>
        <v>Big Brother</v>
      </c>
      <c r="E120" s="3" t="s">
        <v>1805</v>
      </c>
      <c r="F120" s="3" t="s">
        <v>2148</v>
      </c>
      <c r="G120" s="3" t="s">
        <v>1786</v>
      </c>
    </row>
    <row r="121" spans="1:7">
      <c r="A121" s="6">
        <v>42902</v>
      </c>
      <c r="B121" s="3" t="s">
        <v>2053</v>
      </c>
      <c r="C121" s="3" t="s">
        <v>18</v>
      </c>
      <c r="D121" s="8" t="str">
        <f>HYPERLINK("http://npthd.inbcu.com/ViewContent.aspx?filename=NPMR_CBS_2017-06-16_E.MP4$4312$5205","HAWAII 5-0:")</f>
        <v>HAWAII 5-0:</v>
      </c>
      <c r="E121" s="3" t="s">
        <v>2149</v>
      </c>
      <c r="F121" s="3" t="s">
        <v>1786</v>
      </c>
      <c r="G121" s="3" t="s">
        <v>2150</v>
      </c>
    </row>
    <row r="122" spans="1:7">
      <c r="A122" s="6">
        <v>42902</v>
      </c>
      <c r="B122" s="3" t="s">
        <v>2053</v>
      </c>
      <c r="C122" s="3" t="s">
        <v>21</v>
      </c>
      <c r="D122" s="8" t="str">
        <f>HYPERLINK("http://npthd.inbcu.com/ViewContent.aspx?filename=NPMR_CBS_2017-06-16_E.MP4$5205$5418","COMMERCIAL")</f>
        <v>COMMERCIAL</v>
      </c>
      <c r="E122" s="3" t="s">
        <v>261</v>
      </c>
      <c r="F122" s="3" t="s">
        <v>2150</v>
      </c>
      <c r="G122" s="3" t="s">
        <v>2151</v>
      </c>
    </row>
    <row r="123" spans="1:7">
      <c r="A123" s="6">
        <v>42902</v>
      </c>
      <c r="B123" s="3" t="s">
        <v>2053</v>
      </c>
      <c r="C123" s="3" t="s">
        <v>14</v>
      </c>
      <c r="D123" s="8" t="str">
        <f>HYPERLINK("http://npthd.inbcu.com/ViewContent.aspx?filename=NPMR_CBS_2017-06-16_E.MP4$5418$5448","Salvation")</f>
        <v>Salvation</v>
      </c>
      <c r="E123" s="3" t="s">
        <v>38</v>
      </c>
      <c r="F123" s="3" t="s">
        <v>2151</v>
      </c>
      <c r="G123" s="3" t="s">
        <v>2152</v>
      </c>
    </row>
    <row r="124" spans="1:7">
      <c r="A124" s="6">
        <v>42902</v>
      </c>
      <c r="B124" s="3" t="s">
        <v>2053</v>
      </c>
      <c r="C124" s="3" t="s">
        <v>18</v>
      </c>
      <c r="D124" s="8" t="str">
        <f>HYPERLINK("http://npthd.inbcu.com/ViewContent.aspx?filename=NPMR_CBS_2017-06-16_E.MP4$5448$5993","HAWAII 5-0:")</f>
        <v>HAWAII 5-0:</v>
      </c>
      <c r="E124" s="3" t="s">
        <v>131</v>
      </c>
      <c r="F124" s="3" t="s">
        <v>2152</v>
      </c>
      <c r="G124" s="3" t="s">
        <v>170</v>
      </c>
    </row>
    <row r="125" spans="1:7">
      <c r="A125" s="6">
        <v>42902</v>
      </c>
      <c r="B125" s="3" t="s">
        <v>2053</v>
      </c>
      <c r="C125" s="3" t="s">
        <v>21</v>
      </c>
      <c r="D125" s="8" t="str">
        <f>HYPERLINK("http://npthd.inbcu.com/ViewContent.aspx?filename=NPMR_CBS_2017-06-16_E.MP4$5993$6114","COMMERCIAL")</f>
        <v>COMMERCIAL</v>
      </c>
      <c r="E125" s="3" t="s">
        <v>175</v>
      </c>
      <c r="F125" s="3" t="s">
        <v>170</v>
      </c>
      <c r="G125" s="3" t="s">
        <v>2153</v>
      </c>
    </row>
    <row r="126" spans="1:7">
      <c r="A126" s="6">
        <v>42902</v>
      </c>
      <c r="B126" s="3" t="s">
        <v>2053</v>
      </c>
      <c r="C126" s="3" t="s">
        <v>14</v>
      </c>
      <c r="D126" s="8" t="str">
        <f>HYPERLINK("http://npthd.inbcu.com/ViewContent.aspx?filename=NPMR_CBS_2017-06-16_E.MP4$6114$6124","Zoo")</f>
        <v>Zoo</v>
      </c>
      <c r="E126" s="3" t="s">
        <v>197</v>
      </c>
      <c r="F126" s="3" t="s">
        <v>2153</v>
      </c>
      <c r="G126" s="3" t="s">
        <v>2154</v>
      </c>
    </row>
    <row r="127" spans="1:7">
      <c r="A127" s="6">
        <v>42902</v>
      </c>
      <c r="B127" s="3" t="s">
        <v>2053</v>
      </c>
      <c r="C127" s="3" t="s">
        <v>32</v>
      </c>
      <c r="D127" s="8" t="str">
        <f>HYPERLINK("http://npthd.inbcu.com/ViewContent.aspx?filename=NPMR_CBS_2017-06-16_E.MP4$6124$6189","LOCAL")</f>
        <v>LOCAL</v>
      </c>
      <c r="E127" s="3" t="s">
        <v>580</v>
      </c>
      <c r="F127" s="3" t="s">
        <v>2154</v>
      </c>
      <c r="G127" s="3" t="s">
        <v>2155</v>
      </c>
    </row>
    <row r="128" spans="1:7">
      <c r="A128" s="6">
        <v>42902</v>
      </c>
      <c r="B128" s="3" t="s">
        <v>2053</v>
      </c>
      <c r="C128" s="3" t="s">
        <v>18</v>
      </c>
      <c r="D128" s="8" t="str">
        <f>HYPERLINK("http://npthd.inbcu.com/ViewContent.aspx?filename=NPMR_CBS_2017-06-16_E.MP4$6189$6582","HAWAII 5-0:")</f>
        <v>HAWAII 5-0:</v>
      </c>
      <c r="E128" s="3" t="s">
        <v>765</v>
      </c>
      <c r="F128" s="3" t="s">
        <v>2155</v>
      </c>
      <c r="G128" s="3" t="s">
        <v>2156</v>
      </c>
    </row>
    <row r="129" spans="1:7">
      <c r="A129" s="6">
        <v>42902</v>
      </c>
      <c r="B129" s="3" t="s">
        <v>2053</v>
      </c>
      <c r="C129" s="3" t="s">
        <v>21</v>
      </c>
      <c r="D129" s="8" t="str">
        <f>HYPERLINK("http://npthd.inbcu.com/ViewContent.aspx?filename=NPMR_CBS_2017-06-16_E.MP4$6582$6706","COMMERCIAL")</f>
        <v>COMMERCIAL</v>
      </c>
      <c r="E129" s="3" t="s">
        <v>2013</v>
      </c>
      <c r="F129" s="3" t="s">
        <v>2156</v>
      </c>
      <c r="G129" s="3" t="s">
        <v>2157</v>
      </c>
    </row>
    <row r="130" spans="1:7">
      <c r="A130" s="6">
        <v>42902</v>
      </c>
      <c r="B130" s="3" t="s">
        <v>2053</v>
      </c>
      <c r="C130" s="3" t="s">
        <v>14</v>
      </c>
      <c r="D130" s="8" t="str">
        <f>HYPERLINK("http://npthd.inbcu.com/ViewContent.aspx?filename=NPMR_CBS_2017-06-16_E.MP4$6706$6716","Late Show with Stephen Colbert")</f>
        <v>Late Show with Stephen Colbert</v>
      </c>
      <c r="E130" s="3" t="s">
        <v>197</v>
      </c>
      <c r="F130" s="3" t="s">
        <v>2157</v>
      </c>
      <c r="G130" s="3" t="s">
        <v>2158</v>
      </c>
    </row>
    <row r="131" spans="1:7">
      <c r="A131" s="6">
        <v>42902</v>
      </c>
      <c r="B131" s="3" t="s">
        <v>2053</v>
      </c>
      <c r="C131" s="3" t="s">
        <v>14</v>
      </c>
      <c r="D131" s="8" t="str">
        <f>HYPERLINK("http://npthd.inbcu.com/ViewContent.aspx?filename=NPMR_CBS_2017-06-16_E.MP4$6716$6736","Candy Crush")</f>
        <v>Candy Crush</v>
      </c>
      <c r="E131" s="3" t="s">
        <v>1805</v>
      </c>
      <c r="F131" s="3" t="s">
        <v>2158</v>
      </c>
      <c r="G131" s="3" t="s">
        <v>2159</v>
      </c>
    </row>
    <row r="132" spans="1:7">
      <c r="A132" s="6">
        <v>42902</v>
      </c>
      <c r="B132" s="3" t="s">
        <v>2053</v>
      </c>
      <c r="C132" s="3" t="s">
        <v>32</v>
      </c>
      <c r="D132" s="8" t="str">
        <f>HYPERLINK("http://npthd.inbcu.com/ViewContent.aspx?filename=NPMR_CBS_2017-06-16_E.MP4$6736$6801","LOCAL")</f>
        <v>LOCAL</v>
      </c>
      <c r="E132" s="3" t="s">
        <v>580</v>
      </c>
      <c r="F132" s="3" t="s">
        <v>2159</v>
      </c>
      <c r="G132" s="3" t="s">
        <v>2160</v>
      </c>
    </row>
    <row r="133" spans="1:7">
      <c r="A133" s="6">
        <v>42902</v>
      </c>
      <c r="B133" s="3" t="s">
        <v>2053</v>
      </c>
      <c r="C133" s="3" t="s">
        <v>18</v>
      </c>
      <c r="D133" s="8" t="str">
        <f>HYPERLINK("http://npthd.inbcu.com/ViewContent.aspx?filename=NPMR_CBS_2017-06-16_E.MP4$6801$7128","HAWAII 5-0:")</f>
        <v>HAWAII 5-0:</v>
      </c>
      <c r="E133" s="3" t="s">
        <v>1333</v>
      </c>
      <c r="F133" s="3" t="s">
        <v>2160</v>
      </c>
      <c r="G133" s="3" t="s">
        <v>2161</v>
      </c>
    </row>
    <row r="134" spans="1:7">
      <c r="A134" s="6">
        <v>42902</v>
      </c>
      <c r="B134" s="3" t="s">
        <v>2053</v>
      </c>
      <c r="C134" s="3" t="s">
        <v>21</v>
      </c>
      <c r="D134" s="8" t="str">
        <f>HYPERLINK("http://npthd.inbcu.com/ViewContent.aspx?filename=NPMR_CBS_2017-06-16_E.MP4$7128$7281","COMMERCIAL")</f>
        <v>COMMERCIAL</v>
      </c>
      <c r="E134" s="3" t="s">
        <v>1735</v>
      </c>
      <c r="F134" s="3" t="s">
        <v>2161</v>
      </c>
      <c r="G134" s="3" t="s">
        <v>1366</v>
      </c>
    </row>
    <row r="135" spans="1:7">
      <c r="A135" s="6">
        <v>42902</v>
      </c>
      <c r="B135" s="3" t="s">
        <v>2053</v>
      </c>
      <c r="C135" s="3" t="s">
        <v>14</v>
      </c>
      <c r="D135" s="8" t="str">
        <f>HYPERLINK("http://npthd.inbcu.com/ViewContent.aspx?filename=NPMR_CBS_2017-06-16_E.MP4$7281$7293","Salvation")</f>
        <v>Salvation</v>
      </c>
      <c r="E135" s="3" t="s">
        <v>2057</v>
      </c>
      <c r="F135" s="3" t="s">
        <v>1366</v>
      </c>
      <c r="G135" s="3" t="s">
        <v>2106</v>
      </c>
    </row>
    <row r="136" spans="1:7">
      <c r="A136" s="6">
        <v>42902</v>
      </c>
      <c r="B136" s="3" t="s">
        <v>2053</v>
      </c>
      <c r="C136" s="3" t="s">
        <v>14</v>
      </c>
      <c r="D136" s="8" t="str">
        <f>HYPERLINK("http://npthd.inbcu.com/ViewContent.aspx?filename=NPMR_CBS_2017-06-16_E.MP4$7293$7313","Kevin Can Wait")</f>
        <v>Kevin Can Wait</v>
      </c>
      <c r="E136" s="3" t="s">
        <v>1805</v>
      </c>
      <c r="F136" s="3" t="s">
        <v>2106</v>
      </c>
      <c r="G136" s="3" t="s">
        <v>750</v>
      </c>
    </row>
    <row r="137" spans="1:7">
      <c r="A137" s="6">
        <v>42902</v>
      </c>
      <c r="B137" s="3" t="s">
        <v>2053</v>
      </c>
      <c r="C137" s="3" t="s">
        <v>18</v>
      </c>
      <c r="D137" s="8" t="str">
        <f>HYPERLINK("http://npthd.inbcu.com/ViewContent.aspx?filename=NPMR_CBS_2017-06-16_E.MP4$7313$7318","HAWAII 5-0:")</f>
        <v>HAWAII 5-0:</v>
      </c>
      <c r="E137" s="3" t="s">
        <v>54</v>
      </c>
      <c r="F137" s="3" t="s">
        <v>750</v>
      </c>
      <c r="G137" s="3" t="s">
        <v>394</v>
      </c>
    </row>
    <row r="138" spans="1:7">
      <c r="A138" s="6">
        <v>42902</v>
      </c>
      <c r="B138" s="3" t="s">
        <v>2053</v>
      </c>
      <c r="C138" s="3" t="s">
        <v>14</v>
      </c>
      <c r="D138" s="8" t="str">
        <f>HYPERLINK("http://npthd.inbcu.com/ViewContent.aspx?filename=NPMR_CBS_2017-06-16_E.MP4$7318$7324","Late Show with Stephen Colbert")</f>
        <v>Late Show with Stephen Colbert</v>
      </c>
      <c r="E138" s="3" t="s">
        <v>15</v>
      </c>
      <c r="F138" s="3" t="s">
        <v>394</v>
      </c>
      <c r="G138" s="3" t="s">
        <v>88</v>
      </c>
    </row>
    <row r="139" spans="1:7">
      <c r="A139" s="6">
        <v>42902</v>
      </c>
      <c r="B139" s="3" t="s">
        <v>2053</v>
      </c>
      <c r="C139" s="3" t="s">
        <v>18</v>
      </c>
      <c r="D139" s="8" t="str">
        <f>HYPERLINK("http://npthd.inbcu.com/ViewContent.aspx?filename=NPMR_CBS_2017-06-16_E.MP4$7324$7610","BLUE BLOODS: confessions")</f>
        <v>BLUE BLOODS: confessions</v>
      </c>
      <c r="E139" s="3" t="s">
        <v>490</v>
      </c>
      <c r="F139" s="3" t="s">
        <v>88</v>
      </c>
      <c r="G139" s="3" t="s">
        <v>2162</v>
      </c>
    </row>
    <row r="140" spans="1:7">
      <c r="A140" s="6">
        <v>42902</v>
      </c>
      <c r="B140" s="3" t="s">
        <v>2053</v>
      </c>
      <c r="C140" s="3" t="s">
        <v>21</v>
      </c>
      <c r="D140" s="8" t="str">
        <f>HYPERLINK("http://npthd.inbcu.com/ViewContent.aspx?filename=NPMR_CBS_2017-06-16_E.MP4$7610$7794","COMMERCIAL")</f>
        <v>COMMERCIAL</v>
      </c>
      <c r="E140" s="3" t="s">
        <v>420</v>
      </c>
      <c r="F140" s="3" t="s">
        <v>2162</v>
      </c>
      <c r="G140" s="3" t="s">
        <v>2163</v>
      </c>
    </row>
    <row r="141" spans="1:7">
      <c r="A141" s="6">
        <v>42902</v>
      </c>
      <c r="B141" s="3" t="s">
        <v>2053</v>
      </c>
      <c r="C141" s="3" t="s">
        <v>14</v>
      </c>
      <c r="D141" s="8" t="str">
        <f>HYPERLINK("http://npthd.inbcu.com/ViewContent.aspx?filename=NPMR_CBS_2017-06-16_E.MP4$7794$7809","Zoo")</f>
        <v>Zoo</v>
      </c>
      <c r="E141" s="3" t="s">
        <v>30</v>
      </c>
      <c r="F141" s="3" t="s">
        <v>2163</v>
      </c>
      <c r="G141" s="3" t="s">
        <v>2164</v>
      </c>
    </row>
    <row r="142" spans="1:7">
      <c r="A142" s="6">
        <v>42902</v>
      </c>
      <c r="B142" s="3" t="s">
        <v>2053</v>
      </c>
      <c r="C142" s="3" t="s">
        <v>18</v>
      </c>
      <c r="D142" s="8" t="str">
        <f>HYPERLINK("http://npthd.inbcu.com/ViewContent.aspx?filename=NPMR_CBS_2017-06-16_E.MP4$7809$8227","BLUE BLOODS: confessions")</f>
        <v>BLUE BLOODS: confessions</v>
      </c>
      <c r="E142" s="3" t="s">
        <v>1743</v>
      </c>
      <c r="F142" s="3" t="s">
        <v>2164</v>
      </c>
      <c r="G142" s="3" t="s">
        <v>2165</v>
      </c>
    </row>
    <row r="143" spans="1:7">
      <c r="A143" s="6">
        <v>42902</v>
      </c>
      <c r="B143" s="3" t="s">
        <v>2053</v>
      </c>
      <c r="C143" s="3" t="s">
        <v>21</v>
      </c>
      <c r="D143" s="8" t="str">
        <f>HYPERLINK("http://npthd.inbcu.com/ViewContent.aspx?filename=NPMR_CBS_2017-06-16_E.MP4$8227$8439","COMMERCIAL")</f>
        <v>COMMERCIAL</v>
      </c>
      <c r="E143" s="3" t="s">
        <v>891</v>
      </c>
      <c r="F143" s="3" t="s">
        <v>2165</v>
      </c>
      <c r="G143" s="3" t="s">
        <v>2166</v>
      </c>
    </row>
    <row r="144" spans="1:7">
      <c r="A144" s="6">
        <v>42902</v>
      </c>
      <c r="B144" s="3" t="s">
        <v>2053</v>
      </c>
      <c r="C144" s="3" t="s">
        <v>14</v>
      </c>
      <c r="D144" s="8" t="str">
        <f>HYPERLINK("http://npthd.inbcu.com/ViewContent.aspx?filename=NPMR_CBS_2017-06-16_E.MP4$8439$8459","CBS All Access")</f>
        <v>CBS All Access</v>
      </c>
      <c r="E144" s="3" t="s">
        <v>1805</v>
      </c>
      <c r="F144" s="3" t="s">
        <v>2166</v>
      </c>
      <c r="G144" s="3" t="s">
        <v>2167</v>
      </c>
    </row>
    <row r="145" spans="1:7">
      <c r="A145" s="6">
        <v>42902</v>
      </c>
      <c r="B145" s="3" t="s">
        <v>2053</v>
      </c>
      <c r="C145" s="3" t="s">
        <v>18</v>
      </c>
      <c r="D145" s="8" t="str">
        <f>HYPERLINK("http://npthd.inbcu.com/ViewContent.aspx?filename=NPMR_CBS_2017-06-16_E.MP4$8459$9059","BLUE BLOODS: confessions")</f>
        <v>BLUE BLOODS: confessions</v>
      </c>
      <c r="E145" s="3" t="s">
        <v>1155</v>
      </c>
      <c r="F145" s="3" t="s">
        <v>2167</v>
      </c>
      <c r="G145" s="3" t="s">
        <v>2168</v>
      </c>
    </row>
    <row r="146" spans="1:7">
      <c r="A146" s="6">
        <v>42902</v>
      </c>
      <c r="B146" s="3" t="s">
        <v>2053</v>
      </c>
      <c r="C146" s="3" t="s">
        <v>21</v>
      </c>
      <c r="D146" s="8" t="str">
        <f>HYPERLINK("http://npthd.inbcu.com/ViewContent.aspx?filename=NPMR_CBS_2017-06-16_E.MP4$9059$9180","COMMERCIAL")</f>
        <v>COMMERCIAL</v>
      </c>
      <c r="E146" s="3" t="s">
        <v>175</v>
      </c>
      <c r="F146" s="3" t="s">
        <v>2168</v>
      </c>
      <c r="G146" s="3" t="s">
        <v>2169</v>
      </c>
    </row>
    <row r="147" spans="1:7">
      <c r="A147" s="6">
        <v>42902</v>
      </c>
      <c r="B147" s="3" t="s">
        <v>2053</v>
      </c>
      <c r="C147" s="3" t="s">
        <v>32</v>
      </c>
      <c r="D147" s="8" t="str">
        <f>HYPERLINK("http://npthd.inbcu.com/ViewContent.aspx?filename=NPMR_CBS_2017-06-16_E.MP4$9180$9320","LOCAL")</f>
        <v>LOCAL</v>
      </c>
      <c r="E147" s="3" t="s">
        <v>623</v>
      </c>
      <c r="F147" s="3" t="s">
        <v>2169</v>
      </c>
      <c r="G147" s="3" t="s">
        <v>2170</v>
      </c>
    </row>
    <row r="148" spans="1:7">
      <c r="A148" s="6">
        <v>42902</v>
      </c>
      <c r="B148" s="3" t="s">
        <v>2053</v>
      </c>
      <c r="C148" s="3" t="s">
        <v>18</v>
      </c>
      <c r="D148" s="8" t="str">
        <f>HYPERLINK("http://npthd.inbcu.com/ViewContent.aspx?filename=NPMR_CBS_2017-06-16_E.MP4$9320$9898","BLUE BLOODS: confessions")</f>
        <v>BLUE BLOODS: confessions</v>
      </c>
      <c r="E148" s="3" t="s">
        <v>2171</v>
      </c>
      <c r="F148" s="3" t="s">
        <v>2170</v>
      </c>
      <c r="G148" s="3" t="s">
        <v>2172</v>
      </c>
    </row>
    <row r="149" spans="1:7">
      <c r="A149" s="6">
        <v>42902</v>
      </c>
      <c r="B149" s="3" t="s">
        <v>2053</v>
      </c>
      <c r="C149" s="3" t="s">
        <v>21</v>
      </c>
      <c r="D149" s="8" t="str">
        <f>HYPERLINK("http://npthd.inbcu.com/ViewContent.aspx?filename=NPMR_CBS_2017-06-16_E.MP4$9898$10080","COMMERCIAL")</f>
        <v>COMMERCIAL</v>
      </c>
      <c r="E149" s="3" t="s">
        <v>275</v>
      </c>
      <c r="F149" s="3" t="s">
        <v>2172</v>
      </c>
      <c r="G149" s="3" t="s">
        <v>1599</v>
      </c>
    </row>
    <row r="150" spans="1:7">
      <c r="A150" s="6">
        <v>42902</v>
      </c>
      <c r="B150" s="3" t="s">
        <v>2053</v>
      </c>
      <c r="C150" s="3" t="s">
        <v>14</v>
      </c>
      <c r="D150" s="8" t="str">
        <f>HYPERLINK("http://npthd.inbcu.com/ViewContent.aspx?filename=NPMR_CBS_2017-06-16_E.MP4$10080$10091","Late Show with Stephen Colbert")</f>
        <v>Late Show with Stephen Colbert</v>
      </c>
      <c r="E150" s="3" t="s">
        <v>1940</v>
      </c>
      <c r="F150" s="3" t="s">
        <v>1599</v>
      </c>
      <c r="G150" s="3" t="s">
        <v>1032</v>
      </c>
    </row>
    <row r="151" spans="1:7">
      <c r="A151" s="6">
        <v>42902</v>
      </c>
      <c r="B151" s="3" t="s">
        <v>2053</v>
      </c>
      <c r="C151" s="3" t="s">
        <v>14</v>
      </c>
      <c r="D151" s="8" t="str">
        <f>HYPERLINK("http://npthd.inbcu.com/ViewContent.aspx?filename=NPMR_CBS_2017-06-16_E.MP4$10091$10101","60 Minutes")</f>
        <v>60 Minutes</v>
      </c>
      <c r="E151" s="3" t="s">
        <v>197</v>
      </c>
      <c r="F151" s="3" t="s">
        <v>1032</v>
      </c>
      <c r="G151" s="3" t="s">
        <v>1099</v>
      </c>
    </row>
    <row r="152" spans="1:7">
      <c r="A152" s="6">
        <v>42902</v>
      </c>
      <c r="B152" s="3" t="s">
        <v>2053</v>
      </c>
      <c r="C152" s="3" t="s">
        <v>32</v>
      </c>
      <c r="D152" s="8" t="str">
        <f>HYPERLINK("http://npthd.inbcu.com/ViewContent.aspx?filename=NPMR_CBS_2017-06-16_E.MP4$10101$10166","LOCAL")</f>
        <v>LOCAL</v>
      </c>
      <c r="E152" s="3" t="s">
        <v>580</v>
      </c>
      <c r="F152" s="3" t="s">
        <v>1099</v>
      </c>
      <c r="G152" s="3" t="s">
        <v>2173</v>
      </c>
    </row>
    <row r="153" spans="1:7">
      <c r="A153" s="6">
        <v>42902</v>
      </c>
      <c r="B153" s="3" t="s">
        <v>2053</v>
      </c>
      <c r="C153" s="3" t="s">
        <v>18</v>
      </c>
      <c r="D153" s="8" t="str">
        <f>HYPERLINK("http://npthd.inbcu.com/ViewContent.aspx?filename=NPMR_CBS_2017-06-16_E.MP4$10166$10802","BLUE BLOODS: confessions")</f>
        <v>BLUE BLOODS: confessions</v>
      </c>
      <c r="E153" s="3" t="s">
        <v>2174</v>
      </c>
      <c r="F153" s="3" t="s">
        <v>2173</v>
      </c>
      <c r="G153" s="3" t="s">
        <v>2122</v>
      </c>
    </row>
    <row r="154" spans="1:7">
      <c r="A154" s="6">
        <v>42902</v>
      </c>
      <c r="B154" s="3" t="s">
        <v>2053</v>
      </c>
      <c r="C154" s="3" t="s">
        <v>32</v>
      </c>
      <c r="D154" s="8" t="str">
        <f>HYPERLINK("http://npthd.inbcu.com/ViewContent.aspx?filename=NPMR_CBS_2017-06-16_E.MP4$10802$10814","LOCAL")</f>
        <v>LOCAL</v>
      </c>
      <c r="E154" s="3" t="s">
        <v>2057</v>
      </c>
      <c r="F154" s="3" t="s">
        <v>2122</v>
      </c>
      <c r="G154" s="3" t="s">
        <v>2123</v>
      </c>
    </row>
    <row r="155" spans="1:7">
      <c r="A155" s="6">
        <v>42902</v>
      </c>
      <c r="B155" s="3" t="s">
        <v>2053</v>
      </c>
      <c r="C155" s="3" t="s">
        <v>21</v>
      </c>
      <c r="D155" s="8" t="str">
        <f>HYPERLINK("http://npthd.inbcu.com/ViewContent.aspx?filename=NPMR_CBS_2017-06-16_E.MP4$10814$10875","COMMERCIAL")</f>
        <v>COMMERCIAL</v>
      </c>
      <c r="E155" s="3" t="s">
        <v>33</v>
      </c>
      <c r="F155" s="3" t="s">
        <v>2123</v>
      </c>
      <c r="G155" s="3" t="s">
        <v>2175</v>
      </c>
    </row>
    <row r="156" spans="1:7">
      <c r="A156" s="6">
        <v>42902</v>
      </c>
      <c r="B156" s="3" t="s">
        <v>2053</v>
      </c>
      <c r="C156" s="3" t="s">
        <v>14</v>
      </c>
      <c r="D156" s="8" t="str">
        <f>HYPERLINK("http://npthd.inbcu.com/ViewContent.aspx?filename=NPMR_CBS_2017-06-16_E.MP4$10875$10881","Late Show with Stephen Colbert")</f>
        <v>Late Show with Stephen Colbert</v>
      </c>
      <c r="E156" s="3" t="s">
        <v>15</v>
      </c>
      <c r="F156" s="3" t="s">
        <v>2175</v>
      </c>
      <c r="G156" s="3" t="s">
        <v>2176</v>
      </c>
    </row>
    <row r="157" spans="1:7">
      <c r="A157" s="6">
        <v>42902</v>
      </c>
      <c r="B157" s="3" t="s">
        <v>2053</v>
      </c>
      <c r="C157" s="3" t="s">
        <v>14</v>
      </c>
      <c r="D157" s="8" t="str">
        <f>HYPERLINK("http://npthd.inbcu.com/ViewContent.aspx?filename=NPMR_CBS_2017-06-16_E.MP4$10881$10902","Zoo")</f>
        <v>Zoo</v>
      </c>
      <c r="E157" s="3" t="s">
        <v>2067</v>
      </c>
      <c r="F157" s="3" t="s">
        <v>2176</v>
      </c>
      <c r="G157" s="3" t="s">
        <v>1181</v>
      </c>
    </row>
    <row r="158" spans="1:7">
      <c r="A158" s="6">
        <v>42902</v>
      </c>
      <c r="B158" s="3" t="s">
        <v>2053</v>
      </c>
      <c r="C158" s="3" t="s">
        <v>18</v>
      </c>
      <c r="D158" s="8" t="str">
        <f>HYPERLINK("http://npthd.inbcu.com/ViewContent.aspx?filename=NPMR_CBS_2017-06-16_E.MP4$10902$10907","BLUE BLOODS: confessions")</f>
        <v>BLUE BLOODS: confessions</v>
      </c>
      <c r="E158" s="3" t="s">
        <v>54</v>
      </c>
      <c r="F158" s="3" t="s">
        <v>1181</v>
      </c>
      <c r="G158" s="3" t="s">
        <v>1939</v>
      </c>
    </row>
    <row r="159" spans="1:7">
      <c r="A159" s="6">
        <v>42902</v>
      </c>
      <c r="B159" s="3" t="s">
        <v>2053</v>
      </c>
      <c r="C159" s="3" t="s">
        <v>32</v>
      </c>
      <c r="D159" s="8" t="str">
        <f>HYPERLINK("http://npthd.inbcu.com/ViewContent.aspx?filename=NPMR_CBS_2017-06-16_E.MP4$10907$10918","LOCAL")</f>
        <v>LOCAL</v>
      </c>
      <c r="E159" s="3" t="s">
        <v>1940</v>
      </c>
      <c r="F159" s="3" t="s">
        <v>1939</v>
      </c>
      <c r="G159" s="3" t="s">
        <v>124</v>
      </c>
    </row>
    <row r="160" spans="1:7">
      <c r="A160" s="6">
        <v>42903</v>
      </c>
      <c r="B160" s="3" t="s">
        <v>2053</v>
      </c>
      <c r="C160" s="3" t="s">
        <v>18</v>
      </c>
      <c r="D160" s="8" t="str">
        <f>HYPERLINK("http://npthd.inbcu.com/ViewContent.aspx?filename=NPMR_CBS_2017-06-17_E.MP4$98$704","SCORPION:")</f>
        <v>SCORPION:</v>
      </c>
      <c r="E160" s="3" t="s">
        <v>2034</v>
      </c>
      <c r="F160" s="3" t="s">
        <v>16</v>
      </c>
      <c r="G160" s="3" t="s">
        <v>2177</v>
      </c>
    </row>
    <row r="161" spans="1:7">
      <c r="A161" s="6">
        <v>42903</v>
      </c>
      <c r="B161" s="3" t="s">
        <v>2053</v>
      </c>
      <c r="C161" s="3" t="s">
        <v>21</v>
      </c>
      <c r="D161" s="8" t="str">
        <f>HYPERLINK("http://npthd.inbcu.com/ViewContent.aspx?filename=NPMR_CBS_2017-06-17_E.MP4$704$855","COMMERCIAL")</f>
        <v>COMMERCIAL</v>
      </c>
      <c r="E161" s="3" t="s">
        <v>91</v>
      </c>
      <c r="F161" s="3" t="s">
        <v>2177</v>
      </c>
      <c r="G161" s="3" t="s">
        <v>966</v>
      </c>
    </row>
    <row r="162" spans="1:7">
      <c r="A162" s="6">
        <v>42903</v>
      </c>
      <c r="B162" s="3" t="s">
        <v>2053</v>
      </c>
      <c r="C162" s="3" t="s">
        <v>14</v>
      </c>
      <c r="D162" s="8" t="str">
        <f>HYPERLINK("http://npthd.inbcu.com/ViewContent.aspx?filename=NPMR_CBS_2017-06-17_E.MP4$855$875","Candy Crush")</f>
        <v>Candy Crush</v>
      </c>
      <c r="E162" s="3" t="s">
        <v>1805</v>
      </c>
      <c r="F162" s="3" t="s">
        <v>966</v>
      </c>
      <c r="G162" s="3" t="s">
        <v>2058</v>
      </c>
    </row>
    <row r="163" spans="1:7">
      <c r="A163" s="6">
        <v>42903</v>
      </c>
      <c r="B163" s="3" t="s">
        <v>2053</v>
      </c>
      <c r="C163" s="3" t="s">
        <v>18</v>
      </c>
      <c r="D163" s="8" t="str">
        <f>HYPERLINK("http://npthd.inbcu.com/ViewContent.aspx?filename=NPMR_CBS_2017-06-17_E.MP4$875$1878","SCORPION:")</f>
        <v>SCORPION:</v>
      </c>
      <c r="E163" s="3" t="s">
        <v>2178</v>
      </c>
      <c r="F163" s="3" t="s">
        <v>2058</v>
      </c>
      <c r="G163" s="3" t="s">
        <v>2179</v>
      </c>
    </row>
    <row r="164" spans="1:7">
      <c r="A164" s="6">
        <v>42903</v>
      </c>
      <c r="B164" s="3" t="s">
        <v>2053</v>
      </c>
      <c r="C164" s="3" t="s">
        <v>21</v>
      </c>
      <c r="D164" s="8" t="str">
        <f>HYPERLINK("http://npthd.inbcu.com/ViewContent.aspx?filename=NPMR_CBS_2017-06-17_E.MP4$1878$2029","COMMERCIAL")</f>
        <v>COMMERCIAL</v>
      </c>
      <c r="E164" s="3" t="s">
        <v>91</v>
      </c>
      <c r="F164" s="3" t="s">
        <v>2179</v>
      </c>
      <c r="G164" s="3" t="s">
        <v>2180</v>
      </c>
    </row>
    <row r="165" spans="1:7">
      <c r="A165" s="6">
        <v>42903</v>
      </c>
      <c r="B165" s="3" t="s">
        <v>2053</v>
      </c>
      <c r="C165" s="3" t="s">
        <v>1618</v>
      </c>
      <c r="D165" s="8" t="str">
        <f>HYPERLINK("http://npthd.inbcu.com/ViewContent.aspx?filename=NPMR_CBS_2017-06-17_E.MP4$2029$2039","PSA")</f>
        <v>PSA</v>
      </c>
      <c r="E165" s="3" t="s">
        <v>197</v>
      </c>
      <c r="F165" s="3" t="s">
        <v>2180</v>
      </c>
      <c r="G165" s="3" t="s">
        <v>2181</v>
      </c>
    </row>
    <row r="166" spans="1:7">
      <c r="A166" s="6">
        <v>42903</v>
      </c>
      <c r="B166" s="3" t="s">
        <v>2053</v>
      </c>
      <c r="C166" s="3" t="s">
        <v>14</v>
      </c>
      <c r="D166" s="8" t="str">
        <f>HYPERLINK("http://npthd.inbcu.com/ViewContent.aspx?filename=NPMR_CBS_2017-06-17_E.MP4$2039$2049","Kevin Can Wait")</f>
        <v>Kevin Can Wait</v>
      </c>
      <c r="E166" s="3" t="s">
        <v>197</v>
      </c>
      <c r="F166" s="3" t="s">
        <v>2181</v>
      </c>
      <c r="G166" s="3" t="s">
        <v>2182</v>
      </c>
    </row>
    <row r="167" spans="1:7">
      <c r="A167" s="6">
        <v>42903</v>
      </c>
      <c r="B167" s="3" t="s">
        <v>2053</v>
      </c>
      <c r="C167" s="3" t="s">
        <v>14</v>
      </c>
      <c r="D167" s="8" t="str">
        <f>HYPERLINK("http://npthd.inbcu.com/ViewContent.aspx?filename=NPMR_CBS_2017-06-17_E.MP4$2049$2080","Salvation")</f>
        <v>Salvation</v>
      </c>
      <c r="E167" s="3" t="s">
        <v>98</v>
      </c>
      <c r="F167" s="3" t="s">
        <v>2182</v>
      </c>
      <c r="G167" s="3" t="s">
        <v>2183</v>
      </c>
    </row>
    <row r="168" spans="1:7">
      <c r="A168" s="6">
        <v>42903</v>
      </c>
      <c r="B168" s="3" t="s">
        <v>2053</v>
      </c>
      <c r="C168" s="3" t="s">
        <v>18</v>
      </c>
      <c r="D168" s="8" t="str">
        <f>HYPERLINK("http://npthd.inbcu.com/ViewContent.aspx?filename=NPMR_CBS_2017-06-17_E.MP4$2080$2420","SCORPION:")</f>
        <v>SCORPION:</v>
      </c>
      <c r="E168" s="3" t="s">
        <v>142</v>
      </c>
      <c r="F168" s="3" t="s">
        <v>2183</v>
      </c>
      <c r="G168" s="3" t="s">
        <v>2184</v>
      </c>
    </row>
    <row r="169" spans="1:7">
      <c r="A169" s="6">
        <v>42903</v>
      </c>
      <c r="B169" s="3" t="s">
        <v>2053</v>
      </c>
      <c r="C169" s="3" t="s">
        <v>21</v>
      </c>
      <c r="D169" s="8" t="str">
        <f>HYPERLINK("http://npthd.inbcu.com/ViewContent.aspx?filename=NPMR_CBS_2017-06-17_E.MP4$2420$2574","COMMERCIAL")</f>
        <v>COMMERCIAL</v>
      </c>
      <c r="E169" s="3" t="s">
        <v>2185</v>
      </c>
      <c r="F169" s="3" t="s">
        <v>2184</v>
      </c>
      <c r="G169" s="3" t="s">
        <v>2186</v>
      </c>
    </row>
    <row r="170" spans="1:7">
      <c r="A170" s="6">
        <v>42903</v>
      </c>
      <c r="B170" s="3" t="s">
        <v>2053</v>
      </c>
      <c r="C170" s="3" t="s">
        <v>14</v>
      </c>
      <c r="D170" s="8" t="str">
        <f>HYPERLINK("http://npthd.inbcu.com/ViewContent.aspx?filename=NPMR_CBS_2017-06-17_E.MP4$2574$2589","CBS All Access")</f>
        <v>CBS All Access</v>
      </c>
      <c r="E170" s="3" t="s">
        <v>30</v>
      </c>
      <c r="F170" s="3" t="s">
        <v>2186</v>
      </c>
      <c r="G170" s="3" t="s">
        <v>2187</v>
      </c>
    </row>
    <row r="171" spans="1:7">
      <c r="A171" s="6">
        <v>42903</v>
      </c>
      <c r="B171" s="3" t="s">
        <v>2053</v>
      </c>
      <c r="C171" s="3" t="s">
        <v>32</v>
      </c>
      <c r="D171" s="8" t="str">
        <f>HYPERLINK("http://npthd.inbcu.com/ViewContent.aspx?filename=NPMR_CBS_2017-06-17_E.MP4$2589$2654","LOCAL")</f>
        <v>LOCAL</v>
      </c>
      <c r="E171" s="3" t="s">
        <v>580</v>
      </c>
      <c r="F171" s="3" t="s">
        <v>2187</v>
      </c>
      <c r="G171" s="3" t="s">
        <v>2188</v>
      </c>
    </row>
    <row r="172" spans="1:7">
      <c r="A172" s="6">
        <v>42903</v>
      </c>
      <c r="B172" s="3" t="s">
        <v>2053</v>
      </c>
      <c r="C172" s="3" t="s">
        <v>18</v>
      </c>
      <c r="D172" s="8" t="str">
        <f>HYPERLINK("http://npthd.inbcu.com/ViewContent.aspx?filename=NPMR_CBS_2017-06-17_E.MP4$2654$2956","SCORPION:")</f>
        <v>SCORPION:</v>
      </c>
      <c r="E172" s="3" t="s">
        <v>1468</v>
      </c>
      <c r="F172" s="3" t="s">
        <v>2188</v>
      </c>
      <c r="G172" s="3" t="s">
        <v>2189</v>
      </c>
    </row>
    <row r="173" spans="1:7">
      <c r="A173" s="6">
        <v>42903</v>
      </c>
      <c r="B173" s="3" t="s">
        <v>2053</v>
      </c>
      <c r="C173" s="3" t="s">
        <v>21</v>
      </c>
      <c r="D173" s="8" t="str">
        <f>HYPERLINK("http://npthd.inbcu.com/ViewContent.aspx?filename=NPMR_CBS_2017-06-17_E.MP4$2956$3109","COMMERCIAL")</f>
        <v>COMMERCIAL</v>
      </c>
      <c r="E173" s="3" t="s">
        <v>1735</v>
      </c>
      <c r="F173" s="3" t="s">
        <v>2189</v>
      </c>
      <c r="G173" s="3" t="s">
        <v>2190</v>
      </c>
    </row>
    <row r="174" spans="1:7">
      <c r="A174" s="6">
        <v>42903</v>
      </c>
      <c r="B174" s="3" t="s">
        <v>2053</v>
      </c>
      <c r="C174" s="3" t="s">
        <v>14</v>
      </c>
      <c r="D174" s="8" t="str">
        <f>HYPERLINK("http://npthd.inbcu.com/ViewContent.aspx?filename=NPMR_CBS_2017-06-17_E.MP4$3109$3119","Late Show with Stephen Colbert")</f>
        <v>Late Show with Stephen Colbert</v>
      </c>
      <c r="E174" s="3" t="s">
        <v>197</v>
      </c>
      <c r="F174" s="3" t="s">
        <v>2190</v>
      </c>
      <c r="G174" s="3" t="s">
        <v>2191</v>
      </c>
    </row>
    <row r="175" spans="1:7">
      <c r="A175" s="6">
        <v>42903</v>
      </c>
      <c r="B175" s="3" t="s">
        <v>2053</v>
      </c>
      <c r="C175" s="3" t="s">
        <v>14</v>
      </c>
      <c r="D175" s="8" t="str">
        <f>HYPERLINK("http://npthd.inbcu.com/ViewContent.aspx?filename=NPMR_CBS_2017-06-17_E.MP4$3119$3139","Big Brother")</f>
        <v>Big Brother</v>
      </c>
      <c r="E175" s="3" t="s">
        <v>1805</v>
      </c>
      <c r="F175" s="3" t="s">
        <v>2191</v>
      </c>
      <c r="G175" s="3" t="s">
        <v>2192</v>
      </c>
    </row>
    <row r="176" spans="1:7">
      <c r="A176" s="6">
        <v>42903</v>
      </c>
      <c r="B176" s="3" t="s">
        <v>2053</v>
      </c>
      <c r="C176" s="3" t="s">
        <v>32</v>
      </c>
      <c r="D176" s="8" t="str">
        <f>HYPERLINK("http://npthd.inbcu.com/ViewContent.aspx?filename=NPMR_CBS_2017-06-17_E.MP4$3139$3204","LOCAL")</f>
        <v>LOCAL</v>
      </c>
      <c r="E176" s="3" t="s">
        <v>580</v>
      </c>
      <c r="F176" s="3" t="s">
        <v>2192</v>
      </c>
      <c r="G176" s="3" t="s">
        <v>2193</v>
      </c>
    </row>
    <row r="177" spans="1:7">
      <c r="A177" s="6">
        <v>42903</v>
      </c>
      <c r="B177" s="3" t="s">
        <v>2053</v>
      </c>
      <c r="C177" s="3" t="s">
        <v>18</v>
      </c>
      <c r="D177" s="8" t="str">
        <f>HYPERLINK("http://npthd.inbcu.com/ViewContent.aspx?filename=NPMR_CBS_2017-06-17_E.MP4$3204$3509","SCORPION:")</f>
        <v>SCORPION:</v>
      </c>
      <c r="E177" s="3" t="s">
        <v>2194</v>
      </c>
      <c r="F177" s="3" t="s">
        <v>2193</v>
      </c>
      <c r="G177" s="3" t="s">
        <v>1956</v>
      </c>
    </row>
    <row r="178" spans="1:7">
      <c r="A178" s="6">
        <v>42903</v>
      </c>
      <c r="B178" s="3" t="s">
        <v>2053</v>
      </c>
      <c r="C178" s="3" t="s">
        <v>21</v>
      </c>
      <c r="D178" s="8" t="str">
        <f>HYPERLINK("http://npthd.inbcu.com/ViewContent.aspx?filename=NPMR_CBS_2017-06-17_E.MP4$3509$3661","COMMERCIAL")</f>
        <v>COMMERCIAL</v>
      </c>
      <c r="E178" s="3" t="s">
        <v>128</v>
      </c>
      <c r="F178" s="3" t="s">
        <v>1956</v>
      </c>
      <c r="G178" s="3" t="s">
        <v>1782</v>
      </c>
    </row>
    <row r="179" spans="1:7">
      <c r="A179" s="6">
        <v>42903</v>
      </c>
      <c r="B179" s="3" t="s">
        <v>2053</v>
      </c>
      <c r="C179" s="3" t="s">
        <v>14</v>
      </c>
      <c r="D179" s="8" t="str">
        <f>HYPERLINK("http://npthd.inbcu.com/ViewContent.aspx?filename=NPMR_CBS_2017-06-17_E.MP4$3661$3671","Zoo")</f>
        <v>Zoo</v>
      </c>
      <c r="E179" s="3" t="s">
        <v>197</v>
      </c>
      <c r="F179" s="3" t="s">
        <v>1782</v>
      </c>
      <c r="G179" s="3" t="s">
        <v>2195</v>
      </c>
    </row>
    <row r="180" spans="1:7">
      <c r="A180" s="6">
        <v>42903</v>
      </c>
      <c r="B180" s="3" t="s">
        <v>2053</v>
      </c>
      <c r="C180" s="3" t="s">
        <v>14</v>
      </c>
      <c r="D180" s="8" t="str">
        <f>HYPERLINK("http://npthd.inbcu.com/ViewContent.aspx?filename=NPMR_CBS_2017-06-17_E.MP4$3671$3693","Bull")</f>
        <v>Bull</v>
      </c>
      <c r="E180" s="3" t="s">
        <v>2124</v>
      </c>
      <c r="F180" s="3" t="s">
        <v>2195</v>
      </c>
      <c r="G180" s="3" t="s">
        <v>2196</v>
      </c>
    </row>
    <row r="181" spans="1:7">
      <c r="A181" s="6">
        <v>42903</v>
      </c>
      <c r="B181" s="3" t="s">
        <v>2053</v>
      </c>
      <c r="C181" s="3" t="s">
        <v>18</v>
      </c>
      <c r="D181" s="8" t="str">
        <f>HYPERLINK("http://npthd.inbcu.com/ViewContent.aspx?filename=NPMR_CBS_2017-06-17_E.MP4$3693$3698","SCORPION:")</f>
        <v>SCORPION:</v>
      </c>
      <c r="E181" s="3" t="s">
        <v>54</v>
      </c>
      <c r="F181" s="3" t="s">
        <v>2196</v>
      </c>
      <c r="G181" s="3" t="s">
        <v>242</v>
      </c>
    </row>
    <row r="182" spans="1:7">
      <c r="A182" s="6">
        <v>42903</v>
      </c>
      <c r="B182" s="3" t="s">
        <v>2053</v>
      </c>
      <c r="C182" s="3" t="s">
        <v>14</v>
      </c>
      <c r="D182" s="8" t="str">
        <f>HYPERLINK("http://npthd.inbcu.com/ViewContent.aspx?filename=NPMR_CBS_2017-06-17_E.MP4$3698$3703","Zoo")</f>
        <v>Zoo</v>
      </c>
      <c r="E182" s="3" t="s">
        <v>54</v>
      </c>
      <c r="F182" s="3" t="s">
        <v>242</v>
      </c>
      <c r="G182" s="3" t="s">
        <v>243</v>
      </c>
    </row>
    <row r="183" spans="1:7">
      <c r="A183" s="6">
        <v>42903</v>
      </c>
      <c r="B183" s="3" t="s">
        <v>2053</v>
      </c>
      <c r="C183" s="3" t="s">
        <v>18</v>
      </c>
      <c r="D183" s="8" t="str">
        <f>HYPERLINK("http://npthd.inbcu.com/ViewContent.aspx?filename=NPMR_CBS_2017-06-17_E.MP4$3703$4048","48 HOURS:")</f>
        <v>48 HOURS:</v>
      </c>
      <c r="E183" s="3" t="s">
        <v>2197</v>
      </c>
      <c r="F183" s="3" t="s">
        <v>243</v>
      </c>
      <c r="G183" s="3" t="s">
        <v>2198</v>
      </c>
    </row>
    <row r="184" spans="1:7">
      <c r="A184" s="6">
        <v>42903</v>
      </c>
      <c r="B184" s="3" t="s">
        <v>2053</v>
      </c>
      <c r="C184" s="3" t="s">
        <v>21</v>
      </c>
      <c r="D184" s="8" t="str">
        <f>HYPERLINK("http://npthd.inbcu.com/ViewContent.aspx?filename=NPMR_CBS_2017-06-17_E.MP4$4048$4230","COMMERCIAL")</f>
        <v>COMMERCIAL</v>
      </c>
      <c r="E184" s="3" t="s">
        <v>275</v>
      </c>
      <c r="F184" s="3" t="s">
        <v>2198</v>
      </c>
      <c r="G184" s="3" t="s">
        <v>2199</v>
      </c>
    </row>
    <row r="185" spans="1:7">
      <c r="A185" s="6">
        <v>42903</v>
      </c>
      <c r="B185" s="3" t="s">
        <v>2053</v>
      </c>
      <c r="C185" s="3" t="s">
        <v>14</v>
      </c>
      <c r="D185" s="8" t="str">
        <f>HYPERLINK("http://npthd.inbcu.com/ViewContent.aspx?filename=NPMR_CBS_2017-06-17_E.MP4$4230$4250","Big Brother")</f>
        <v>Big Brother</v>
      </c>
      <c r="E185" s="3" t="s">
        <v>1805</v>
      </c>
      <c r="F185" s="3" t="s">
        <v>2199</v>
      </c>
      <c r="G185" s="3" t="s">
        <v>2200</v>
      </c>
    </row>
    <row r="186" spans="1:7">
      <c r="A186" s="6">
        <v>42903</v>
      </c>
      <c r="B186" s="3" t="s">
        <v>2053</v>
      </c>
      <c r="C186" s="3" t="s">
        <v>18</v>
      </c>
      <c r="D186" s="8" t="str">
        <f>HYPERLINK("http://npthd.inbcu.com/ViewContent.aspx?filename=NPMR_CBS_2017-06-17_E.MP4$4250$4827","48 HOURS:")</f>
        <v>48 HOURS:</v>
      </c>
      <c r="E186" s="3" t="s">
        <v>902</v>
      </c>
      <c r="F186" s="3" t="s">
        <v>2200</v>
      </c>
      <c r="G186" s="3" t="s">
        <v>642</v>
      </c>
    </row>
    <row r="187" spans="1:7">
      <c r="A187" s="6">
        <v>42903</v>
      </c>
      <c r="B187" s="3" t="s">
        <v>2053</v>
      </c>
      <c r="C187" s="3" t="s">
        <v>21</v>
      </c>
      <c r="D187" s="8" t="str">
        <f>HYPERLINK("http://npthd.inbcu.com/ViewContent.aspx?filename=NPMR_CBS_2017-06-17_E.MP4$4827$5008","COMMERCIAL")</f>
        <v>COMMERCIAL</v>
      </c>
      <c r="E187" s="3" t="s">
        <v>108</v>
      </c>
      <c r="F187" s="3" t="s">
        <v>642</v>
      </c>
      <c r="G187" s="3" t="s">
        <v>1214</v>
      </c>
    </row>
    <row r="188" spans="1:7">
      <c r="A188" s="6">
        <v>42903</v>
      </c>
      <c r="B188" s="3" t="s">
        <v>2053</v>
      </c>
      <c r="C188" s="3" t="s">
        <v>14</v>
      </c>
      <c r="D188" s="8" t="str">
        <f>HYPERLINK("http://npthd.inbcu.com/ViewContent.aspx?filename=NPMR_CBS_2017-06-17_E.MP4$5008$5018","Candy Crush")</f>
        <v>Candy Crush</v>
      </c>
      <c r="E188" s="3" t="s">
        <v>197</v>
      </c>
      <c r="F188" s="3" t="s">
        <v>1214</v>
      </c>
      <c r="G188" s="3" t="s">
        <v>2201</v>
      </c>
    </row>
    <row r="189" spans="1:7">
      <c r="A189" s="6">
        <v>42903</v>
      </c>
      <c r="B189" s="3" t="s">
        <v>2053</v>
      </c>
      <c r="C189" s="3" t="s">
        <v>14</v>
      </c>
      <c r="D189" s="8" t="str">
        <f>HYPERLINK("http://npthd.inbcu.com/ViewContent.aspx?filename=NPMR_CBS_2017-06-17_E.MP4$5018$5038","CBS All Access")</f>
        <v>CBS All Access</v>
      </c>
      <c r="E189" s="3" t="s">
        <v>1805</v>
      </c>
      <c r="F189" s="3" t="s">
        <v>2201</v>
      </c>
      <c r="G189" s="3" t="s">
        <v>2202</v>
      </c>
    </row>
    <row r="190" spans="1:7">
      <c r="A190" s="6">
        <v>42903</v>
      </c>
      <c r="B190" s="3" t="s">
        <v>2053</v>
      </c>
      <c r="C190" s="3" t="s">
        <v>18</v>
      </c>
      <c r="D190" s="8" t="str">
        <f>HYPERLINK("http://npthd.inbcu.com/ViewContent.aspx?filename=NPMR_CBS_2017-06-17_E.MP4$5038$5557","48 HOURS:")</f>
        <v>48 HOURS:</v>
      </c>
      <c r="E190" s="3" t="s">
        <v>915</v>
      </c>
      <c r="F190" s="3" t="s">
        <v>2202</v>
      </c>
      <c r="G190" s="3" t="s">
        <v>2203</v>
      </c>
    </row>
    <row r="191" spans="1:7">
      <c r="A191" s="6">
        <v>42903</v>
      </c>
      <c r="B191" s="3" t="s">
        <v>2053</v>
      </c>
      <c r="C191" s="3" t="s">
        <v>21</v>
      </c>
      <c r="D191" s="8" t="str">
        <f>HYPERLINK("http://npthd.inbcu.com/ViewContent.aspx?filename=NPMR_CBS_2017-06-17_E.MP4$5557$5708","COMMERCIAL")</f>
        <v>COMMERCIAL</v>
      </c>
      <c r="E191" s="3" t="s">
        <v>91</v>
      </c>
      <c r="F191" s="3" t="s">
        <v>2203</v>
      </c>
      <c r="G191" s="3" t="s">
        <v>2204</v>
      </c>
    </row>
    <row r="192" spans="1:7">
      <c r="A192" s="6">
        <v>42903</v>
      </c>
      <c r="B192" s="3" t="s">
        <v>2053</v>
      </c>
      <c r="C192" s="3" t="s">
        <v>14</v>
      </c>
      <c r="D192" s="8" t="str">
        <f>HYPERLINK("http://npthd.inbcu.com/ViewContent.aspx?filename=NPMR_CBS_2017-06-17_E.MP4$5708$5748","Salvation")</f>
        <v>Salvation</v>
      </c>
      <c r="E192" s="3" t="s">
        <v>619</v>
      </c>
      <c r="F192" s="3" t="s">
        <v>2204</v>
      </c>
      <c r="G192" s="3" t="s">
        <v>2205</v>
      </c>
    </row>
    <row r="193" spans="1:7">
      <c r="A193" s="6">
        <v>42903</v>
      </c>
      <c r="B193" s="3" t="s">
        <v>2053</v>
      </c>
      <c r="C193" s="3" t="s">
        <v>32</v>
      </c>
      <c r="D193" s="8" t="str">
        <f>HYPERLINK("http://npthd.inbcu.com/ViewContent.aspx?filename=NPMR_CBS_2017-06-17_E.MP4$5748$5813","LOCAL")</f>
        <v>LOCAL</v>
      </c>
      <c r="E193" s="3" t="s">
        <v>580</v>
      </c>
      <c r="F193" s="3" t="s">
        <v>2205</v>
      </c>
      <c r="G193" s="3" t="s">
        <v>2206</v>
      </c>
    </row>
    <row r="194" spans="1:7">
      <c r="A194" s="6">
        <v>42903</v>
      </c>
      <c r="B194" s="3" t="s">
        <v>2053</v>
      </c>
      <c r="C194" s="3" t="s">
        <v>18</v>
      </c>
      <c r="D194" s="8" t="str">
        <f>HYPERLINK("http://npthd.inbcu.com/ViewContent.aspx?filename=NPMR_CBS_2017-06-17_E.MP4$5813$6382","48 HOURS:")</f>
        <v>48 HOURS:</v>
      </c>
      <c r="E194" s="3" t="s">
        <v>673</v>
      </c>
      <c r="F194" s="3" t="s">
        <v>2206</v>
      </c>
      <c r="G194" s="3" t="s">
        <v>2207</v>
      </c>
    </row>
    <row r="195" spans="1:7">
      <c r="A195" s="6">
        <v>42903</v>
      </c>
      <c r="B195" s="3" t="s">
        <v>2053</v>
      </c>
      <c r="C195" s="3" t="s">
        <v>21</v>
      </c>
      <c r="D195" s="8" t="str">
        <f>HYPERLINK("http://npthd.inbcu.com/ViewContent.aspx?filename=NPMR_CBS_2017-06-17_E.MP4$6382$6533","COMMERCIAL")</f>
        <v>COMMERCIAL</v>
      </c>
      <c r="E195" s="3" t="s">
        <v>91</v>
      </c>
      <c r="F195" s="3" t="s">
        <v>2207</v>
      </c>
      <c r="G195" s="3" t="s">
        <v>2208</v>
      </c>
    </row>
    <row r="196" spans="1:7">
      <c r="A196" s="6">
        <v>42903</v>
      </c>
      <c r="B196" s="3" t="s">
        <v>2053</v>
      </c>
      <c r="C196" s="3" t="s">
        <v>14</v>
      </c>
      <c r="D196" s="8" t="str">
        <f>HYPERLINK("http://npthd.inbcu.com/ViewContent.aspx?filename=NPMR_CBS_2017-06-17_E.MP4$6533$6543","48 Hours")</f>
        <v>48 Hours</v>
      </c>
      <c r="E196" s="3" t="s">
        <v>197</v>
      </c>
      <c r="F196" s="3" t="s">
        <v>2208</v>
      </c>
      <c r="G196" s="3" t="s">
        <v>2209</v>
      </c>
    </row>
    <row r="197" spans="1:7">
      <c r="A197" s="6">
        <v>42903</v>
      </c>
      <c r="B197" s="3" t="s">
        <v>2053</v>
      </c>
      <c r="C197" s="3" t="s">
        <v>14</v>
      </c>
      <c r="D197" s="8" t="str">
        <f>HYPERLINK("http://npthd.inbcu.com/ViewContent.aspx?filename=NPMR_CBS_2017-06-17_E.MP4$6543$6563","Zoo")</f>
        <v>Zoo</v>
      </c>
      <c r="E197" s="3" t="s">
        <v>1805</v>
      </c>
      <c r="F197" s="3" t="s">
        <v>2209</v>
      </c>
      <c r="G197" s="3" t="s">
        <v>2210</v>
      </c>
    </row>
    <row r="198" spans="1:7">
      <c r="A198" s="6">
        <v>42903</v>
      </c>
      <c r="B198" s="3" t="s">
        <v>2053</v>
      </c>
      <c r="C198" s="3" t="s">
        <v>18</v>
      </c>
      <c r="D198" s="8" t="str">
        <f>HYPERLINK("http://npthd.inbcu.com/ViewContent.aspx?filename=NPMR_CBS_2017-06-17_E.MP4$6563$6996","48 HOURS:")</f>
        <v>48 HOURS:</v>
      </c>
      <c r="E198" s="3" t="s">
        <v>2211</v>
      </c>
      <c r="F198" s="3" t="s">
        <v>2210</v>
      </c>
      <c r="G198" s="3" t="s">
        <v>2212</v>
      </c>
    </row>
    <row r="199" spans="1:7">
      <c r="A199" s="6">
        <v>42903</v>
      </c>
      <c r="B199" s="3" t="s">
        <v>2053</v>
      </c>
      <c r="C199" s="3" t="s">
        <v>21</v>
      </c>
      <c r="D199" s="8" t="str">
        <f>HYPERLINK("http://npthd.inbcu.com/ViewContent.aspx?filename=NPMR_CBS_2017-06-17_E.MP4$6996$7148","COMMERCIAL")</f>
        <v>COMMERCIAL</v>
      </c>
      <c r="E199" s="3" t="s">
        <v>128</v>
      </c>
      <c r="F199" s="3" t="s">
        <v>2212</v>
      </c>
      <c r="G199" s="3" t="s">
        <v>2213</v>
      </c>
    </row>
    <row r="200" spans="1:7">
      <c r="A200" s="6">
        <v>42903</v>
      </c>
      <c r="B200" s="3" t="s">
        <v>2053</v>
      </c>
      <c r="C200" s="3" t="s">
        <v>14</v>
      </c>
      <c r="D200" s="8" t="str">
        <f>HYPERLINK("http://npthd.inbcu.com/ViewContent.aspx?filename=NPMR_CBS_2017-06-17_E.MP4$7148$7168","Salvation")</f>
        <v>Salvation</v>
      </c>
      <c r="E200" s="3" t="s">
        <v>1805</v>
      </c>
      <c r="F200" s="3" t="s">
        <v>2213</v>
      </c>
      <c r="G200" s="3" t="s">
        <v>2214</v>
      </c>
    </row>
    <row r="201" spans="1:7">
      <c r="A201" s="6">
        <v>42903</v>
      </c>
      <c r="B201" s="3" t="s">
        <v>2053</v>
      </c>
      <c r="C201" s="3" t="s">
        <v>18</v>
      </c>
      <c r="D201" s="8" t="str">
        <f>HYPERLINK("http://npthd.inbcu.com/ViewContent.aspx?filename=NPMR_CBS_2017-06-17_E.MP4$7168$7173","48 HOURS:")</f>
        <v>48 HOURS:</v>
      </c>
      <c r="E201" s="3" t="s">
        <v>54</v>
      </c>
      <c r="F201" s="3" t="s">
        <v>2214</v>
      </c>
      <c r="G201" s="3" t="s">
        <v>2215</v>
      </c>
    </row>
    <row r="202" spans="1:7">
      <c r="A202" s="6">
        <v>42903</v>
      </c>
      <c r="B202" s="3" t="s">
        <v>2053</v>
      </c>
      <c r="C202" s="3" t="s">
        <v>32</v>
      </c>
      <c r="D202" s="8" t="str">
        <f>HYPERLINK("http://npthd.inbcu.com/ViewContent.aspx?filename=NPMR_CBS_2017-06-17_E.MP4$7173$7298","LOCAL")</f>
        <v>LOCAL</v>
      </c>
      <c r="E202" s="3" t="s">
        <v>2216</v>
      </c>
      <c r="F202" s="3" t="s">
        <v>2215</v>
      </c>
      <c r="G202" s="3" t="s">
        <v>394</v>
      </c>
    </row>
    <row r="203" spans="1:7">
      <c r="A203" s="6">
        <v>42903</v>
      </c>
      <c r="B203" s="3" t="s">
        <v>2053</v>
      </c>
      <c r="C203" s="3" t="s">
        <v>14</v>
      </c>
      <c r="D203" s="8" t="str">
        <f>HYPERLINK("http://npthd.inbcu.com/ViewContent.aspx?filename=NPMR_CBS_2017-06-17_E.MP4$7298$7303","Late Show with Stephen Colbert")</f>
        <v>Late Show with Stephen Colbert</v>
      </c>
      <c r="E203" s="3" t="s">
        <v>54</v>
      </c>
      <c r="F203" s="3" t="s">
        <v>394</v>
      </c>
      <c r="G203" s="3" t="s">
        <v>395</v>
      </c>
    </row>
    <row r="204" spans="1:7">
      <c r="A204" s="6">
        <v>42903</v>
      </c>
      <c r="B204" s="3" t="s">
        <v>2053</v>
      </c>
      <c r="C204" s="3" t="s">
        <v>18</v>
      </c>
      <c r="D204" s="8" t="str">
        <f>HYPERLINK("http://npthd.inbcu.com/ViewContent.aspx?filename=NPMR_CBS_2017-06-17_E.MP4$7303$7572","48 HOURS:")</f>
        <v>48 HOURS:</v>
      </c>
      <c r="E204" s="3" t="s">
        <v>2217</v>
      </c>
      <c r="F204" s="3" t="s">
        <v>395</v>
      </c>
      <c r="G204" s="3" t="s">
        <v>2218</v>
      </c>
    </row>
    <row r="205" spans="1:7">
      <c r="A205" s="6">
        <v>42903</v>
      </c>
      <c r="B205" s="3" t="s">
        <v>2053</v>
      </c>
      <c r="C205" s="3" t="s">
        <v>21</v>
      </c>
      <c r="D205" s="8" t="str">
        <f>HYPERLINK("http://npthd.inbcu.com/ViewContent.aspx?filename=NPMR_CBS_2017-06-17_E.MP4$7572$7634","COMMERCIAL")</f>
        <v>COMMERCIAL</v>
      </c>
      <c r="E205" s="3" t="s">
        <v>257</v>
      </c>
      <c r="F205" s="3" t="s">
        <v>2218</v>
      </c>
      <c r="G205" s="3" t="s">
        <v>2219</v>
      </c>
    </row>
    <row r="206" spans="1:7">
      <c r="A206" s="6">
        <v>42903</v>
      </c>
      <c r="B206" s="3" t="s">
        <v>2053</v>
      </c>
      <c r="C206" s="3" t="s">
        <v>14</v>
      </c>
      <c r="D206" s="8" t="str">
        <f>HYPERLINK("http://npthd.inbcu.com/ViewContent.aspx?filename=NPMR_CBS_2017-06-17_E.MP4$7634$7654","Zoo")</f>
        <v>Zoo</v>
      </c>
      <c r="E206" s="3" t="s">
        <v>1805</v>
      </c>
      <c r="F206" s="3" t="s">
        <v>2219</v>
      </c>
      <c r="G206" s="3" t="s">
        <v>2220</v>
      </c>
    </row>
    <row r="207" spans="1:7">
      <c r="A207" s="6">
        <v>42903</v>
      </c>
      <c r="B207" s="3" t="s">
        <v>2053</v>
      </c>
      <c r="C207" s="3" t="s">
        <v>18</v>
      </c>
      <c r="D207" s="8" t="str">
        <f>HYPERLINK("http://npthd.inbcu.com/ViewContent.aspx?filename=NPMR_CBS_2017-06-17_E.MP4$7654$8182","48 HOURS:")</f>
        <v>48 HOURS:</v>
      </c>
      <c r="E207" s="3" t="s">
        <v>532</v>
      </c>
      <c r="F207" s="3" t="s">
        <v>2220</v>
      </c>
      <c r="G207" s="3" t="s">
        <v>2221</v>
      </c>
    </row>
    <row r="208" spans="1:7">
      <c r="A208" s="6">
        <v>42903</v>
      </c>
      <c r="B208" s="3" t="s">
        <v>2053</v>
      </c>
      <c r="C208" s="3" t="s">
        <v>21</v>
      </c>
      <c r="D208" s="8" t="str">
        <f>HYPERLINK("http://npthd.inbcu.com/ViewContent.aspx?filename=NPMR_CBS_2017-06-17_E.MP4$8182$8334","COMMERCIAL")</f>
        <v>COMMERCIAL</v>
      </c>
      <c r="E208" s="3" t="s">
        <v>128</v>
      </c>
      <c r="F208" s="3" t="s">
        <v>2221</v>
      </c>
      <c r="G208" s="3" t="s">
        <v>2222</v>
      </c>
    </row>
    <row r="209" spans="1:7">
      <c r="A209" s="6">
        <v>42903</v>
      </c>
      <c r="B209" s="3" t="s">
        <v>2053</v>
      </c>
      <c r="C209" s="3" t="s">
        <v>18</v>
      </c>
      <c r="D209" s="8" t="str">
        <f>HYPERLINK("http://npthd.inbcu.com/ViewContent.aspx?filename=NPMR_CBS_2017-06-17_E.MP4$8334$8673","48 HOURS:")</f>
        <v>48 HOURS:</v>
      </c>
      <c r="E209" s="3" t="s">
        <v>1839</v>
      </c>
      <c r="F209" s="3" t="s">
        <v>2222</v>
      </c>
      <c r="G209" s="3" t="s">
        <v>2223</v>
      </c>
    </row>
    <row r="210" spans="1:7">
      <c r="A210" s="6">
        <v>42903</v>
      </c>
      <c r="B210" s="3" t="s">
        <v>2053</v>
      </c>
      <c r="C210" s="3" t="s">
        <v>21</v>
      </c>
      <c r="D210" s="8" t="str">
        <f>HYPERLINK("http://npthd.inbcu.com/ViewContent.aspx?filename=NPMR_CBS_2017-06-17_E.MP4$8673$8854","COMMERCIAL")</f>
        <v>COMMERCIAL</v>
      </c>
      <c r="E210" s="3" t="s">
        <v>108</v>
      </c>
      <c r="F210" s="3" t="s">
        <v>2223</v>
      </c>
      <c r="G210" s="3" t="s">
        <v>2224</v>
      </c>
    </row>
    <row r="211" spans="1:7">
      <c r="A211" s="6">
        <v>42903</v>
      </c>
      <c r="B211" s="3" t="s">
        <v>2053</v>
      </c>
      <c r="C211" s="3" t="s">
        <v>14</v>
      </c>
      <c r="D211" s="8" t="str">
        <f>HYPERLINK("http://npthd.inbcu.com/ViewContent.aspx?filename=NPMR_CBS_2017-06-17_E.MP4$8854$8864","60 Minutes")</f>
        <v>60 Minutes</v>
      </c>
      <c r="E211" s="3" t="s">
        <v>197</v>
      </c>
      <c r="F211" s="3" t="s">
        <v>2224</v>
      </c>
      <c r="G211" s="3" t="s">
        <v>2225</v>
      </c>
    </row>
    <row r="212" spans="1:7">
      <c r="A212" s="6">
        <v>42903</v>
      </c>
      <c r="B212" s="3" t="s">
        <v>2053</v>
      </c>
      <c r="C212" s="3" t="s">
        <v>18</v>
      </c>
      <c r="D212" s="8" t="str">
        <f>HYPERLINK("http://npthd.inbcu.com/ViewContent.aspx?filename=NPMR_CBS_2017-06-17_E.MP4$8864$8871","48 HOURS:")</f>
        <v>48 HOURS:</v>
      </c>
      <c r="E212" s="3" t="s">
        <v>567</v>
      </c>
      <c r="F212" s="3" t="s">
        <v>2225</v>
      </c>
      <c r="G212" s="3" t="s">
        <v>2226</v>
      </c>
    </row>
    <row r="213" spans="1:7">
      <c r="A213" s="6">
        <v>42903</v>
      </c>
      <c r="B213" s="3" t="s">
        <v>2053</v>
      </c>
      <c r="C213" s="3" t="s">
        <v>14</v>
      </c>
      <c r="D213" s="8" t="str">
        <f>HYPERLINK("http://npthd.inbcu.com/ViewContent.aspx?filename=NPMR_CBS_2017-06-17_E.MP4$8871$8881","CBS This Morning")</f>
        <v>CBS This Morning</v>
      </c>
      <c r="E213" s="3" t="s">
        <v>197</v>
      </c>
      <c r="F213" s="3" t="s">
        <v>2226</v>
      </c>
      <c r="G213" s="3" t="s">
        <v>1163</v>
      </c>
    </row>
    <row r="214" spans="1:7">
      <c r="A214" s="6">
        <v>42903</v>
      </c>
      <c r="B214" s="3" t="s">
        <v>2053</v>
      </c>
      <c r="C214" s="3" t="s">
        <v>14</v>
      </c>
      <c r="D214" s="8" t="str">
        <f>HYPERLINK("http://npthd.inbcu.com/ViewContent.aspx?filename=NPMR_CBS_2017-06-17_E.MP4$8881$8886","Salvation")</f>
        <v>Salvation</v>
      </c>
      <c r="E214" s="3" t="s">
        <v>54</v>
      </c>
      <c r="F214" s="3" t="s">
        <v>1163</v>
      </c>
      <c r="G214" s="3" t="s">
        <v>2227</v>
      </c>
    </row>
    <row r="215" spans="1:7">
      <c r="A215" s="6">
        <v>42903</v>
      </c>
      <c r="B215" s="3" t="s">
        <v>2053</v>
      </c>
      <c r="C215" s="3" t="s">
        <v>32</v>
      </c>
      <c r="D215" s="8" t="str">
        <f>HYPERLINK("http://npthd.inbcu.com/ViewContent.aspx?filename=NPMR_CBS_2017-06-17_E.MP4$8886$8996","LOCAL")</f>
        <v>LOCAL</v>
      </c>
      <c r="E215" s="3" t="s">
        <v>558</v>
      </c>
      <c r="F215" s="3" t="s">
        <v>2227</v>
      </c>
      <c r="G215" s="3" t="s">
        <v>2228</v>
      </c>
    </row>
    <row r="216" spans="1:7">
      <c r="A216" s="6">
        <v>42903</v>
      </c>
      <c r="B216" s="3" t="s">
        <v>2053</v>
      </c>
      <c r="C216" s="3" t="s">
        <v>18</v>
      </c>
      <c r="D216" s="8" t="str">
        <f>HYPERLINK("http://npthd.inbcu.com/ViewContent.aspx?filename=NPMR_CBS_2017-06-17_E.MP4$8996$9511","48 HOURS:")</f>
        <v>48 HOURS:</v>
      </c>
      <c r="E216" s="3" t="s">
        <v>2229</v>
      </c>
      <c r="F216" s="3" t="s">
        <v>2228</v>
      </c>
      <c r="G216" s="3" t="s">
        <v>2230</v>
      </c>
    </row>
    <row r="217" spans="1:7">
      <c r="A217" s="6">
        <v>42903</v>
      </c>
      <c r="B217" s="3" t="s">
        <v>2053</v>
      </c>
      <c r="C217" s="3" t="s">
        <v>21</v>
      </c>
      <c r="D217" s="8" t="str">
        <f>HYPERLINK("http://npthd.inbcu.com/ViewContent.aspx?filename=NPMR_CBS_2017-06-17_E.MP4$9511$9663","COMMERCIAL")</f>
        <v>COMMERCIAL</v>
      </c>
      <c r="E217" s="3" t="s">
        <v>128</v>
      </c>
      <c r="F217" s="3" t="s">
        <v>2230</v>
      </c>
      <c r="G217" s="3" t="s">
        <v>1301</v>
      </c>
    </row>
    <row r="218" spans="1:7">
      <c r="A218" s="6">
        <v>42903</v>
      </c>
      <c r="B218" s="3" t="s">
        <v>2053</v>
      </c>
      <c r="C218" s="3" t="s">
        <v>14</v>
      </c>
      <c r="D218" s="8" t="str">
        <f>HYPERLINK("http://npthd.inbcu.com/ViewContent.aspx?filename=NPMR_CBS_2017-06-17_E.MP4$9663$9673","Late Show with Stephen Colbert")</f>
        <v>Late Show with Stephen Colbert</v>
      </c>
      <c r="E218" s="3" t="s">
        <v>197</v>
      </c>
      <c r="F218" s="3" t="s">
        <v>1301</v>
      </c>
      <c r="G218" s="3" t="s">
        <v>1384</v>
      </c>
    </row>
    <row r="219" spans="1:7">
      <c r="A219" s="6">
        <v>42903</v>
      </c>
      <c r="B219" s="3" t="s">
        <v>2053</v>
      </c>
      <c r="C219" s="3" t="s">
        <v>14</v>
      </c>
      <c r="D219" s="8" t="str">
        <f>HYPERLINK("http://npthd.inbcu.com/ViewContent.aspx?filename=NPMR_CBS_2017-06-17_E.MP4$9673$9693","Salvation")</f>
        <v>Salvation</v>
      </c>
      <c r="E219" s="3" t="s">
        <v>1805</v>
      </c>
      <c r="F219" s="3" t="s">
        <v>1384</v>
      </c>
      <c r="G219" s="3" t="s">
        <v>2231</v>
      </c>
    </row>
    <row r="220" spans="1:7">
      <c r="A220" s="6">
        <v>42903</v>
      </c>
      <c r="B220" s="3" t="s">
        <v>2053</v>
      </c>
      <c r="C220" s="3" t="s">
        <v>14</v>
      </c>
      <c r="D220" s="8" t="str">
        <f>HYPERLINK("http://npthd.inbcu.com/ViewContent.aspx?filename=NPMR_CBS_2017-06-17_E.MP4$9693$9699","48 Hours")</f>
        <v>48 Hours</v>
      </c>
      <c r="E220" s="3" t="s">
        <v>15</v>
      </c>
      <c r="F220" s="3" t="s">
        <v>2231</v>
      </c>
      <c r="G220" s="3" t="s">
        <v>2232</v>
      </c>
    </row>
    <row r="221" spans="1:7">
      <c r="A221" s="6">
        <v>42903</v>
      </c>
      <c r="B221" s="3" t="s">
        <v>2053</v>
      </c>
      <c r="C221" s="3" t="s">
        <v>14</v>
      </c>
      <c r="D221" s="8" t="str">
        <f>HYPERLINK("http://npthd.inbcu.com/ViewContent.aspx?filename=NPMR_CBS_2017-06-17_E.MP4$9699$9719","CBS News")</f>
        <v>CBS News</v>
      </c>
      <c r="E221" s="3" t="s">
        <v>1805</v>
      </c>
      <c r="F221" s="3" t="s">
        <v>2232</v>
      </c>
      <c r="G221" s="3" t="s">
        <v>2233</v>
      </c>
    </row>
    <row r="222" spans="1:7">
      <c r="A222" s="6">
        <v>42903</v>
      </c>
      <c r="B222" s="3" t="s">
        <v>2053</v>
      </c>
      <c r="C222" s="3" t="s">
        <v>14</v>
      </c>
      <c r="D222" s="8" t="str">
        <f>HYPERLINK("http://npthd.inbcu.com/ViewContent.aspx?filename=NPMR_CBS_2017-06-17_E.MP4$9719$9724","CBS Sunday Morning")</f>
        <v>CBS Sunday Morning</v>
      </c>
      <c r="E222" s="3" t="s">
        <v>54</v>
      </c>
      <c r="F222" s="3" t="s">
        <v>2233</v>
      </c>
      <c r="G222" s="3" t="s">
        <v>2234</v>
      </c>
    </row>
    <row r="223" spans="1:7">
      <c r="A223" s="6">
        <v>42903</v>
      </c>
      <c r="B223" s="3" t="s">
        <v>2053</v>
      </c>
      <c r="C223" s="3" t="s">
        <v>32</v>
      </c>
      <c r="D223" s="8" t="str">
        <f>HYPERLINK("http://npthd.inbcu.com/ViewContent.aspx?filename=NPMR_CBS_2017-06-17_E.MP4$9724$9819","LOCAL")</f>
        <v>LOCAL</v>
      </c>
      <c r="E223" s="3" t="s">
        <v>2076</v>
      </c>
      <c r="F223" s="3" t="s">
        <v>2234</v>
      </c>
      <c r="G223" s="3" t="s">
        <v>1595</v>
      </c>
    </row>
    <row r="224" spans="1:7">
      <c r="A224" s="6">
        <v>42903</v>
      </c>
      <c r="B224" s="3" t="s">
        <v>2053</v>
      </c>
      <c r="C224" s="3" t="s">
        <v>18</v>
      </c>
      <c r="D224" s="8" t="str">
        <f>HYPERLINK("http://npthd.inbcu.com/ViewContent.aspx?filename=NPMR_CBS_2017-06-17_E.MP4$9819$10328","48 HOURS:")</f>
        <v>48 HOURS:</v>
      </c>
      <c r="E224" s="3" t="s">
        <v>396</v>
      </c>
      <c r="F224" s="3" t="s">
        <v>1595</v>
      </c>
      <c r="G224" s="3" t="s">
        <v>2235</v>
      </c>
    </row>
    <row r="225" spans="1:7">
      <c r="A225" s="6">
        <v>42903</v>
      </c>
      <c r="B225" s="3" t="s">
        <v>2053</v>
      </c>
      <c r="C225" s="3" t="s">
        <v>32</v>
      </c>
      <c r="D225" s="8" t="str">
        <f>HYPERLINK("http://npthd.inbcu.com/ViewContent.aspx?filename=NPMR_CBS_2017-06-17_E.MP4$10328$10340","LOCAL")</f>
        <v>LOCAL</v>
      </c>
      <c r="E225" s="3" t="s">
        <v>2057</v>
      </c>
      <c r="F225" s="3" t="s">
        <v>2235</v>
      </c>
      <c r="G225" s="3" t="s">
        <v>2236</v>
      </c>
    </row>
    <row r="226" spans="1:7">
      <c r="A226" s="6">
        <v>42903</v>
      </c>
      <c r="B226" s="3" t="s">
        <v>2053</v>
      </c>
      <c r="C226" s="3" t="s">
        <v>21</v>
      </c>
      <c r="D226" s="8" t="str">
        <f>HYPERLINK("http://npthd.inbcu.com/ViewContent.aspx?filename=NPMR_CBS_2017-06-17_E.MP4$10340$10491","COMMERCIAL")</f>
        <v>COMMERCIAL</v>
      </c>
      <c r="E226" s="3" t="s">
        <v>91</v>
      </c>
      <c r="F226" s="3" t="s">
        <v>2236</v>
      </c>
      <c r="G226" s="3" t="s">
        <v>2237</v>
      </c>
    </row>
    <row r="227" spans="1:7">
      <c r="A227" s="6">
        <v>42903</v>
      </c>
      <c r="B227" s="3" t="s">
        <v>2053</v>
      </c>
      <c r="C227" s="3" t="s">
        <v>14</v>
      </c>
      <c r="D227" s="8" t="str">
        <f>HYPERLINK("http://npthd.inbcu.com/ViewContent.aspx?filename=NPMR_CBS_2017-06-17_E.MP4$10491$10496","Late Show with Stephen Colbert")</f>
        <v>Late Show with Stephen Colbert</v>
      </c>
      <c r="E227" s="3" t="s">
        <v>54</v>
      </c>
      <c r="F227" s="3" t="s">
        <v>2237</v>
      </c>
      <c r="G227" s="3" t="s">
        <v>211</v>
      </c>
    </row>
    <row r="228" spans="1:7">
      <c r="A228" s="6">
        <v>42903</v>
      </c>
      <c r="B228" s="3" t="s">
        <v>2053</v>
      </c>
      <c r="C228" s="3" t="s">
        <v>18</v>
      </c>
      <c r="D228" s="8" t="str">
        <f>HYPERLINK("http://npthd.inbcu.com/ViewContent.aspx?filename=NPMR_CBS_2017-06-17_E.MP4$10496$10849","48 HOURS:")</f>
        <v>48 HOURS:</v>
      </c>
      <c r="E228" s="3" t="s">
        <v>1186</v>
      </c>
      <c r="F228" s="3" t="s">
        <v>211</v>
      </c>
      <c r="G228" s="3" t="s">
        <v>2238</v>
      </c>
    </row>
    <row r="229" spans="1:7">
      <c r="A229" s="6">
        <v>42903</v>
      </c>
      <c r="B229" s="3" t="s">
        <v>2053</v>
      </c>
      <c r="C229" s="3" t="s">
        <v>14</v>
      </c>
      <c r="D229" s="8" t="str">
        <f>HYPERLINK("http://npthd.inbcu.com/ViewContent.aspx?filename=NPMR_CBS_2017-06-17_E.MP4$10849$10879","Salvation")</f>
        <v>Salvation</v>
      </c>
      <c r="E229" s="3" t="s">
        <v>38</v>
      </c>
      <c r="F229" s="3" t="s">
        <v>2238</v>
      </c>
      <c r="G229" s="3" t="s">
        <v>1603</v>
      </c>
    </row>
    <row r="230" spans="1:7">
      <c r="A230" s="6">
        <v>42903</v>
      </c>
      <c r="B230" s="3" t="s">
        <v>2053</v>
      </c>
      <c r="C230" s="3" t="s">
        <v>18</v>
      </c>
      <c r="D230" s="8" t="str">
        <f>HYPERLINK("http://npthd.inbcu.com/ViewContent.aspx?filename=NPMR_CBS_2017-06-17_E.MP4$10879$10887","48 HOURS:")</f>
        <v>48 HOURS:</v>
      </c>
      <c r="E230" s="3" t="s">
        <v>2239</v>
      </c>
      <c r="F230" s="3" t="s">
        <v>1603</v>
      </c>
      <c r="G230" s="3" t="s">
        <v>1939</v>
      </c>
    </row>
    <row r="231" spans="1:7">
      <c r="A231" s="6">
        <v>42903</v>
      </c>
      <c r="B231" s="3" t="s">
        <v>2053</v>
      </c>
      <c r="C231" s="3" t="s">
        <v>32</v>
      </c>
      <c r="D231" s="8" t="str">
        <f>HYPERLINK("http://npthd.inbcu.com/ViewContent.aspx?filename=NPMR_CBS_2017-06-17_E.MP4$10887$10898","LOCAL")</f>
        <v>LOCAL</v>
      </c>
      <c r="E231" s="3" t="s">
        <v>1940</v>
      </c>
      <c r="F231" s="3" t="s">
        <v>1939</v>
      </c>
      <c r="G231" s="3" t="s">
        <v>124</v>
      </c>
    </row>
    <row r="232" spans="1:7">
      <c r="A232" s="6">
        <v>42904</v>
      </c>
      <c r="B232" s="3" t="s">
        <v>2053</v>
      </c>
      <c r="C232" s="3" t="s">
        <v>18</v>
      </c>
      <c r="D232" s="8" t="str">
        <f>HYPERLINK("http://npthd.inbcu.com/ViewContent.aspx?filename=NPMR_CBS_2017-06-18_E.MP4$116$248","60 MINUTES:")</f>
        <v>60 MINUTES:</v>
      </c>
      <c r="E232" s="3" t="s">
        <v>2240</v>
      </c>
      <c r="F232" s="3" t="s">
        <v>311</v>
      </c>
      <c r="G232" s="3" t="s">
        <v>2241</v>
      </c>
    </row>
    <row r="233" spans="1:7">
      <c r="A233" s="6">
        <v>42904</v>
      </c>
      <c r="B233" s="3" t="s">
        <v>2053</v>
      </c>
      <c r="C233" s="3" t="s">
        <v>21</v>
      </c>
      <c r="D233" s="8" t="str">
        <f>HYPERLINK("http://npthd.inbcu.com/ViewContent.aspx?filename=NPMR_CBS_2017-06-18_E.MP4$248$430","COMMERCIAL")</f>
        <v>COMMERCIAL</v>
      </c>
      <c r="E233" s="3" t="s">
        <v>275</v>
      </c>
      <c r="F233" s="3" t="s">
        <v>2241</v>
      </c>
      <c r="G233" s="3" t="s">
        <v>2242</v>
      </c>
    </row>
    <row r="234" spans="1:7">
      <c r="A234" s="6">
        <v>42904</v>
      </c>
      <c r="B234" s="3" t="s">
        <v>2053</v>
      </c>
      <c r="C234" s="3" t="s">
        <v>14</v>
      </c>
      <c r="D234" s="8" t="str">
        <f>HYPERLINK("http://npthd.inbcu.com/ViewContent.aspx?filename=NPMR_CBS_2017-06-18_E.MP4$430$451","Bull")</f>
        <v>Bull</v>
      </c>
      <c r="E234" s="3" t="s">
        <v>2067</v>
      </c>
      <c r="F234" s="3" t="s">
        <v>2242</v>
      </c>
      <c r="G234" s="3" t="s">
        <v>2243</v>
      </c>
    </row>
    <row r="235" spans="1:7">
      <c r="A235" s="6">
        <v>42904</v>
      </c>
      <c r="B235" s="3" t="s">
        <v>2053</v>
      </c>
      <c r="C235" s="3" t="s">
        <v>18</v>
      </c>
      <c r="D235" s="8" t="str">
        <f>HYPERLINK("http://npthd.inbcu.com/ViewContent.aspx?filename=NPMR_CBS_2017-06-18_E.MP4$451$1224","60 MINUTES:")</f>
        <v>60 MINUTES:</v>
      </c>
      <c r="E235" s="3" t="s">
        <v>2244</v>
      </c>
      <c r="F235" s="3" t="s">
        <v>2243</v>
      </c>
      <c r="G235" s="3" t="s">
        <v>2245</v>
      </c>
    </row>
    <row r="236" spans="1:7">
      <c r="A236" s="6">
        <v>42904</v>
      </c>
      <c r="B236" s="3" t="s">
        <v>2053</v>
      </c>
      <c r="C236" s="3" t="s">
        <v>21</v>
      </c>
      <c r="D236" s="8" t="str">
        <f>HYPERLINK("http://npthd.inbcu.com/ViewContent.aspx?filename=NPMR_CBS_2017-06-18_E.MP4$1224$1436","COMMERCIAL")</f>
        <v>COMMERCIAL</v>
      </c>
      <c r="E236" s="3" t="s">
        <v>891</v>
      </c>
      <c r="F236" s="3" t="s">
        <v>2245</v>
      </c>
      <c r="G236" s="3" t="s">
        <v>2246</v>
      </c>
    </row>
    <row r="237" spans="1:7">
      <c r="A237" s="6">
        <v>42904</v>
      </c>
      <c r="B237" s="3" t="s">
        <v>2053</v>
      </c>
      <c r="C237" s="3" t="s">
        <v>14</v>
      </c>
      <c r="D237" s="8" t="str">
        <f>HYPERLINK("http://npthd.inbcu.com/ViewContent.aspx?filename=NPMR_CBS_2017-06-18_E.MP4$1436$1448","Late Show with Stephen Colbert")</f>
        <v>Late Show with Stephen Colbert</v>
      </c>
      <c r="E237" s="3" t="s">
        <v>2057</v>
      </c>
      <c r="F237" s="3" t="s">
        <v>2246</v>
      </c>
      <c r="G237" s="3" t="s">
        <v>2247</v>
      </c>
    </row>
    <row r="238" spans="1:7">
      <c r="A238" s="6">
        <v>42904</v>
      </c>
      <c r="B238" s="3" t="s">
        <v>2053</v>
      </c>
      <c r="C238" s="3" t="s">
        <v>18</v>
      </c>
      <c r="D238" s="8" t="str">
        <f>HYPERLINK("http://npthd.inbcu.com/ViewContent.aspx?filename=NPMR_CBS_2017-06-18_E.MP4$1448$2291","60 MINUTES:")</f>
        <v>60 MINUTES:</v>
      </c>
      <c r="E238" s="3" t="s">
        <v>2248</v>
      </c>
      <c r="F238" s="3" t="s">
        <v>2247</v>
      </c>
      <c r="G238" s="3" t="s">
        <v>2249</v>
      </c>
    </row>
    <row r="239" spans="1:7">
      <c r="A239" s="6">
        <v>42904</v>
      </c>
      <c r="B239" s="3" t="s">
        <v>2053</v>
      </c>
      <c r="C239" s="3" t="s">
        <v>21</v>
      </c>
      <c r="D239" s="8" t="str">
        <f>HYPERLINK("http://npthd.inbcu.com/ViewContent.aspx?filename=NPMR_CBS_2017-06-18_E.MP4$2291$2473","COMMERCIAL")</f>
        <v>COMMERCIAL</v>
      </c>
      <c r="E239" s="3" t="s">
        <v>275</v>
      </c>
      <c r="F239" s="3" t="s">
        <v>2249</v>
      </c>
      <c r="G239" s="3" t="s">
        <v>2250</v>
      </c>
    </row>
    <row r="240" spans="1:7">
      <c r="A240" s="6">
        <v>42904</v>
      </c>
      <c r="B240" s="3" t="s">
        <v>2053</v>
      </c>
      <c r="C240" s="3" t="s">
        <v>14</v>
      </c>
      <c r="D240" s="8" t="str">
        <f>HYPERLINK("http://npthd.inbcu.com/ViewContent.aspx?filename=NPMR_CBS_2017-06-18_E.MP4$2473$2485","CBS This Morning")</f>
        <v>CBS This Morning</v>
      </c>
      <c r="E240" s="3" t="s">
        <v>2057</v>
      </c>
      <c r="F240" s="3" t="s">
        <v>2250</v>
      </c>
      <c r="G240" s="3" t="s">
        <v>2251</v>
      </c>
    </row>
    <row r="241" spans="1:7">
      <c r="A241" s="6">
        <v>42904</v>
      </c>
      <c r="B241" s="3" t="s">
        <v>2053</v>
      </c>
      <c r="C241" s="3" t="s">
        <v>14</v>
      </c>
      <c r="D241" s="8" t="str">
        <f>HYPERLINK("http://npthd.inbcu.com/ViewContent.aspx?filename=NPMR_CBS_2017-06-18_E.MP4$2485$2489","Zoo")</f>
        <v>Zoo</v>
      </c>
      <c r="E241" s="3" t="s">
        <v>84</v>
      </c>
      <c r="F241" s="3" t="s">
        <v>2251</v>
      </c>
      <c r="G241" s="3" t="s">
        <v>2252</v>
      </c>
    </row>
    <row r="242" spans="1:7">
      <c r="A242" s="6">
        <v>42904</v>
      </c>
      <c r="B242" s="3" t="s">
        <v>2053</v>
      </c>
      <c r="C242" s="3" t="s">
        <v>32</v>
      </c>
      <c r="D242" s="8" t="str">
        <f>HYPERLINK("http://npthd.inbcu.com/ViewContent.aspx?filename=NPMR_CBS_2017-06-18_E.MP4$2489$2554","LOCAL")</f>
        <v>LOCAL</v>
      </c>
      <c r="E242" s="3" t="s">
        <v>580</v>
      </c>
      <c r="F242" s="3" t="s">
        <v>2252</v>
      </c>
      <c r="G242" s="3" t="s">
        <v>2253</v>
      </c>
    </row>
    <row r="243" spans="1:7">
      <c r="A243" s="6">
        <v>42904</v>
      </c>
      <c r="B243" s="3" t="s">
        <v>2053</v>
      </c>
      <c r="C243" s="3" t="s">
        <v>18</v>
      </c>
      <c r="D243" s="8" t="str">
        <f>HYPERLINK("http://npthd.inbcu.com/ViewContent.aspx?filename=NPMR_CBS_2017-06-18_E.MP4$2554$3379","60 MINUTES:")</f>
        <v>60 MINUTES:</v>
      </c>
      <c r="E243" s="3" t="s">
        <v>2254</v>
      </c>
      <c r="F243" s="3" t="s">
        <v>2253</v>
      </c>
      <c r="G243" s="3" t="s">
        <v>2255</v>
      </c>
    </row>
    <row r="244" spans="1:7">
      <c r="A244" s="6">
        <v>42904</v>
      </c>
      <c r="B244" s="3" t="s">
        <v>2053</v>
      </c>
      <c r="C244" s="3" t="s">
        <v>21</v>
      </c>
      <c r="D244" s="8" t="str">
        <f>HYPERLINK("http://npthd.inbcu.com/ViewContent.aspx?filename=NPMR_CBS_2017-06-18_E.MP4$3379$3472","COMMERCIAL")</f>
        <v>COMMERCIAL</v>
      </c>
      <c r="E244" s="3" t="s">
        <v>955</v>
      </c>
      <c r="F244" s="3" t="s">
        <v>2255</v>
      </c>
      <c r="G244" s="3" t="s">
        <v>2256</v>
      </c>
    </row>
    <row r="245" spans="1:7">
      <c r="A245" s="6">
        <v>42904</v>
      </c>
      <c r="B245" s="3" t="s">
        <v>2053</v>
      </c>
      <c r="C245" s="3" t="s">
        <v>14</v>
      </c>
      <c r="D245" s="8" t="str">
        <f>HYPERLINK("http://npthd.inbcu.com/ViewContent.aspx?filename=NPMR_CBS_2017-06-18_E.MP4$3472$3494","CBS All Access")</f>
        <v>CBS All Access</v>
      </c>
      <c r="E245" s="3" t="s">
        <v>2124</v>
      </c>
      <c r="F245" s="3" t="s">
        <v>2256</v>
      </c>
      <c r="G245" s="3" t="s">
        <v>2257</v>
      </c>
    </row>
    <row r="246" spans="1:7">
      <c r="A246" s="6">
        <v>42904</v>
      </c>
      <c r="B246" s="3" t="s">
        <v>2053</v>
      </c>
      <c r="C246" s="3" t="s">
        <v>14</v>
      </c>
      <c r="D246" s="8" t="str">
        <f>HYPERLINK("http://npthd.inbcu.com/ViewContent.aspx?filename=NPMR_CBS_2017-06-18_E.MP4$3494$3514","Salvation")</f>
        <v>Salvation</v>
      </c>
      <c r="E246" s="3" t="s">
        <v>1805</v>
      </c>
      <c r="F246" s="3" t="s">
        <v>2257</v>
      </c>
      <c r="G246" s="3" t="s">
        <v>2258</v>
      </c>
    </row>
    <row r="247" spans="1:7">
      <c r="A247" s="6">
        <v>42904</v>
      </c>
      <c r="B247" s="3" t="s">
        <v>2053</v>
      </c>
      <c r="C247" s="3" t="s">
        <v>14</v>
      </c>
      <c r="D247" s="8" t="str">
        <f>HYPERLINK("http://npthd.inbcu.com/ViewContent.aspx?filename=NPMR_CBS_2017-06-18_E.MP4$3514$3518","Kevin Can Wait")</f>
        <v>Kevin Can Wait</v>
      </c>
      <c r="E247" s="3" t="s">
        <v>84</v>
      </c>
      <c r="F247" s="3" t="s">
        <v>2258</v>
      </c>
      <c r="G247" s="3" t="s">
        <v>2259</v>
      </c>
    </row>
    <row r="248" spans="1:7">
      <c r="A248" s="6">
        <v>42904</v>
      </c>
      <c r="B248" s="3" t="s">
        <v>2053</v>
      </c>
      <c r="C248" s="3" t="s">
        <v>32</v>
      </c>
      <c r="D248" s="8" t="str">
        <f>HYPERLINK("http://npthd.inbcu.com/ViewContent.aspx?filename=NPMR_CBS_2017-06-18_E.MP4$3518$3583","LOCAL")</f>
        <v>LOCAL</v>
      </c>
      <c r="E248" s="3" t="s">
        <v>580</v>
      </c>
      <c r="F248" s="3" t="s">
        <v>2259</v>
      </c>
      <c r="G248" s="3" t="s">
        <v>2260</v>
      </c>
    </row>
    <row r="249" spans="1:7">
      <c r="A249" s="6">
        <v>42904</v>
      </c>
      <c r="B249" s="3" t="s">
        <v>2053</v>
      </c>
      <c r="C249" s="3" t="s">
        <v>18</v>
      </c>
      <c r="D249" s="8" t="str">
        <f>HYPERLINK("http://npthd.inbcu.com/ViewContent.aspx?filename=NPMR_CBS_2017-06-18_E.MP4$3583$3595","60 MINUTES:")</f>
        <v>60 MINUTES:</v>
      </c>
      <c r="E249" s="3" t="s">
        <v>2057</v>
      </c>
      <c r="F249" s="3" t="s">
        <v>2260</v>
      </c>
      <c r="G249" s="3" t="s">
        <v>2261</v>
      </c>
    </row>
    <row r="250" spans="1:7">
      <c r="A250" s="6">
        <v>42904</v>
      </c>
      <c r="B250" s="3" t="s">
        <v>2053</v>
      </c>
      <c r="C250" s="3" t="s">
        <v>21</v>
      </c>
      <c r="D250" s="8" t="str">
        <f>HYPERLINK("http://npthd.inbcu.com/ViewContent.aspx?filename=NPMR_CBS_2017-06-18_E.MP4$3595$3687","COMMERCIAL")</f>
        <v>COMMERCIAL</v>
      </c>
      <c r="E250" s="3" t="s">
        <v>267</v>
      </c>
      <c r="F250" s="3" t="s">
        <v>2261</v>
      </c>
      <c r="G250" s="3" t="s">
        <v>2262</v>
      </c>
    </row>
    <row r="251" spans="1:7">
      <c r="A251" s="6">
        <v>42904</v>
      </c>
      <c r="B251" s="3" t="s">
        <v>2053</v>
      </c>
      <c r="C251" s="3" t="s">
        <v>14</v>
      </c>
      <c r="D251" s="8" t="str">
        <f>HYPERLINK("http://npthd.inbcu.com/ViewContent.aspx?filename=NPMR_CBS_2017-06-18_E.MP4$3687$3707","CBS This Morning")</f>
        <v>CBS This Morning</v>
      </c>
      <c r="E251" s="3" t="s">
        <v>1805</v>
      </c>
      <c r="F251" s="3" t="s">
        <v>2262</v>
      </c>
      <c r="G251" s="3" t="s">
        <v>2263</v>
      </c>
    </row>
    <row r="252" spans="1:7">
      <c r="A252" s="6">
        <v>42904</v>
      </c>
      <c r="B252" s="3" t="s">
        <v>2053</v>
      </c>
      <c r="C252" s="3" t="s">
        <v>18</v>
      </c>
      <c r="D252" s="8" t="str">
        <f>HYPERLINK("http://npthd.inbcu.com/ViewContent.aspx?filename=NPMR_CBS_2017-06-18_E.MP4$3707$3716","60 MINUTES:")</f>
        <v>60 MINUTES:</v>
      </c>
      <c r="E252" s="3" t="s">
        <v>2074</v>
      </c>
      <c r="F252" s="3" t="s">
        <v>2263</v>
      </c>
      <c r="G252" s="3" t="s">
        <v>16</v>
      </c>
    </row>
    <row r="253" spans="1:7">
      <c r="A253" s="6">
        <v>42904</v>
      </c>
      <c r="B253" s="3" t="s">
        <v>2053</v>
      </c>
      <c r="C253" s="3" t="s">
        <v>14</v>
      </c>
      <c r="D253" s="8" t="str">
        <f>HYPERLINK("http://npthd.inbcu.com/ViewContent.aspx?filename=NPMR_CBS_2017-06-18_E.MP4$3716$3720","Late Show with Stephen Colbert")</f>
        <v>Late Show with Stephen Colbert</v>
      </c>
      <c r="E253" s="3" t="s">
        <v>84</v>
      </c>
      <c r="F253" s="3" t="s">
        <v>16</v>
      </c>
      <c r="G253" s="3" t="s">
        <v>964</v>
      </c>
    </row>
    <row r="254" spans="1:7">
      <c r="A254" s="6">
        <v>42904</v>
      </c>
      <c r="B254" s="3" t="s">
        <v>2053</v>
      </c>
      <c r="C254" s="3" t="s">
        <v>18</v>
      </c>
      <c r="D254" s="8" t="str">
        <f>HYPERLINK("http://npthd.inbcu.com/ViewContent.aspx?filename=NPMR_CBS_2017-06-18_E.MP4$3720$4075","NCIS: LA: tidings we bring")</f>
        <v>NCIS: LA: tidings we bring</v>
      </c>
      <c r="E254" s="3" t="s">
        <v>2264</v>
      </c>
      <c r="F254" s="3" t="s">
        <v>964</v>
      </c>
      <c r="G254" s="3" t="s">
        <v>2265</v>
      </c>
    </row>
    <row r="255" spans="1:7">
      <c r="A255" s="6">
        <v>42904</v>
      </c>
      <c r="B255" s="3" t="s">
        <v>2053</v>
      </c>
      <c r="C255" s="3" t="s">
        <v>21</v>
      </c>
      <c r="D255" s="8" t="str">
        <f>HYPERLINK("http://npthd.inbcu.com/ViewContent.aspx?filename=NPMR_CBS_2017-06-18_E.MP4$4075$4228","COMMERCIAL")</f>
        <v>COMMERCIAL</v>
      </c>
      <c r="E255" s="3" t="s">
        <v>1735</v>
      </c>
      <c r="F255" s="3" t="s">
        <v>2265</v>
      </c>
      <c r="G255" s="3" t="s">
        <v>2266</v>
      </c>
    </row>
    <row r="256" spans="1:7">
      <c r="A256" s="6">
        <v>42904</v>
      </c>
      <c r="B256" s="3" t="s">
        <v>2053</v>
      </c>
      <c r="C256" s="3" t="s">
        <v>14</v>
      </c>
      <c r="D256" s="8" t="str">
        <f>HYPERLINK("http://npthd.inbcu.com/ViewContent.aspx?filename=NPMR_CBS_2017-06-18_E.MP4$4228$4239","Kevin Can Wait")</f>
        <v>Kevin Can Wait</v>
      </c>
      <c r="E256" s="3" t="s">
        <v>1940</v>
      </c>
      <c r="F256" s="3" t="s">
        <v>2266</v>
      </c>
      <c r="G256" s="3" t="s">
        <v>2267</v>
      </c>
    </row>
    <row r="257" spans="1:7">
      <c r="A257" s="6">
        <v>42904</v>
      </c>
      <c r="B257" s="3" t="s">
        <v>2053</v>
      </c>
      <c r="C257" s="3" t="s">
        <v>14</v>
      </c>
      <c r="D257" s="8" t="str">
        <f>HYPERLINK("http://npthd.inbcu.com/ViewContent.aspx?filename=NPMR_CBS_2017-06-18_E.MP4$4239$4259","Big Brother")</f>
        <v>Big Brother</v>
      </c>
      <c r="E257" s="3" t="s">
        <v>1805</v>
      </c>
      <c r="F257" s="3" t="s">
        <v>2267</v>
      </c>
      <c r="G257" s="3" t="s">
        <v>2268</v>
      </c>
    </row>
    <row r="258" spans="1:7">
      <c r="A258" s="6">
        <v>42904</v>
      </c>
      <c r="B258" s="3" t="s">
        <v>2053</v>
      </c>
      <c r="C258" s="3" t="s">
        <v>18</v>
      </c>
      <c r="D258" s="8" t="str">
        <f>HYPERLINK("http://npthd.inbcu.com/ViewContent.aspx?filename=NPMR_CBS_2017-06-18_E.MP4$4259$4918","NCIS: LA: tidings we bring")</f>
        <v>NCIS: LA: tidings we bring</v>
      </c>
      <c r="E258" s="3" t="s">
        <v>1715</v>
      </c>
      <c r="F258" s="3" t="s">
        <v>2268</v>
      </c>
      <c r="G258" s="3" t="s">
        <v>2269</v>
      </c>
    </row>
    <row r="259" spans="1:7">
      <c r="A259" s="6">
        <v>42904</v>
      </c>
      <c r="B259" s="3" t="s">
        <v>2053</v>
      </c>
      <c r="C259" s="3" t="s">
        <v>21</v>
      </c>
      <c r="D259" s="8" t="str">
        <f>HYPERLINK("http://npthd.inbcu.com/ViewContent.aspx?filename=NPMR_CBS_2017-06-18_E.MP4$4918$5100","COMMERCIAL")</f>
        <v>COMMERCIAL</v>
      </c>
      <c r="E259" s="3" t="s">
        <v>275</v>
      </c>
      <c r="F259" s="3" t="s">
        <v>2269</v>
      </c>
      <c r="G259" s="3" t="s">
        <v>2270</v>
      </c>
    </row>
    <row r="260" spans="1:7">
      <c r="A260" s="6">
        <v>42904</v>
      </c>
      <c r="B260" s="3" t="s">
        <v>2053</v>
      </c>
      <c r="C260" s="3" t="s">
        <v>1618</v>
      </c>
      <c r="D260" s="8" t="str">
        <f>HYPERLINK("http://npthd.inbcu.com/ViewContent.aspx?filename=NPMR_CBS_2017-06-18_E.MP4$5100$5110","PSA")</f>
        <v>PSA</v>
      </c>
      <c r="E260" s="3" t="s">
        <v>197</v>
      </c>
      <c r="F260" s="3" t="s">
        <v>2270</v>
      </c>
      <c r="G260" s="3" t="s">
        <v>970</v>
      </c>
    </row>
    <row r="261" spans="1:7">
      <c r="A261" s="6">
        <v>42904</v>
      </c>
      <c r="B261" s="3" t="s">
        <v>2053</v>
      </c>
      <c r="C261" s="3" t="s">
        <v>14</v>
      </c>
      <c r="D261" s="8" t="str">
        <f>HYPERLINK("http://npthd.inbcu.com/ViewContent.aspx?filename=NPMR_CBS_2017-06-18_E.MP4$5110$5126","CBS All Access")</f>
        <v>CBS All Access</v>
      </c>
      <c r="E261" s="3" t="s">
        <v>64</v>
      </c>
      <c r="F261" s="3" t="s">
        <v>970</v>
      </c>
      <c r="G261" s="3" t="s">
        <v>2271</v>
      </c>
    </row>
    <row r="262" spans="1:7">
      <c r="A262" s="6">
        <v>42904</v>
      </c>
      <c r="B262" s="3" t="s">
        <v>2053</v>
      </c>
      <c r="C262" s="3" t="s">
        <v>14</v>
      </c>
      <c r="D262" s="8" t="str">
        <f>HYPERLINK("http://npthd.inbcu.com/ViewContent.aspx?filename=NPMR_CBS_2017-06-18_E.MP4$5126$5141","Candy Crush")</f>
        <v>Candy Crush</v>
      </c>
      <c r="E262" s="3" t="s">
        <v>30</v>
      </c>
      <c r="F262" s="3" t="s">
        <v>2271</v>
      </c>
      <c r="G262" s="3" t="s">
        <v>2272</v>
      </c>
    </row>
    <row r="263" spans="1:7">
      <c r="A263" s="6">
        <v>42904</v>
      </c>
      <c r="B263" s="3" t="s">
        <v>2053</v>
      </c>
      <c r="C263" s="3" t="s">
        <v>18</v>
      </c>
      <c r="D263" s="8" t="str">
        <f>HYPERLINK("http://npthd.inbcu.com/ViewContent.aspx?filename=NPMR_CBS_2017-06-18_E.MP4$5141$5520","NCIS: LA: tidings we bring")</f>
        <v>NCIS: LA: tidings we bring</v>
      </c>
      <c r="E263" s="3" t="s">
        <v>1174</v>
      </c>
      <c r="F263" s="3" t="s">
        <v>2272</v>
      </c>
      <c r="G263" s="3" t="s">
        <v>2273</v>
      </c>
    </row>
    <row r="264" spans="1:7">
      <c r="A264" s="6">
        <v>42904</v>
      </c>
      <c r="B264" s="3" t="s">
        <v>2053</v>
      </c>
      <c r="C264" s="3" t="s">
        <v>21</v>
      </c>
      <c r="D264" s="8" t="str">
        <f>HYPERLINK("http://npthd.inbcu.com/ViewContent.aspx?filename=NPMR_CBS_2017-06-18_E.MP4$5520$5673","COMMERCIAL")</f>
        <v>COMMERCIAL</v>
      </c>
      <c r="E264" s="3" t="s">
        <v>1735</v>
      </c>
      <c r="F264" s="3" t="s">
        <v>2273</v>
      </c>
      <c r="G264" s="3" t="s">
        <v>2274</v>
      </c>
    </row>
    <row r="265" spans="1:7">
      <c r="A265" s="6">
        <v>42904</v>
      </c>
      <c r="B265" s="3" t="s">
        <v>2053</v>
      </c>
      <c r="C265" s="3" t="s">
        <v>14</v>
      </c>
      <c r="D265" s="8" t="str">
        <f>HYPERLINK("http://npthd.inbcu.com/ViewContent.aspx?filename=NPMR_CBS_2017-06-18_E.MP4$5673$5683","Zoo")</f>
        <v>Zoo</v>
      </c>
      <c r="E265" s="3" t="s">
        <v>197</v>
      </c>
      <c r="F265" s="3" t="s">
        <v>2274</v>
      </c>
      <c r="G265" s="3" t="s">
        <v>2275</v>
      </c>
    </row>
    <row r="266" spans="1:7">
      <c r="A266" s="6">
        <v>42904</v>
      </c>
      <c r="B266" s="3" t="s">
        <v>2053</v>
      </c>
      <c r="C266" s="3" t="s">
        <v>32</v>
      </c>
      <c r="D266" s="8" t="str">
        <f>HYPERLINK("http://npthd.inbcu.com/ViewContent.aspx?filename=NPMR_CBS_2017-06-18_E.MP4$5683$5748","LOCAL")</f>
        <v>LOCAL</v>
      </c>
      <c r="E266" s="3" t="s">
        <v>580</v>
      </c>
      <c r="F266" s="3" t="s">
        <v>2275</v>
      </c>
      <c r="G266" s="3" t="s">
        <v>2276</v>
      </c>
    </row>
    <row r="267" spans="1:7">
      <c r="A267" s="6">
        <v>42904</v>
      </c>
      <c r="B267" s="3" t="s">
        <v>2053</v>
      </c>
      <c r="C267" s="3" t="s">
        <v>18</v>
      </c>
      <c r="D267" s="8" t="str">
        <f>HYPERLINK("http://npthd.inbcu.com/ViewContent.aspx?filename=NPMR_CBS_2017-06-18_E.MP4$5748$6250","NCIS: LA: tidings we bring")</f>
        <v>NCIS: LA: tidings we bring</v>
      </c>
      <c r="E267" s="3" t="s">
        <v>2004</v>
      </c>
      <c r="F267" s="3" t="s">
        <v>2276</v>
      </c>
      <c r="G267" s="3" t="s">
        <v>2277</v>
      </c>
    </row>
    <row r="268" spans="1:7">
      <c r="A268" s="6">
        <v>42904</v>
      </c>
      <c r="B268" s="3" t="s">
        <v>2053</v>
      </c>
      <c r="C268" s="3" t="s">
        <v>21</v>
      </c>
      <c r="D268" s="8" t="str">
        <f>HYPERLINK("http://npthd.inbcu.com/ViewContent.aspx?filename=NPMR_CBS_2017-06-18_E.MP4$6250$6418","COMMERCIAL")</f>
        <v>COMMERCIAL</v>
      </c>
      <c r="E268" s="3" t="s">
        <v>650</v>
      </c>
      <c r="F268" s="3" t="s">
        <v>2277</v>
      </c>
      <c r="G268" s="3" t="s">
        <v>2278</v>
      </c>
    </row>
    <row r="269" spans="1:7">
      <c r="A269" s="6">
        <v>42904</v>
      </c>
      <c r="B269" s="3" t="s">
        <v>2053</v>
      </c>
      <c r="C269" s="3" t="s">
        <v>14</v>
      </c>
      <c r="D269" s="8" t="str">
        <f>HYPERLINK("http://npthd.inbcu.com/ViewContent.aspx?filename=NPMR_CBS_2017-06-18_E.MP4$6418$6429","Late Show with Stephen Colbert")</f>
        <v>Late Show with Stephen Colbert</v>
      </c>
      <c r="E269" s="3" t="s">
        <v>1940</v>
      </c>
      <c r="F269" s="3" t="s">
        <v>2278</v>
      </c>
      <c r="G269" s="3" t="s">
        <v>358</v>
      </c>
    </row>
    <row r="270" spans="1:7">
      <c r="A270" s="6">
        <v>42904</v>
      </c>
      <c r="B270" s="3" t="s">
        <v>2053</v>
      </c>
      <c r="C270" s="3" t="s">
        <v>14</v>
      </c>
      <c r="D270" s="8" t="str">
        <f>HYPERLINK("http://npthd.inbcu.com/ViewContent.aspx?filename=NPMR_CBS_2017-06-18_E.MP4$6429$6448","Salvation")</f>
        <v>Salvation</v>
      </c>
      <c r="E270" s="3" t="s">
        <v>670</v>
      </c>
      <c r="F270" s="3" t="s">
        <v>358</v>
      </c>
      <c r="G270" s="3" t="s">
        <v>2279</v>
      </c>
    </row>
    <row r="271" spans="1:7">
      <c r="A271" s="6">
        <v>42904</v>
      </c>
      <c r="B271" s="3" t="s">
        <v>2053</v>
      </c>
      <c r="C271" s="3" t="s">
        <v>32</v>
      </c>
      <c r="D271" s="8" t="str">
        <f>HYPERLINK("http://npthd.inbcu.com/ViewContent.aspx?filename=NPMR_CBS_2017-06-18_E.MP4$6448$6543","LOCAL")</f>
        <v>LOCAL</v>
      </c>
      <c r="E271" s="3" t="s">
        <v>2076</v>
      </c>
      <c r="F271" s="3" t="s">
        <v>2279</v>
      </c>
      <c r="G271" s="3" t="s">
        <v>2280</v>
      </c>
    </row>
    <row r="272" spans="1:7">
      <c r="A272" s="6">
        <v>42904</v>
      </c>
      <c r="B272" s="3" t="s">
        <v>2053</v>
      </c>
      <c r="C272" s="3" t="s">
        <v>18</v>
      </c>
      <c r="D272" s="8" t="str">
        <f>HYPERLINK("http://npthd.inbcu.com/ViewContent.aspx?filename=NPMR_CBS_2017-06-18_E.MP4$6543$7138","NCIS: LA: tidings we bring")</f>
        <v>NCIS: LA: tidings we bring</v>
      </c>
      <c r="E272" s="3" t="s">
        <v>2281</v>
      </c>
      <c r="F272" s="3" t="s">
        <v>2280</v>
      </c>
      <c r="G272" s="3" t="s">
        <v>2282</v>
      </c>
    </row>
    <row r="273" spans="1:7">
      <c r="A273" s="6">
        <v>42904</v>
      </c>
      <c r="B273" s="3" t="s">
        <v>2053</v>
      </c>
      <c r="C273" s="3" t="s">
        <v>21</v>
      </c>
      <c r="D273" s="8" t="str">
        <f>HYPERLINK("http://npthd.inbcu.com/ViewContent.aspx?filename=NPMR_CBS_2017-06-18_E.MP4$7138$7289","COMMERCIAL")</f>
        <v>COMMERCIAL</v>
      </c>
      <c r="E273" s="3" t="s">
        <v>91</v>
      </c>
      <c r="F273" s="3" t="s">
        <v>2282</v>
      </c>
      <c r="G273" s="3" t="s">
        <v>2195</v>
      </c>
    </row>
    <row r="274" spans="1:7">
      <c r="A274" s="6">
        <v>42904</v>
      </c>
      <c r="B274" s="3" t="s">
        <v>2053</v>
      </c>
      <c r="C274" s="3" t="s">
        <v>14</v>
      </c>
      <c r="D274" s="8" t="str">
        <f>HYPERLINK("http://npthd.inbcu.com/ViewContent.aspx?filename=NPMR_CBS_2017-06-18_E.MP4$7289$7311","Bull")</f>
        <v>Bull</v>
      </c>
      <c r="E274" s="3" t="s">
        <v>2124</v>
      </c>
      <c r="F274" s="3" t="s">
        <v>2195</v>
      </c>
      <c r="G274" s="3" t="s">
        <v>2196</v>
      </c>
    </row>
    <row r="275" spans="1:7">
      <c r="A275" s="6">
        <v>42904</v>
      </c>
      <c r="B275" s="3" t="s">
        <v>2053</v>
      </c>
      <c r="C275" s="3" t="s">
        <v>18</v>
      </c>
      <c r="D275" s="8" t="str">
        <f>HYPERLINK("http://npthd.inbcu.com/ViewContent.aspx?filename=NPMR_CBS_2017-06-18_E.MP4$7311$7315","NCIS: LA: tidings we bring")</f>
        <v>NCIS: LA: tidings we bring</v>
      </c>
      <c r="E275" s="3" t="s">
        <v>84</v>
      </c>
      <c r="F275" s="3" t="s">
        <v>2196</v>
      </c>
      <c r="G275" s="3" t="s">
        <v>2283</v>
      </c>
    </row>
    <row r="276" spans="1:7">
      <c r="A276" s="6">
        <v>42904</v>
      </c>
      <c r="B276" s="3" t="s">
        <v>2053</v>
      </c>
      <c r="C276" s="3" t="s">
        <v>14</v>
      </c>
      <c r="D276" s="8" t="str">
        <f>HYPERLINK("http://npthd.inbcu.com/ViewContent.aspx?filename=NPMR_CBS_2017-06-18_E.MP4$7315$7321","Zoo")</f>
        <v>Zoo</v>
      </c>
      <c r="E276" s="3" t="s">
        <v>15</v>
      </c>
      <c r="F276" s="3" t="s">
        <v>2283</v>
      </c>
      <c r="G276" s="3" t="s">
        <v>243</v>
      </c>
    </row>
    <row r="277" spans="1:7">
      <c r="A277" s="6">
        <v>42904</v>
      </c>
      <c r="B277" s="3" t="s">
        <v>2053</v>
      </c>
      <c r="C277" s="3" t="s">
        <v>18</v>
      </c>
      <c r="D277" s="8" t="str">
        <f>HYPERLINK("http://npthd.inbcu.com/ViewContent.aspx?filename=NPMR_CBS_2017-06-18_E.MP4$7321$8416","MADAM SECRETARY: south china sea")</f>
        <v>MADAM SECRETARY: south china sea</v>
      </c>
      <c r="E277" s="3" t="s">
        <v>2284</v>
      </c>
      <c r="F277" s="3" t="s">
        <v>243</v>
      </c>
      <c r="G277" s="3" t="s">
        <v>2285</v>
      </c>
    </row>
    <row r="278" spans="1:7">
      <c r="A278" s="6">
        <v>42904</v>
      </c>
      <c r="B278" s="3" t="s">
        <v>2053</v>
      </c>
      <c r="C278" s="3" t="s">
        <v>21</v>
      </c>
      <c r="D278" s="8" t="str">
        <f>HYPERLINK("http://npthd.inbcu.com/ViewContent.aspx?filename=NPMR_CBS_2017-06-18_E.MP4$8416$8567","COMMERCIAL")</f>
        <v>COMMERCIAL</v>
      </c>
      <c r="E278" s="3" t="s">
        <v>91</v>
      </c>
      <c r="F278" s="3" t="s">
        <v>2285</v>
      </c>
      <c r="G278" s="3" t="s">
        <v>2286</v>
      </c>
    </row>
    <row r="279" spans="1:7">
      <c r="A279" s="6">
        <v>42904</v>
      </c>
      <c r="B279" s="3" t="s">
        <v>2053</v>
      </c>
      <c r="C279" s="3" t="s">
        <v>14</v>
      </c>
      <c r="D279" s="8" t="str">
        <f>HYPERLINK("http://npthd.inbcu.com/ViewContent.aspx?filename=NPMR_CBS_2017-06-18_E.MP4$8567$8578","Talk, The")</f>
        <v>Talk, The</v>
      </c>
      <c r="E279" s="3" t="s">
        <v>1940</v>
      </c>
      <c r="F279" s="3" t="s">
        <v>2286</v>
      </c>
      <c r="G279" s="3" t="s">
        <v>2287</v>
      </c>
    </row>
    <row r="280" spans="1:7">
      <c r="A280" s="6">
        <v>42904</v>
      </c>
      <c r="B280" s="3" t="s">
        <v>2053</v>
      </c>
      <c r="C280" s="3" t="s">
        <v>14</v>
      </c>
      <c r="D280" s="8" t="str">
        <f>HYPERLINK("http://npthd.inbcu.com/ViewContent.aspx?filename=NPMR_CBS_2017-06-18_E.MP4$8578$8588","Late Show with Stephen Colbert")</f>
        <v>Late Show with Stephen Colbert</v>
      </c>
      <c r="E280" s="3" t="s">
        <v>197</v>
      </c>
      <c r="F280" s="3" t="s">
        <v>2287</v>
      </c>
      <c r="G280" s="3" t="s">
        <v>1722</v>
      </c>
    </row>
    <row r="281" spans="1:7">
      <c r="A281" s="6">
        <v>42904</v>
      </c>
      <c r="B281" s="3" t="s">
        <v>2053</v>
      </c>
      <c r="C281" s="3" t="s">
        <v>18</v>
      </c>
      <c r="D281" s="8" t="str">
        <f>HYPERLINK("http://npthd.inbcu.com/ViewContent.aspx?filename=NPMR_CBS_2017-06-18_E.MP4$8588$8996","MADAM SECRETARY: south china sea")</f>
        <v>MADAM SECRETARY: south china sea</v>
      </c>
      <c r="E281" s="3" t="s">
        <v>1696</v>
      </c>
      <c r="F281" s="3" t="s">
        <v>1722</v>
      </c>
      <c r="G281" s="3" t="s">
        <v>2288</v>
      </c>
    </row>
    <row r="282" spans="1:7">
      <c r="A282" s="6">
        <v>42904</v>
      </c>
      <c r="B282" s="3" t="s">
        <v>2053</v>
      </c>
      <c r="C282" s="3" t="s">
        <v>21</v>
      </c>
      <c r="D282" s="8" t="str">
        <f>HYPERLINK("http://npthd.inbcu.com/ViewContent.aspx?filename=NPMR_CBS_2017-06-18_E.MP4$8996$9177","COMMERCIAL")</f>
        <v>COMMERCIAL</v>
      </c>
      <c r="E282" s="3" t="s">
        <v>108</v>
      </c>
      <c r="F282" s="3" t="s">
        <v>2288</v>
      </c>
      <c r="G282" s="3" t="s">
        <v>1221</v>
      </c>
    </row>
    <row r="283" spans="1:7">
      <c r="A283" s="6">
        <v>42904</v>
      </c>
      <c r="B283" s="3" t="s">
        <v>2053</v>
      </c>
      <c r="C283" s="3" t="s">
        <v>14</v>
      </c>
      <c r="D283" s="8" t="str">
        <f>HYPERLINK("http://npthd.inbcu.com/ViewContent.aspx?filename=NPMR_CBS_2017-06-18_E.MP4$9177$9207","Salvation")</f>
        <v>Salvation</v>
      </c>
      <c r="E283" s="3" t="s">
        <v>38</v>
      </c>
      <c r="F283" s="3" t="s">
        <v>1221</v>
      </c>
      <c r="G283" s="3" t="s">
        <v>2289</v>
      </c>
    </row>
    <row r="284" spans="1:7">
      <c r="A284" s="6">
        <v>42904</v>
      </c>
      <c r="B284" s="3" t="s">
        <v>2053</v>
      </c>
      <c r="C284" s="3" t="s">
        <v>18</v>
      </c>
      <c r="D284" s="8" t="str">
        <f>HYPERLINK("http://npthd.inbcu.com/ViewContent.aspx?filename=NPMR_CBS_2017-06-18_E.MP4$9207$9697","MADAM SECRETARY: south china sea")</f>
        <v>MADAM SECRETARY: south china sea</v>
      </c>
      <c r="E284" s="3" t="s">
        <v>227</v>
      </c>
      <c r="F284" s="3" t="s">
        <v>2289</v>
      </c>
      <c r="G284" s="3" t="s">
        <v>2290</v>
      </c>
    </row>
    <row r="285" spans="1:7">
      <c r="A285" s="6">
        <v>42904</v>
      </c>
      <c r="B285" s="3" t="s">
        <v>2053</v>
      </c>
      <c r="C285" s="3" t="s">
        <v>21</v>
      </c>
      <c r="D285" s="8" t="str">
        <f>HYPERLINK("http://npthd.inbcu.com/ViewContent.aspx?filename=NPMR_CBS_2017-06-18_E.MP4$9697$9819","COMMERCIAL")</f>
        <v>COMMERCIAL</v>
      </c>
      <c r="E285" s="3" t="s">
        <v>252</v>
      </c>
      <c r="F285" s="3" t="s">
        <v>2290</v>
      </c>
      <c r="G285" s="3" t="s">
        <v>2291</v>
      </c>
    </row>
    <row r="286" spans="1:7">
      <c r="A286" s="6">
        <v>42904</v>
      </c>
      <c r="B286" s="3" t="s">
        <v>2053</v>
      </c>
      <c r="C286" s="3" t="s">
        <v>14</v>
      </c>
      <c r="D286" s="8" t="str">
        <f>HYPERLINK("http://npthd.inbcu.com/ViewContent.aspx?filename=NPMR_CBS_2017-06-18_E.MP4$9819$9840","Candy Crush")</f>
        <v>Candy Crush</v>
      </c>
      <c r="E286" s="3" t="s">
        <v>2067</v>
      </c>
      <c r="F286" s="3" t="s">
        <v>2291</v>
      </c>
      <c r="G286" s="3" t="s">
        <v>2292</v>
      </c>
    </row>
    <row r="287" spans="1:7">
      <c r="A287" s="6">
        <v>42904</v>
      </c>
      <c r="B287" s="3" t="s">
        <v>2053</v>
      </c>
      <c r="C287" s="3" t="s">
        <v>32</v>
      </c>
      <c r="D287" s="8" t="str">
        <f>HYPERLINK("http://npthd.inbcu.com/ViewContent.aspx?filename=NPMR_CBS_2017-06-18_E.MP4$9840$9935","LOCAL")</f>
        <v>LOCAL</v>
      </c>
      <c r="E287" s="3" t="s">
        <v>2076</v>
      </c>
      <c r="F287" s="3" t="s">
        <v>2292</v>
      </c>
      <c r="G287" s="3" t="s">
        <v>2293</v>
      </c>
    </row>
    <row r="288" spans="1:7">
      <c r="A288" s="6">
        <v>42904</v>
      </c>
      <c r="B288" s="3" t="s">
        <v>2053</v>
      </c>
      <c r="C288" s="3" t="s">
        <v>18</v>
      </c>
      <c r="D288" s="8" t="str">
        <f>HYPERLINK("http://npthd.inbcu.com/ViewContent.aspx?filename=NPMR_CBS_2017-06-18_E.MP4$9935$10156","MADAM SECRETARY: south china sea")</f>
        <v>MADAM SECRETARY: south china sea</v>
      </c>
      <c r="E288" s="3" t="s">
        <v>1938</v>
      </c>
      <c r="F288" s="3" t="s">
        <v>2293</v>
      </c>
      <c r="G288" s="3" t="s">
        <v>2294</v>
      </c>
    </row>
    <row r="289" spans="1:7">
      <c r="A289" s="6">
        <v>42904</v>
      </c>
      <c r="B289" s="3" t="s">
        <v>2053</v>
      </c>
      <c r="C289" s="3" t="s">
        <v>21</v>
      </c>
      <c r="D289" s="8" t="str">
        <f>HYPERLINK("http://npthd.inbcu.com/ViewContent.aspx?filename=NPMR_CBS_2017-06-18_E.MP4$10156$10278","COMMERCIAL")</f>
        <v>COMMERCIAL</v>
      </c>
      <c r="E289" s="3" t="s">
        <v>252</v>
      </c>
      <c r="F289" s="3" t="s">
        <v>2294</v>
      </c>
      <c r="G289" s="3" t="s">
        <v>2295</v>
      </c>
    </row>
    <row r="290" spans="1:7">
      <c r="A290" s="6">
        <v>42904</v>
      </c>
      <c r="B290" s="3" t="s">
        <v>2053</v>
      </c>
      <c r="C290" s="3" t="s">
        <v>14</v>
      </c>
      <c r="D290" s="8" t="str">
        <f>HYPERLINK("http://npthd.inbcu.com/ViewContent.aspx?filename=NPMR_CBS_2017-06-18_E.MP4$10278$10299","CBS All Access")</f>
        <v>CBS All Access</v>
      </c>
      <c r="E290" s="3" t="s">
        <v>2067</v>
      </c>
      <c r="F290" s="3" t="s">
        <v>2295</v>
      </c>
      <c r="G290" s="3" t="s">
        <v>2296</v>
      </c>
    </row>
    <row r="291" spans="1:7">
      <c r="A291" s="6">
        <v>42904</v>
      </c>
      <c r="B291" s="3" t="s">
        <v>2053</v>
      </c>
      <c r="C291" s="3" t="s">
        <v>14</v>
      </c>
      <c r="D291" s="8" t="str">
        <f>HYPERLINK("http://npthd.inbcu.com/ViewContent.aspx?filename=NPMR_CBS_2017-06-18_E.MP4$10299$10308","CBS This Morning")</f>
        <v>CBS This Morning</v>
      </c>
      <c r="E291" s="3" t="s">
        <v>2074</v>
      </c>
      <c r="F291" s="3" t="s">
        <v>2296</v>
      </c>
      <c r="G291" s="3" t="s">
        <v>2297</v>
      </c>
    </row>
    <row r="292" spans="1:7">
      <c r="A292" s="6">
        <v>42904</v>
      </c>
      <c r="B292" s="3" t="s">
        <v>2053</v>
      </c>
      <c r="C292" s="3" t="s">
        <v>32</v>
      </c>
      <c r="D292" s="8" t="str">
        <f>HYPERLINK("http://npthd.inbcu.com/ViewContent.aspx?filename=NPMR_CBS_2017-06-18_E.MP4$10308$10403","LOCAL")</f>
        <v>LOCAL</v>
      </c>
      <c r="E292" s="3" t="s">
        <v>2076</v>
      </c>
      <c r="F292" s="3" t="s">
        <v>2297</v>
      </c>
      <c r="G292" s="3" t="s">
        <v>2298</v>
      </c>
    </row>
    <row r="293" spans="1:7">
      <c r="A293" s="6">
        <v>42904</v>
      </c>
      <c r="B293" s="3" t="s">
        <v>2053</v>
      </c>
      <c r="C293" s="3" t="s">
        <v>18</v>
      </c>
      <c r="D293" s="8" t="str">
        <f>HYPERLINK("http://npthd.inbcu.com/ViewContent.aspx?filename=NPMR_CBS_2017-06-18_E.MP4$10403$10726","MADAM SECRETARY: south china sea")</f>
        <v>MADAM SECRETARY: south china sea</v>
      </c>
      <c r="E293" s="3" t="s">
        <v>544</v>
      </c>
      <c r="F293" s="3" t="s">
        <v>2298</v>
      </c>
      <c r="G293" s="3" t="s">
        <v>2161</v>
      </c>
    </row>
    <row r="294" spans="1:7">
      <c r="A294" s="6">
        <v>42904</v>
      </c>
      <c r="B294" s="3" t="s">
        <v>2053</v>
      </c>
      <c r="C294" s="3" t="s">
        <v>21</v>
      </c>
      <c r="D294" s="8" t="str">
        <f>HYPERLINK("http://npthd.inbcu.com/ViewContent.aspx?filename=NPMR_CBS_2017-06-18_E.MP4$10726$10878","COMMERCIAL")</f>
        <v>COMMERCIAL</v>
      </c>
      <c r="E294" s="3" t="s">
        <v>128</v>
      </c>
      <c r="F294" s="3" t="s">
        <v>2161</v>
      </c>
      <c r="G294" s="3" t="s">
        <v>1234</v>
      </c>
    </row>
    <row r="295" spans="1:7">
      <c r="A295" s="6">
        <v>42904</v>
      </c>
      <c r="B295" s="3" t="s">
        <v>2053</v>
      </c>
      <c r="C295" s="3" t="s">
        <v>14</v>
      </c>
      <c r="D295" s="8" t="str">
        <f>HYPERLINK("http://npthd.inbcu.com/ViewContent.aspx?filename=NPMR_CBS_2017-06-18_E.MP4$10878$10889","Zoo")</f>
        <v>Zoo</v>
      </c>
      <c r="E295" s="3" t="s">
        <v>1940</v>
      </c>
      <c r="F295" s="3" t="s">
        <v>1234</v>
      </c>
      <c r="G295" s="3" t="s">
        <v>2299</v>
      </c>
    </row>
    <row r="296" spans="1:7">
      <c r="A296" s="6">
        <v>42904</v>
      </c>
      <c r="B296" s="3" t="s">
        <v>2053</v>
      </c>
      <c r="C296" s="3" t="s">
        <v>14</v>
      </c>
      <c r="D296" s="8" t="str">
        <f>HYPERLINK("http://npthd.inbcu.com/ViewContent.aspx?filename=NPMR_CBS_2017-06-18_E.MP4$10889$10911","Kevin Can Wait")</f>
        <v>Kevin Can Wait</v>
      </c>
      <c r="E296" s="3" t="s">
        <v>2124</v>
      </c>
      <c r="F296" s="3" t="s">
        <v>2299</v>
      </c>
      <c r="G296" s="3" t="s">
        <v>750</v>
      </c>
    </row>
    <row r="297" spans="1:7">
      <c r="A297" s="6">
        <v>42904</v>
      </c>
      <c r="B297" s="3" t="s">
        <v>2053</v>
      </c>
      <c r="C297" s="3" t="s">
        <v>18</v>
      </c>
      <c r="D297" s="8" t="str">
        <f>HYPERLINK("http://npthd.inbcu.com/ViewContent.aspx?filename=NPMR_CBS_2017-06-18_E.MP4$10911$10915","MADAM SECRETARY: south china sea")</f>
        <v>MADAM SECRETARY: south china sea</v>
      </c>
      <c r="E297" s="3" t="s">
        <v>84</v>
      </c>
      <c r="F297" s="3" t="s">
        <v>750</v>
      </c>
      <c r="G297" s="3" t="s">
        <v>1008</v>
      </c>
    </row>
    <row r="298" spans="1:7">
      <c r="A298" s="6">
        <v>42904</v>
      </c>
      <c r="B298" s="3" t="s">
        <v>2053</v>
      </c>
      <c r="C298" s="3" t="s">
        <v>14</v>
      </c>
      <c r="D298" s="8" t="str">
        <f>HYPERLINK("http://npthd.inbcu.com/ViewContent.aspx?filename=NPMR_CBS_2017-06-18_E.MP4$10915$10920","Late Show with Stephen Colbert")</f>
        <v>Late Show with Stephen Colbert</v>
      </c>
      <c r="E298" s="3" t="s">
        <v>54</v>
      </c>
      <c r="F298" s="3" t="s">
        <v>1008</v>
      </c>
      <c r="G298" s="3" t="s">
        <v>1009</v>
      </c>
    </row>
    <row r="299" spans="1:7">
      <c r="A299" s="6">
        <v>42904</v>
      </c>
      <c r="B299" s="3" t="s">
        <v>2053</v>
      </c>
      <c r="C299" s="3" t="s">
        <v>18</v>
      </c>
      <c r="D299" s="8" t="str">
        <f>HYPERLINK("http://npthd.inbcu.com/ViewContent.aspx?filename=NPMR_CBS_2017-06-18_E.MP4$10920$11277","NCIS: LA: kulinda")</f>
        <v>NCIS: LA: kulinda</v>
      </c>
      <c r="E299" s="3" t="s">
        <v>323</v>
      </c>
      <c r="F299" s="3" t="s">
        <v>1009</v>
      </c>
      <c r="G299" s="3" t="s">
        <v>2300</v>
      </c>
    </row>
    <row r="300" spans="1:7">
      <c r="A300" s="6">
        <v>42904</v>
      </c>
      <c r="B300" s="3" t="s">
        <v>2053</v>
      </c>
      <c r="C300" s="3" t="s">
        <v>21</v>
      </c>
      <c r="D300" s="8" t="str">
        <f>HYPERLINK("http://npthd.inbcu.com/ViewContent.aspx?filename=NPMR_CBS_2017-06-18_E.MP4$11277$11429","COMMERCIAL")</f>
        <v>COMMERCIAL</v>
      </c>
      <c r="E300" s="3" t="s">
        <v>128</v>
      </c>
      <c r="F300" s="3" t="s">
        <v>2300</v>
      </c>
      <c r="G300" s="3" t="s">
        <v>2301</v>
      </c>
    </row>
    <row r="301" spans="1:7">
      <c r="A301" s="6">
        <v>42904</v>
      </c>
      <c r="B301" s="3" t="s">
        <v>2053</v>
      </c>
      <c r="C301" s="3" t="s">
        <v>14</v>
      </c>
      <c r="D301" s="8" t="str">
        <f>HYPERLINK("http://npthd.inbcu.com/ViewContent.aspx?filename=NPMR_CBS_2017-06-18_E.MP4$11429$11449","Salvation")</f>
        <v>Salvation</v>
      </c>
      <c r="E301" s="3" t="s">
        <v>1805</v>
      </c>
      <c r="F301" s="3" t="s">
        <v>2301</v>
      </c>
      <c r="G301" s="3" t="s">
        <v>2302</v>
      </c>
    </row>
    <row r="302" spans="1:7">
      <c r="A302" s="6">
        <v>42904</v>
      </c>
      <c r="B302" s="3" t="s">
        <v>2053</v>
      </c>
      <c r="C302" s="3" t="s">
        <v>18</v>
      </c>
      <c r="D302" s="8" t="str">
        <f>HYPERLINK("http://npthd.inbcu.com/ViewContent.aspx?filename=NPMR_CBS_2017-06-18_E.MP4$11449$12251","NCIS: LA: kulinda")</f>
        <v>NCIS: LA: kulinda</v>
      </c>
      <c r="E302" s="3" t="s">
        <v>2303</v>
      </c>
      <c r="F302" s="3" t="s">
        <v>2302</v>
      </c>
      <c r="G302" s="3" t="s">
        <v>2304</v>
      </c>
    </row>
    <row r="303" spans="1:7">
      <c r="A303" s="6">
        <v>42904</v>
      </c>
      <c r="B303" s="3" t="s">
        <v>2053</v>
      </c>
      <c r="C303" s="3" t="s">
        <v>21</v>
      </c>
      <c r="D303" s="8" t="str">
        <f>HYPERLINK("http://npthd.inbcu.com/ViewContent.aspx?filename=NPMR_CBS_2017-06-18_E.MP4$12251$12403","COMMERCIAL")</f>
        <v>COMMERCIAL</v>
      </c>
      <c r="E303" s="3" t="s">
        <v>128</v>
      </c>
      <c r="F303" s="3" t="s">
        <v>2304</v>
      </c>
      <c r="G303" s="3" t="s">
        <v>2305</v>
      </c>
    </row>
    <row r="304" spans="1:7">
      <c r="A304" s="6">
        <v>42904</v>
      </c>
      <c r="B304" s="3" t="s">
        <v>2053</v>
      </c>
      <c r="C304" s="3" t="s">
        <v>14</v>
      </c>
      <c r="D304" s="8" t="str">
        <f>HYPERLINK("http://npthd.inbcu.com/ViewContent.aspx?filename=NPMR_CBS_2017-06-18_E.MP4$12403$12423","Big Brother")</f>
        <v>Big Brother</v>
      </c>
      <c r="E304" s="3" t="s">
        <v>1805</v>
      </c>
      <c r="F304" s="3" t="s">
        <v>2305</v>
      </c>
      <c r="G304" s="3" t="s">
        <v>1520</v>
      </c>
    </row>
    <row r="305" spans="1:7">
      <c r="A305" s="6">
        <v>42904</v>
      </c>
      <c r="B305" s="3" t="s">
        <v>2053</v>
      </c>
      <c r="C305" s="3" t="s">
        <v>18</v>
      </c>
      <c r="D305" s="8" t="str">
        <f>HYPERLINK("http://npthd.inbcu.com/ViewContent.aspx?filename=NPMR_CBS_2017-06-18_E.MP4$12423$12802","NCIS: LA: kulinda")</f>
        <v>NCIS: LA: kulinda</v>
      </c>
      <c r="E305" s="3" t="s">
        <v>1174</v>
      </c>
      <c r="F305" s="3" t="s">
        <v>1520</v>
      </c>
      <c r="G305" s="3" t="s">
        <v>2306</v>
      </c>
    </row>
    <row r="306" spans="1:7">
      <c r="A306" s="6">
        <v>42904</v>
      </c>
      <c r="B306" s="3" t="s">
        <v>2053</v>
      </c>
      <c r="C306" s="3" t="s">
        <v>21</v>
      </c>
      <c r="D306" s="8" t="str">
        <f>HYPERLINK("http://npthd.inbcu.com/ViewContent.aspx?filename=NPMR_CBS_2017-06-18_E.MP4$12802$12955","COMMERCIAL")</f>
        <v>COMMERCIAL</v>
      </c>
      <c r="E306" s="3" t="s">
        <v>1735</v>
      </c>
      <c r="F306" s="3" t="s">
        <v>2306</v>
      </c>
      <c r="G306" s="3" t="s">
        <v>1094</v>
      </c>
    </row>
    <row r="307" spans="1:7">
      <c r="A307" s="6">
        <v>42904</v>
      </c>
      <c r="B307" s="3" t="s">
        <v>2053</v>
      </c>
      <c r="C307" s="3" t="s">
        <v>14</v>
      </c>
      <c r="D307" s="8" t="str">
        <f>HYPERLINK("http://npthd.inbcu.com/ViewContent.aspx?filename=NPMR_CBS_2017-06-18_E.MP4$12955$12964","Bull")</f>
        <v>Bull</v>
      </c>
      <c r="E307" s="3" t="s">
        <v>2074</v>
      </c>
      <c r="F307" s="3" t="s">
        <v>1094</v>
      </c>
      <c r="G307" s="3" t="s">
        <v>687</v>
      </c>
    </row>
    <row r="308" spans="1:7">
      <c r="A308" s="6">
        <v>42904</v>
      </c>
      <c r="B308" s="3" t="s">
        <v>2053</v>
      </c>
      <c r="C308" s="3" t="s">
        <v>14</v>
      </c>
      <c r="D308" s="8" t="str">
        <f>HYPERLINK("http://npthd.inbcu.com/ViewContent.aspx?filename=NPMR_CBS_2017-06-18_E.MP4$12964$12974","Candy Crush")</f>
        <v>Candy Crush</v>
      </c>
      <c r="E308" s="3" t="s">
        <v>197</v>
      </c>
      <c r="F308" s="3" t="s">
        <v>687</v>
      </c>
      <c r="G308" s="3" t="s">
        <v>837</v>
      </c>
    </row>
    <row r="309" spans="1:7">
      <c r="A309" s="6">
        <v>42904</v>
      </c>
      <c r="B309" s="3" t="s">
        <v>2053</v>
      </c>
      <c r="C309" s="3" t="s">
        <v>32</v>
      </c>
      <c r="D309" s="8" t="str">
        <f>HYPERLINK("http://npthd.inbcu.com/ViewContent.aspx?filename=NPMR_CBS_2017-06-18_E.MP4$12974$13084","LOCAL")</f>
        <v>LOCAL</v>
      </c>
      <c r="E309" s="3" t="s">
        <v>558</v>
      </c>
      <c r="F309" s="3" t="s">
        <v>837</v>
      </c>
      <c r="G309" s="3" t="s">
        <v>2307</v>
      </c>
    </row>
    <row r="310" spans="1:7">
      <c r="A310" s="6">
        <v>42904</v>
      </c>
      <c r="B310" s="3" t="s">
        <v>2053</v>
      </c>
      <c r="C310" s="3" t="s">
        <v>18</v>
      </c>
      <c r="D310" s="8" t="str">
        <f>HYPERLINK("http://npthd.inbcu.com/ViewContent.aspx?filename=NPMR_CBS_2017-06-18_E.MP4$13084$13560","NCIS: LA: kulinda")</f>
        <v>NCIS: LA: kulinda</v>
      </c>
      <c r="E310" s="3" t="s">
        <v>2308</v>
      </c>
      <c r="F310" s="3" t="s">
        <v>2307</v>
      </c>
      <c r="G310" s="3" t="s">
        <v>2309</v>
      </c>
    </row>
    <row r="311" spans="1:7">
      <c r="A311" s="6">
        <v>42904</v>
      </c>
      <c r="B311" s="3" t="s">
        <v>2053</v>
      </c>
      <c r="C311" s="3" t="s">
        <v>21</v>
      </c>
      <c r="D311" s="8" t="str">
        <f>HYPERLINK("http://npthd.inbcu.com/ViewContent.aspx?filename=NPMR_CBS_2017-06-18_E.MP4$13560$13743","COMMERCIAL")</f>
        <v>COMMERCIAL</v>
      </c>
      <c r="E311" s="3" t="s">
        <v>154</v>
      </c>
      <c r="F311" s="3" t="s">
        <v>2309</v>
      </c>
      <c r="G311" s="3" t="s">
        <v>2310</v>
      </c>
    </row>
    <row r="312" spans="1:7">
      <c r="A312" s="6">
        <v>42904</v>
      </c>
      <c r="B312" s="3" t="s">
        <v>2053</v>
      </c>
      <c r="C312" s="3" t="s">
        <v>14</v>
      </c>
      <c r="D312" s="8" t="str">
        <f>HYPERLINK("http://npthd.inbcu.com/ViewContent.aspx?filename=NPMR_CBS_2017-06-18_E.MP4$13743$13763","Zoo")</f>
        <v>Zoo</v>
      </c>
      <c r="E312" s="3" t="s">
        <v>1805</v>
      </c>
      <c r="F312" s="3" t="s">
        <v>2310</v>
      </c>
      <c r="G312" s="3" t="s">
        <v>2311</v>
      </c>
    </row>
    <row r="313" spans="1:7">
      <c r="A313" s="6">
        <v>42904</v>
      </c>
      <c r="B313" s="3" t="s">
        <v>2053</v>
      </c>
      <c r="C313" s="3" t="s">
        <v>32</v>
      </c>
      <c r="D313" s="8" t="str">
        <f>HYPERLINK("http://npthd.inbcu.com/ViewContent.aspx?filename=NPMR_CBS_2017-06-18_E.MP4$13763$13858","LOCAL")</f>
        <v>LOCAL</v>
      </c>
      <c r="E313" s="3" t="s">
        <v>2076</v>
      </c>
      <c r="F313" s="3" t="s">
        <v>2311</v>
      </c>
      <c r="G313" s="3" t="s">
        <v>2312</v>
      </c>
    </row>
    <row r="314" spans="1:7">
      <c r="A314" s="6">
        <v>42904</v>
      </c>
      <c r="B314" s="3" t="s">
        <v>2053</v>
      </c>
      <c r="C314" s="3" t="s">
        <v>18</v>
      </c>
      <c r="D314" s="8" t="str">
        <f>HYPERLINK("http://npthd.inbcu.com/ViewContent.aspx?filename=NPMR_CBS_2017-06-18_E.MP4$13858$14398","NCIS: LA: kulinda")</f>
        <v>NCIS: LA: kulinda</v>
      </c>
      <c r="E314" s="3" t="s">
        <v>742</v>
      </c>
      <c r="F314" s="3" t="s">
        <v>2312</v>
      </c>
      <c r="G314" s="3" t="s">
        <v>2313</v>
      </c>
    </row>
    <row r="315" spans="1:7">
      <c r="A315" s="6">
        <v>42904</v>
      </c>
      <c r="B315" s="3" t="s">
        <v>2053</v>
      </c>
      <c r="C315" s="3" t="s">
        <v>32</v>
      </c>
      <c r="D315" s="8" t="str">
        <f>HYPERLINK("http://npthd.inbcu.com/ViewContent.aspx?filename=NPMR_CBS_2017-06-18_E.MP4$14398$14409","LOCAL")</f>
        <v>LOCAL</v>
      </c>
      <c r="E315" s="3" t="s">
        <v>1940</v>
      </c>
      <c r="F315" s="3" t="s">
        <v>2313</v>
      </c>
      <c r="G315" s="3" t="s">
        <v>2314</v>
      </c>
    </row>
    <row r="316" spans="1:7">
      <c r="A316" s="6">
        <v>42904</v>
      </c>
      <c r="B316" s="3" t="s">
        <v>2053</v>
      </c>
      <c r="C316" s="3" t="s">
        <v>21</v>
      </c>
      <c r="D316" s="8" t="str">
        <f>HYPERLINK("http://npthd.inbcu.com/ViewContent.aspx?filename=NPMR_CBS_2017-06-18_E.MP4$14409$14471","COMMERCIAL")</f>
        <v>COMMERCIAL</v>
      </c>
      <c r="E316" s="3" t="s">
        <v>257</v>
      </c>
      <c r="F316" s="3" t="s">
        <v>2314</v>
      </c>
      <c r="G316" s="3" t="s">
        <v>310</v>
      </c>
    </row>
    <row r="317" spans="1:7">
      <c r="A317" s="6">
        <v>42904</v>
      </c>
      <c r="B317" s="3" t="s">
        <v>2053</v>
      </c>
      <c r="C317" s="3" t="s">
        <v>14</v>
      </c>
      <c r="D317" s="8" t="str">
        <f>HYPERLINK("http://npthd.inbcu.com/ViewContent.aspx?filename=NPMR_CBS_2017-06-18_E.MP4$14471$14477","Late Show with Stephen Colbert")</f>
        <v>Late Show with Stephen Colbert</v>
      </c>
      <c r="E317" s="3" t="s">
        <v>15</v>
      </c>
      <c r="F317" s="3" t="s">
        <v>310</v>
      </c>
      <c r="G317" s="3" t="s">
        <v>2315</v>
      </c>
    </row>
    <row r="318" spans="1:7">
      <c r="A318" s="6">
        <v>42904</v>
      </c>
      <c r="B318" s="3" t="s">
        <v>2053</v>
      </c>
      <c r="C318" s="3" t="s">
        <v>14</v>
      </c>
      <c r="D318" s="8" t="str">
        <f>HYPERLINK("http://npthd.inbcu.com/ViewContent.aspx?filename=NPMR_CBS_2017-06-18_E.MP4$14477$14499","Bull")</f>
        <v>Bull</v>
      </c>
      <c r="E318" s="3" t="s">
        <v>2124</v>
      </c>
      <c r="F318" s="3" t="s">
        <v>2315</v>
      </c>
      <c r="G318" s="3" t="s">
        <v>2316</v>
      </c>
    </row>
    <row r="319" spans="1:7">
      <c r="A319" s="6">
        <v>42904</v>
      </c>
      <c r="B319" s="3" t="s">
        <v>2053</v>
      </c>
      <c r="C319" s="3" t="s">
        <v>18</v>
      </c>
      <c r="D319" s="8" t="str">
        <f>HYPERLINK("http://npthd.inbcu.com/ViewContent.aspx?filename=NPMR_CBS_2017-06-18_E.MP4$14499$14504","NCIS: LA: kulinda")</f>
        <v>NCIS: LA: kulinda</v>
      </c>
      <c r="E319" s="3" t="s">
        <v>54</v>
      </c>
      <c r="F319" s="3" t="s">
        <v>2316</v>
      </c>
      <c r="G319" s="3" t="s">
        <v>2317</v>
      </c>
    </row>
    <row r="320" spans="1:7">
      <c r="A320" s="6">
        <v>42904</v>
      </c>
      <c r="B320" s="3" t="s">
        <v>2053</v>
      </c>
      <c r="C320" s="3" t="s">
        <v>32</v>
      </c>
      <c r="D320" s="8" t="str">
        <f>HYPERLINK("http://npthd.inbcu.com/ViewContent.aspx?filename=NPMR_CBS_2017-06-18_E.MP4$14504$14516","LOCAL")</f>
        <v>LOCAL</v>
      </c>
      <c r="E320" s="3" t="s">
        <v>2057</v>
      </c>
      <c r="F320" s="3" t="s">
        <v>2317</v>
      </c>
      <c r="G320" s="3" t="s">
        <v>124</v>
      </c>
    </row>
    <row r="321" spans="1:7">
      <c r="A321" s="6">
        <v>42905</v>
      </c>
      <c r="B321" s="3" t="s">
        <v>2053</v>
      </c>
      <c r="C321" s="3" t="s">
        <v>18</v>
      </c>
      <c r="D321" s="8" t="str">
        <f>HYPERLINK("http://npthd.inbcu.com/ViewContent.aspx?filename=NPMR_CBS_2017-06-19_E.MP4$106$495","KEVIN CAN WAIT: kevin and donnas book club")</f>
        <v>KEVIN CAN WAIT: kevin and donnas book club</v>
      </c>
      <c r="E321" s="3" t="s">
        <v>867</v>
      </c>
      <c r="F321" s="3" t="s">
        <v>16</v>
      </c>
      <c r="G321" s="3" t="s">
        <v>2318</v>
      </c>
    </row>
    <row r="322" spans="1:7">
      <c r="A322" s="6">
        <v>42905</v>
      </c>
      <c r="B322" s="3" t="s">
        <v>2053</v>
      </c>
      <c r="C322" s="3" t="s">
        <v>21</v>
      </c>
      <c r="D322" s="8" t="str">
        <f>HYPERLINK("http://npthd.inbcu.com/ViewContent.aspx?filename=NPMR_CBS_2017-06-19_E.MP4$495$617","COMMERCIAL")</f>
        <v>COMMERCIAL</v>
      </c>
      <c r="E322" s="3" t="s">
        <v>252</v>
      </c>
      <c r="F322" s="3" t="s">
        <v>2318</v>
      </c>
      <c r="G322" s="3" t="s">
        <v>2319</v>
      </c>
    </row>
    <row r="323" spans="1:7">
      <c r="A323" s="6">
        <v>42905</v>
      </c>
      <c r="B323" s="3" t="s">
        <v>2053</v>
      </c>
      <c r="C323" s="3" t="s">
        <v>14</v>
      </c>
      <c r="D323" s="8" t="str">
        <f>HYPERLINK("http://npthd.inbcu.com/ViewContent.aspx?filename=NPMR_CBS_2017-06-19_E.MP4$617$632","Big Brother")</f>
        <v>Big Brother</v>
      </c>
      <c r="E323" s="3" t="s">
        <v>30</v>
      </c>
      <c r="F323" s="3" t="s">
        <v>2319</v>
      </c>
      <c r="G323" s="3" t="s">
        <v>2320</v>
      </c>
    </row>
    <row r="324" spans="1:7">
      <c r="A324" s="6">
        <v>42905</v>
      </c>
      <c r="B324" s="3" t="s">
        <v>2053</v>
      </c>
      <c r="C324" s="3" t="s">
        <v>14</v>
      </c>
      <c r="D324" s="8" t="str">
        <f>HYPERLINK("http://npthd.inbcu.com/ViewContent.aspx?filename=NPMR_CBS_2017-06-19_E.MP4$632$647","CBS All Access")</f>
        <v>CBS All Access</v>
      </c>
      <c r="E324" s="3" t="s">
        <v>30</v>
      </c>
      <c r="F324" s="3" t="s">
        <v>2320</v>
      </c>
      <c r="G324" s="3" t="s">
        <v>2321</v>
      </c>
    </row>
    <row r="325" spans="1:7">
      <c r="A325" s="6">
        <v>42905</v>
      </c>
      <c r="B325" s="3" t="s">
        <v>2053</v>
      </c>
      <c r="C325" s="3" t="s">
        <v>18</v>
      </c>
      <c r="D325" s="8" t="str">
        <f>HYPERLINK("http://npthd.inbcu.com/ViewContent.aspx?filename=NPMR_CBS_2017-06-19_E.MP4$647$971","KEVIN CAN WAIT: kevin and donnas book club")</f>
        <v>KEVIN CAN WAIT: kevin and donnas book club</v>
      </c>
      <c r="E325" s="3" t="s">
        <v>2322</v>
      </c>
      <c r="F325" s="3" t="s">
        <v>2321</v>
      </c>
      <c r="G325" s="3" t="s">
        <v>2323</v>
      </c>
    </row>
    <row r="326" spans="1:7">
      <c r="A326" s="6">
        <v>42905</v>
      </c>
      <c r="B326" s="3" t="s">
        <v>2053</v>
      </c>
      <c r="C326" s="3" t="s">
        <v>21</v>
      </c>
      <c r="D326" s="8" t="str">
        <f>HYPERLINK("http://npthd.inbcu.com/ViewContent.aspx?filename=NPMR_CBS_2017-06-19_E.MP4$971$1123","COMMERCIAL")</f>
        <v>COMMERCIAL</v>
      </c>
      <c r="E326" s="3" t="s">
        <v>128</v>
      </c>
      <c r="F326" s="3" t="s">
        <v>2323</v>
      </c>
      <c r="G326" s="3" t="s">
        <v>2324</v>
      </c>
    </row>
    <row r="327" spans="1:7">
      <c r="A327" s="6">
        <v>42905</v>
      </c>
      <c r="B327" s="3" t="s">
        <v>2053</v>
      </c>
      <c r="C327" s="3" t="s">
        <v>1618</v>
      </c>
      <c r="D327" s="8" t="str">
        <f>HYPERLINK("http://npthd.inbcu.com/ViewContent.aspx?filename=NPMR_CBS_2017-06-19_E.MP4$1123$1133","PSA")</f>
        <v>PSA</v>
      </c>
      <c r="E327" s="3" t="s">
        <v>197</v>
      </c>
      <c r="F327" s="3" t="s">
        <v>2324</v>
      </c>
      <c r="G327" s="3" t="s">
        <v>2325</v>
      </c>
    </row>
    <row r="328" spans="1:7">
      <c r="A328" s="6">
        <v>42905</v>
      </c>
      <c r="B328" s="3" t="s">
        <v>2053</v>
      </c>
      <c r="C328" s="3" t="s">
        <v>14</v>
      </c>
      <c r="D328" s="8" t="str">
        <f>HYPERLINK("http://npthd.inbcu.com/ViewContent.aspx?filename=NPMR_CBS_2017-06-19_E.MP4$1133$1144","Bull")</f>
        <v>Bull</v>
      </c>
      <c r="E328" s="3" t="s">
        <v>1940</v>
      </c>
      <c r="F328" s="3" t="s">
        <v>2325</v>
      </c>
      <c r="G328" s="3" t="s">
        <v>2326</v>
      </c>
    </row>
    <row r="329" spans="1:7">
      <c r="A329" s="6">
        <v>42905</v>
      </c>
      <c r="B329" s="3" t="s">
        <v>2053</v>
      </c>
      <c r="C329" s="3" t="s">
        <v>32</v>
      </c>
      <c r="D329" s="8" t="str">
        <f>HYPERLINK("http://npthd.inbcu.com/ViewContent.aspx?filename=NPMR_CBS_2017-06-19_E.MP4$1144$1209","LOCAL")</f>
        <v>LOCAL</v>
      </c>
      <c r="E329" s="3" t="s">
        <v>580</v>
      </c>
      <c r="F329" s="3" t="s">
        <v>2326</v>
      </c>
      <c r="G329" s="3" t="s">
        <v>2327</v>
      </c>
    </row>
    <row r="330" spans="1:7">
      <c r="A330" s="6">
        <v>42905</v>
      </c>
      <c r="B330" s="3" t="s">
        <v>2053</v>
      </c>
      <c r="C330" s="3" t="s">
        <v>18</v>
      </c>
      <c r="D330" s="8" t="str">
        <f>HYPERLINK("http://npthd.inbcu.com/ViewContent.aspx?filename=NPMR_CBS_2017-06-19_E.MP4$1209$1657","KEVIN CAN WAIT: kevin and donnas book club")</f>
        <v>KEVIN CAN WAIT: kevin and donnas book club</v>
      </c>
      <c r="E330" s="3" t="s">
        <v>163</v>
      </c>
      <c r="F330" s="3" t="s">
        <v>2327</v>
      </c>
      <c r="G330" s="3" t="s">
        <v>2328</v>
      </c>
    </row>
    <row r="331" spans="1:7">
      <c r="A331" s="6">
        <v>42905</v>
      </c>
      <c r="B331" s="3" t="s">
        <v>2053</v>
      </c>
      <c r="C331" s="3" t="s">
        <v>21</v>
      </c>
      <c r="D331" s="8" t="str">
        <f>HYPERLINK("http://npthd.inbcu.com/ViewContent.aspx?filename=NPMR_CBS_2017-06-19_E.MP4$1657$1809","COMMERCIAL")</f>
        <v>COMMERCIAL</v>
      </c>
      <c r="E331" s="3" t="s">
        <v>128</v>
      </c>
      <c r="F331" s="3" t="s">
        <v>2328</v>
      </c>
      <c r="G331" s="3" t="s">
        <v>2329</v>
      </c>
    </row>
    <row r="332" spans="1:7">
      <c r="A332" s="6">
        <v>42905</v>
      </c>
      <c r="B332" s="3" t="s">
        <v>2053</v>
      </c>
      <c r="C332" s="3" t="s">
        <v>14</v>
      </c>
      <c r="D332" s="8" t="str">
        <f>HYPERLINK("http://npthd.inbcu.com/ViewContent.aspx?filename=NPMR_CBS_2017-06-19_E.MP4$1809$1819","CBS This Morning")</f>
        <v>CBS This Morning</v>
      </c>
      <c r="E332" s="3" t="s">
        <v>197</v>
      </c>
      <c r="F332" s="3" t="s">
        <v>2329</v>
      </c>
      <c r="G332" s="3" t="s">
        <v>2330</v>
      </c>
    </row>
    <row r="333" spans="1:7">
      <c r="A333" s="6">
        <v>42905</v>
      </c>
      <c r="B333" s="3" t="s">
        <v>2053</v>
      </c>
      <c r="C333" s="3" t="s">
        <v>18</v>
      </c>
      <c r="D333" s="8" t="str">
        <f>HYPERLINK("http://npthd.inbcu.com/ViewContent.aspx?filename=NPMR_CBS_2017-06-19_E.MP4$1819$1881","KEVIN CAN WAIT: kevin and donnas book club")</f>
        <v>KEVIN CAN WAIT: kevin and donnas book club</v>
      </c>
      <c r="E333" s="3" t="s">
        <v>257</v>
      </c>
      <c r="F333" s="3" t="s">
        <v>2330</v>
      </c>
      <c r="G333" s="3" t="s">
        <v>2138</v>
      </c>
    </row>
    <row r="334" spans="1:7">
      <c r="A334" s="6">
        <v>42905</v>
      </c>
      <c r="B334" s="3" t="s">
        <v>2053</v>
      </c>
      <c r="C334" s="3" t="s">
        <v>14</v>
      </c>
      <c r="D334" s="8" t="str">
        <f>HYPERLINK("http://npthd.inbcu.com/ViewContent.aspx?filename=NPMR_CBS_2017-06-19_E.MP4$1881$1901","Big Bang Theory")</f>
        <v>Big Bang Theory</v>
      </c>
      <c r="E334" s="3" t="s">
        <v>1805</v>
      </c>
      <c r="F334" s="3" t="s">
        <v>2138</v>
      </c>
      <c r="G334" s="3" t="s">
        <v>2331</v>
      </c>
    </row>
    <row r="335" spans="1:7">
      <c r="A335" s="6">
        <v>42905</v>
      </c>
      <c r="B335" s="3" t="s">
        <v>2053</v>
      </c>
      <c r="C335" s="3" t="s">
        <v>18</v>
      </c>
      <c r="D335" s="8" t="str">
        <f>HYPERLINK("http://npthd.inbcu.com/ViewContent.aspx?filename=NPMR_CBS_2017-06-19_E.MP4$1901$1906","KEVIN CAN WAIT: kevin and donnas book club")</f>
        <v>KEVIN CAN WAIT: kevin and donnas book club</v>
      </c>
      <c r="E335" s="3" t="s">
        <v>54</v>
      </c>
      <c r="F335" s="3" t="s">
        <v>2331</v>
      </c>
      <c r="G335" s="3" t="s">
        <v>513</v>
      </c>
    </row>
    <row r="336" spans="1:7">
      <c r="A336" s="6">
        <v>42905</v>
      </c>
      <c r="B336" s="3" t="s">
        <v>2053</v>
      </c>
      <c r="C336" s="3" t="s">
        <v>14</v>
      </c>
      <c r="D336" s="8" t="str">
        <f>HYPERLINK("http://npthd.inbcu.com/ViewContent.aspx?filename=NPMR_CBS_2017-06-19_E.MP4$1906$1911","Big Brother")</f>
        <v>Big Brother</v>
      </c>
      <c r="E336" s="3" t="s">
        <v>54</v>
      </c>
      <c r="F336" s="3" t="s">
        <v>513</v>
      </c>
      <c r="G336" s="3" t="s">
        <v>620</v>
      </c>
    </row>
    <row r="337" spans="1:7">
      <c r="A337" s="6">
        <v>42905</v>
      </c>
      <c r="B337" s="3" t="s">
        <v>2053</v>
      </c>
      <c r="C337" s="3" t="s">
        <v>18</v>
      </c>
      <c r="D337" s="8" t="str">
        <f>HYPERLINK("http://npthd.inbcu.com/ViewContent.aspx?filename=NPMR_CBS_2017-06-19_E.MP4$1911$2209","MAN WITH A PLAN: what about bob?")</f>
        <v>MAN WITH A PLAN: what about bob?</v>
      </c>
      <c r="E337" s="3" t="s">
        <v>1207</v>
      </c>
      <c r="F337" s="3" t="s">
        <v>620</v>
      </c>
      <c r="G337" s="3" t="s">
        <v>2332</v>
      </c>
    </row>
    <row r="338" spans="1:7">
      <c r="A338" s="6">
        <v>42905</v>
      </c>
      <c r="B338" s="3" t="s">
        <v>2053</v>
      </c>
      <c r="C338" s="3" t="s">
        <v>21</v>
      </c>
      <c r="D338" s="8" t="str">
        <f>HYPERLINK("http://npthd.inbcu.com/ViewContent.aspx?filename=NPMR_CBS_2017-06-19_E.MP4$2209$2361","COMMERCIAL")</f>
        <v>COMMERCIAL</v>
      </c>
      <c r="E338" s="3" t="s">
        <v>128</v>
      </c>
      <c r="F338" s="3" t="s">
        <v>2332</v>
      </c>
      <c r="G338" s="3" t="s">
        <v>2333</v>
      </c>
    </row>
    <row r="339" spans="1:7">
      <c r="A339" s="6">
        <v>42905</v>
      </c>
      <c r="B339" s="3" t="s">
        <v>2053</v>
      </c>
      <c r="C339" s="3" t="s">
        <v>14</v>
      </c>
      <c r="D339" s="8" t="str">
        <f>HYPERLINK("http://npthd.inbcu.com/ViewContent.aspx?filename=NPMR_CBS_2017-06-19_E.MP4$2361$2381","Candy Crush")</f>
        <v>Candy Crush</v>
      </c>
      <c r="E339" s="3" t="s">
        <v>1805</v>
      </c>
      <c r="F339" s="3" t="s">
        <v>2333</v>
      </c>
      <c r="G339" s="3" t="s">
        <v>2334</v>
      </c>
    </row>
    <row r="340" spans="1:7">
      <c r="A340" s="6">
        <v>42905</v>
      </c>
      <c r="B340" s="3" t="s">
        <v>2053</v>
      </c>
      <c r="C340" s="3" t="s">
        <v>18</v>
      </c>
      <c r="D340" s="8" t="str">
        <f>HYPERLINK("http://npthd.inbcu.com/ViewContent.aspx?filename=NPMR_CBS_2017-06-19_E.MP4$2381$2746","MAN WITH A PLAN: what about bob?")</f>
        <v>MAN WITH A PLAN: what about bob?</v>
      </c>
      <c r="E340" s="3" t="s">
        <v>1100</v>
      </c>
      <c r="F340" s="3" t="s">
        <v>2334</v>
      </c>
      <c r="G340" s="3" t="s">
        <v>2335</v>
      </c>
    </row>
    <row r="341" spans="1:7">
      <c r="A341" s="6">
        <v>42905</v>
      </c>
      <c r="B341" s="3" t="s">
        <v>2053</v>
      </c>
      <c r="C341" s="3" t="s">
        <v>21</v>
      </c>
      <c r="D341" s="8" t="str">
        <f>HYPERLINK("http://npthd.inbcu.com/ViewContent.aspx?filename=NPMR_CBS_2017-06-19_E.MP4$2746$2898","COMMERCIAL")</f>
        <v>COMMERCIAL</v>
      </c>
      <c r="E341" s="3" t="s">
        <v>128</v>
      </c>
      <c r="F341" s="3" t="s">
        <v>2335</v>
      </c>
      <c r="G341" s="3" t="s">
        <v>2336</v>
      </c>
    </row>
    <row r="342" spans="1:7">
      <c r="A342" s="6">
        <v>42905</v>
      </c>
      <c r="B342" s="3" t="s">
        <v>2053</v>
      </c>
      <c r="C342" s="3" t="s">
        <v>14</v>
      </c>
      <c r="D342" s="8" t="str">
        <f>HYPERLINK("http://npthd.inbcu.com/ViewContent.aspx?filename=NPMR_CBS_2017-06-19_E.MP4$2898$2918","Zoo")</f>
        <v>Zoo</v>
      </c>
      <c r="E342" s="3" t="s">
        <v>1805</v>
      </c>
      <c r="F342" s="3" t="s">
        <v>2336</v>
      </c>
      <c r="G342" s="3" t="s">
        <v>2337</v>
      </c>
    </row>
    <row r="343" spans="1:7">
      <c r="A343" s="6">
        <v>42905</v>
      </c>
      <c r="B343" s="3" t="s">
        <v>2053</v>
      </c>
      <c r="C343" s="3" t="s">
        <v>14</v>
      </c>
      <c r="D343" s="8" t="str">
        <f>HYPERLINK("http://npthd.inbcu.com/ViewContent.aspx?filename=NPMR_CBS_2017-06-19_E.MP4$2918$2938","Salvation")</f>
        <v>Salvation</v>
      </c>
      <c r="E343" s="3" t="s">
        <v>1805</v>
      </c>
      <c r="F343" s="3" t="s">
        <v>2337</v>
      </c>
      <c r="G343" s="3" t="s">
        <v>2338</v>
      </c>
    </row>
    <row r="344" spans="1:7">
      <c r="A344" s="6">
        <v>42905</v>
      </c>
      <c r="B344" s="3" t="s">
        <v>2053</v>
      </c>
      <c r="C344" s="3" t="s">
        <v>32</v>
      </c>
      <c r="D344" s="8" t="str">
        <f>HYPERLINK("http://npthd.inbcu.com/ViewContent.aspx?filename=NPMR_CBS_2017-06-19_E.MP4$2938$3003","LOCAL")</f>
        <v>LOCAL</v>
      </c>
      <c r="E344" s="3" t="s">
        <v>580</v>
      </c>
      <c r="F344" s="3" t="s">
        <v>2338</v>
      </c>
      <c r="G344" s="3" t="s">
        <v>2339</v>
      </c>
    </row>
    <row r="345" spans="1:7">
      <c r="A345" s="6">
        <v>42905</v>
      </c>
      <c r="B345" s="3" t="s">
        <v>2053</v>
      </c>
      <c r="C345" s="3" t="s">
        <v>18</v>
      </c>
      <c r="D345" s="8" t="str">
        <f>HYPERLINK("http://npthd.inbcu.com/ViewContent.aspx?filename=NPMR_CBS_2017-06-19_E.MP4$3003$3454","MAN WITH A PLAN: what about bob?")</f>
        <v>MAN WITH A PLAN: what about bob?</v>
      </c>
      <c r="E345" s="3" t="s">
        <v>354</v>
      </c>
      <c r="F345" s="3" t="s">
        <v>2339</v>
      </c>
      <c r="G345" s="3" t="s">
        <v>2340</v>
      </c>
    </row>
    <row r="346" spans="1:7">
      <c r="A346" s="6">
        <v>42905</v>
      </c>
      <c r="B346" s="3" t="s">
        <v>2053</v>
      </c>
      <c r="C346" s="3" t="s">
        <v>21</v>
      </c>
      <c r="D346" s="8" t="str">
        <f>HYPERLINK("http://npthd.inbcu.com/ViewContent.aspx?filename=NPMR_CBS_2017-06-19_E.MP4$3454$3621","COMMERCIAL")</f>
        <v>COMMERCIAL</v>
      </c>
      <c r="E346" s="3" t="s">
        <v>1217</v>
      </c>
      <c r="F346" s="3" t="s">
        <v>2340</v>
      </c>
      <c r="G346" s="3" t="s">
        <v>2341</v>
      </c>
    </row>
    <row r="347" spans="1:7">
      <c r="A347" s="6">
        <v>42905</v>
      </c>
      <c r="B347" s="3" t="s">
        <v>2053</v>
      </c>
      <c r="C347" s="3" t="s">
        <v>14</v>
      </c>
      <c r="D347" s="8" t="str">
        <f>HYPERLINK("http://npthd.inbcu.com/ViewContent.aspx?filename=NPMR_CBS_2017-06-19_E.MP4$3621$3636","Big Brother")</f>
        <v>Big Brother</v>
      </c>
      <c r="E347" s="3" t="s">
        <v>30</v>
      </c>
      <c r="F347" s="3" t="s">
        <v>2341</v>
      </c>
      <c r="G347" s="3" t="s">
        <v>2342</v>
      </c>
    </row>
    <row r="348" spans="1:7">
      <c r="A348" s="6">
        <v>42905</v>
      </c>
      <c r="B348" s="3" t="s">
        <v>2053</v>
      </c>
      <c r="C348" s="3" t="s">
        <v>18</v>
      </c>
      <c r="D348" s="8" t="str">
        <f>HYPERLINK("http://npthd.inbcu.com/ViewContent.aspx?filename=NPMR_CBS_2017-06-19_E.MP4$3636$3681","MAN WITH A PLAN: what about bob?")</f>
        <v>MAN WITH A PLAN: what about bob?</v>
      </c>
      <c r="E348" s="3" t="s">
        <v>1143</v>
      </c>
      <c r="F348" s="3" t="s">
        <v>2342</v>
      </c>
      <c r="G348" s="3" t="s">
        <v>2343</v>
      </c>
    </row>
    <row r="349" spans="1:7">
      <c r="A349" s="6">
        <v>42905</v>
      </c>
      <c r="B349" s="3" t="s">
        <v>2053</v>
      </c>
      <c r="C349" s="3" t="s">
        <v>14</v>
      </c>
      <c r="D349" s="8" t="str">
        <f>HYPERLINK("http://npthd.inbcu.com/ViewContent.aspx?filename=NPMR_CBS_2017-06-19_E.MP4$3681$3701","Big Bang Theory")</f>
        <v>Big Bang Theory</v>
      </c>
      <c r="E349" s="3" t="s">
        <v>1805</v>
      </c>
      <c r="F349" s="3" t="s">
        <v>2343</v>
      </c>
      <c r="G349" s="3" t="s">
        <v>2196</v>
      </c>
    </row>
    <row r="350" spans="1:7">
      <c r="A350" s="6">
        <v>42905</v>
      </c>
      <c r="B350" s="3" t="s">
        <v>2053</v>
      </c>
      <c r="C350" s="3" t="s">
        <v>18</v>
      </c>
      <c r="D350" s="8" t="str">
        <f>HYPERLINK("http://npthd.inbcu.com/ViewContent.aspx?filename=NPMR_CBS_2017-06-19_E.MP4$3701$3706","MAN WITH A PLAN: what about bob?")</f>
        <v>MAN WITH A PLAN: what about bob?</v>
      </c>
      <c r="E350" s="3" t="s">
        <v>54</v>
      </c>
      <c r="F350" s="3" t="s">
        <v>2196</v>
      </c>
      <c r="G350" s="3" t="s">
        <v>242</v>
      </c>
    </row>
    <row r="351" spans="1:7">
      <c r="A351" s="6">
        <v>42905</v>
      </c>
      <c r="B351" s="3" t="s">
        <v>2053</v>
      </c>
      <c r="C351" s="3" t="s">
        <v>14</v>
      </c>
      <c r="D351" s="8" t="str">
        <f>HYPERLINK("http://npthd.inbcu.com/ViewContent.aspx?filename=NPMR_CBS_2017-06-19_E.MP4$3706$3711","Late Show with Stephen Colbert")</f>
        <v>Late Show with Stephen Colbert</v>
      </c>
      <c r="E351" s="3" t="s">
        <v>54</v>
      </c>
      <c r="F351" s="3" t="s">
        <v>242</v>
      </c>
      <c r="G351" s="3" t="s">
        <v>243</v>
      </c>
    </row>
    <row r="352" spans="1:7">
      <c r="A352" s="6">
        <v>42905</v>
      </c>
      <c r="B352" s="3" t="s">
        <v>2053</v>
      </c>
      <c r="C352" s="3" t="s">
        <v>18</v>
      </c>
      <c r="D352" s="8" t="str">
        <f>HYPERLINK("http://npthd.inbcu.com/ViewContent.aspx?filename=NPMR_CBS_2017-06-19_E.MP4$3711$3871","MOM: cornbread and a cashmere onesie")</f>
        <v>MOM: cornbread and a cashmere onesie</v>
      </c>
      <c r="E352" s="3" t="s">
        <v>2344</v>
      </c>
      <c r="F352" s="3" t="s">
        <v>243</v>
      </c>
      <c r="G352" s="3" t="s">
        <v>1629</v>
      </c>
    </row>
    <row r="353" spans="1:7">
      <c r="A353" s="6">
        <v>42905</v>
      </c>
      <c r="B353" s="3" t="s">
        <v>2053</v>
      </c>
      <c r="C353" s="3" t="s">
        <v>21</v>
      </c>
      <c r="D353" s="8" t="str">
        <f>HYPERLINK("http://npthd.inbcu.com/ViewContent.aspx?filename=NPMR_CBS_2017-06-19_E.MP4$3871$4053","COMMERCIAL")</f>
        <v>COMMERCIAL</v>
      </c>
      <c r="E353" s="3" t="s">
        <v>275</v>
      </c>
      <c r="F353" s="3" t="s">
        <v>1629</v>
      </c>
      <c r="G353" s="3" t="s">
        <v>2345</v>
      </c>
    </row>
    <row r="354" spans="1:7">
      <c r="A354" s="6">
        <v>42905</v>
      </c>
      <c r="B354" s="3" t="s">
        <v>2053</v>
      </c>
      <c r="C354" s="3" t="s">
        <v>14</v>
      </c>
      <c r="D354" s="8" t="str">
        <f>HYPERLINK("http://npthd.inbcu.com/ViewContent.aspx?filename=NPMR_CBS_2017-06-19_E.MP4$4053$4073","Big Brother")</f>
        <v>Big Brother</v>
      </c>
      <c r="E354" s="3" t="s">
        <v>1805</v>
      </c>
      <c r="F354" s="3" t="s">
        <v>2345</v>
      </c>
      <c r="G354" s="3" t="s">
        <v>2346</v>
      </c>
    </row>
    <row r="355" spans="1:7">
      <c r="A355" s="6">
        <v>42905</v>
      </c>
      <c r="B355" s="3" t="s">
        <v>2053</v>
      </c>
      <c r="C355" s="3" t="s">
        <v>14</v>
      </c>
      <c r="D355" s="8" t="str">
        <f>HYPERLINK("http://npthd.inbcu.com/ViewContent.aspx?filename=NPMR_CBS_2017-06-19_E.MP4$4073$4093","CBS All Access")</f>
        <v>CBS All Access</v>
      </c>
      <c r="E355" s="3" t="s">
        <v>1805</v>
      </c>
      <c r="F355" s="3" t="s">
        <v>2346</v>
      </c>
      <c r="G355" s="3" t="s">
        <v>2347</v>
      </c>
    </row>
    <row r="356" spans="1:7">
      <c r="A356" s="6">
        <v>42905</v>
      </c>
      <c r="B356" s="3" t="s">
        <v>2053</v>
      </c>
      <c r="C356" s="3" t="s">
        <v>18</v>
      </c>
      <c r="D356" s="8" t="str">
        <f>HYPERLINK("http://npthd.inbcu.com/ViewContent.aspx?filename=NPMR_CBS_2017-06-19_E.MP4$4093$4536","MOM: cornbread and a cashmere onesie")</f>
        <v>MOM: cornbread and a cashmere onesie</v>
      </c>
      <c r="E356" s="3" t="s">
        <v>2348</v>
      </c>
      <c r="F356" s="3" t="s">
        <v>2347</v>
      </c>
      <c r="G356" s="3" t="s">
        <v>2349</v>
      </c>
    </row>
    <row r="357" spans="1:7">
      <c r="A357" s="6">
        <v>42905</v>
      </c>
      <c r="B357" s="3" t="s">
        <v>2053</v>
      </c>
      <c r="C357" s="3" t="s">
        <v>21</v>
      </c>
      <c r="D357" s="8" t="str">
        <f>HYPERLINK("http://npthd.inbcu.com/ViewContent.aspx?filename=NPMR_CBS_2017-06-19_E.MP4$4536$4717","COMMERCIAL")</f>
        <v>COMMERCIAL</v>
      </c>
      <c r="E357" s="3" t="s">
        <v>108</v>
      </c>
      <c r="F357" s="3" t="s">
        <v>2349</v>
      </c>
      <c r="G357" s="3" t="s">
        <v>2350</v>
      </c>
    </row>
    <row r="358" spans="1:7">
      <c r="A358" s="6">
        <v>42905</v>
      </c>
      <c r="B358" s="3" t="s">
        <v>2053</v>
      </c>
      <c r="C358" s="3" t="s">
        <v>14</v>
      </c>
      <c r="D358" s="8" t="str">
        <f>HYPERLINK("http://npthd.inbcu.com/ViewContent.aspx?filename=NPMR_CBS_2017-06-19_E.MP4$4717$4734","Candy Crush")</f>
        <v>Candy Crush</v>
      </c>
      <c r="E358" s="3" t="s">
        <v>576</v>
      </c>
      <c r="F358" s="3" t="s">
        <v>2350</v>
      </c>
      <c r="G358" s="3" t="s">
        <v>2351</v>
      </c>
    </row>
    <row r="359" spans="1:7">
      <c r="A359" s="6">
        <v>42905</v>
      </c>
      <c r="B359" s="3" t="s">
        <v>2053</v>
      </c>
      <c r="C359" s="3" t="s">
        <v>32</v>
      </c>
      <c r="D359" s="8" t="str">
        <f>HYPERLINK("http://npthd.inbcu.com/ViewContent.aspx?filename=NPMR_CBS_2017-06-19_E.MP4$4734$4799","LOCAL")</f>
        <v>LOCAL</v>
      </c>
      <c r="E359" s="3" t="s">
        <v>580</v>
      </c>
      <c r="F359" s="3" t="s">
        <v>2351</v>
      </c>
      <c r="G359" s="3" t="s">
        <v>2352</v>
      </c>
    </row>
    <row r="360" spans="1:7">
      <c r="A360" s="6">
        <v>42905</v>
      </c>
      <c r="B360" s="3" t="s">
        <v>2053</v>
      </c>
      <c r="C360" s="3" t="s">
        <v>18</v>
      </c>
      <c r="D360" s="8" t="str">
        <f>HYPERLINK("http://npthd.inbcu.com/ViewContent.aspx?filename=NPMR_CBS_2017-06-19_E.MP4$4799$5171","MOM: cornbread and a cashmere onesie")</f>
        <v>MOM: cornbread and a cashmere onesie</v>
      </c>
      <c r="E360" s="3" t="s">
        <v>500</v>
      </c>
      <c r="F360" s="3" t="s">
        <v>2352</v>
      </c>
      <c r="G360" s="3" t="s">
        <v>2353</v>
      </c>
    </row>
    <row r="361" spans="1:7">
      <c r="A361" s="6">
        <v>42905</v>
      </c>
      <c r="B361" s="3" t="s">
        <v>2053</v>
      </c>
      <c r="C361" s="3" t="s">
        <v>21</v>
      </c>
      <c r="D361" s="8" t="str">
        <f>HYPERLINK("http://npthd.inbcu.com/ViewContent.aspx?filename=NPMR_CBS_2017-06-19_E.MP4$5171$5368","COMMERCIAL")</f>
        <v>COMMERCIAL</v>
      </c>
      <c r="E361" s="3" t="s">
        <v>2354</v>
      </c>
      <c r="F361" s="3" t="s">
        <v>2353</v>
      </c>
      <c r="G361" s="3" t="s">
        <v>2355</v>
      </c>
    </row>
    <row r="362" spans="1:7">
      <c r="A362" s="6">
        <v>42905</v>
      </c>
      <c r="B362" s="3" t="s">
        <v>2053</v>
      </c>
      <c r="C362" s="3" t="s">
        <v>14</v>
      </c>
      <c r="D362" s="8" t="str">
        <f>HYPERLINK("http://npthd.inbcu.com/ViewContent.aspx?filename=NPMR_CBS_2017-06-19_E.MP4$5368$5378","CBS This Morning")</f>
        <v>CBS This Morning</v>
      </c>
      <c r="E362" s="3" t="s">
        <v>197</v>
      </c>
      <c r="F362" s="3" t="s">
        <v>2355</v>
      </c>
      <c r="G362" s="3" t="s">
        <v>2356</v>
      </c>
    </row>
    <row r="363" spans="1:7">
      <c r="A363" s="6">
        <v>42905</v>
      </c>
      <c r="B363" s="3" t="s">
        <v>2053</v>
      </c>
      <c r="C363" s="3" t="s">
        <v>14</v>
      </c>
      <c r="D363" s="8" t="str">
        <f>HYPERLINK("http://npthd.inbcu.com/ViewContent.aspx?filename=NPMR_CBS_2017-06-19_E.MP4$5378$5408","Salvation")</f>
        <v>Salvation</v>
      </c>
      <c r="E363" s="3" t="s">
        <v>38</v>
      </c>
      <c r="F363" s="3" t="s">
        <v>2356</v>
      </c>
      <c r="G363" s="3" t="s">
        <v>2357</v>
      </c>
    </row>
    <row r="364" spans="1:7">
      <c r="A364" s="6">
        <v>42905</v>
      </c>
      <c r="B364" s="3" t="s">
        <v>2053</v>
      </c>
      <c r="C364" s="3" t="s">
        <v>18</v>
      </c>
      <c r="D364" s="8" t="str">
        <f>HYPERLINK("http://npthd.inbcu.com/ViewContent.aspx?filename=NPMR_CBS_2017-06-19_E.MP4$5408$5481","MOM: cornbread and a cashmere onesie")</f>
        <v>MOM: cornbread and a cashmere onesie</v>
      </c>
      <c r="E364" s="3" t="s">
        <v>2358</v>
      </c>
      <c r="F364" s="3" t="s">
        <v>2357</v>
      </c>
      <c r="G364" s="3" t="s">
        <v>2092</v>
      </c>
    </row>
    <row r="365" spans="1:7">
      <c r="A365" s="6">
        <v>42905</v>
      </c>
      <c r="B365" s="3" t="s">
        <v>2053</v>
      </c>
      <c r="C365" s="3" t="s">
        <v>14</v>
      </c>
      <c r="D365" s="8" t="str">
        <f>HYPERLINK("http://npthd.inbcu.com/ViewContent.aspx?filename=NPMR_CBS_2017-06-19_E.MP4$5481$5501","Zoo")</f>
        <v>Zoo</v>
      </c>
      <c r="E365" s="3" t="s">
        <v>1805</v>
      </c>
      <c r="F365" s="3" t="s">
        <v>2092</v>
      </c>
      <c r="G365" s="3" t="s">
        <v>1436</v>
      </c>
    </row>
    <row r="366" spans="1:7">
      <c r="A366" s="6">
        <v>42905</v>
      </c>
      <c r="B366" s="3" t="s">
        <v>2053</v>
      </c>
      <c r="C366" s="3" t="s">
        <v>18</v>
      </c>
      <c r="D366" s="8" t="str">
        <f>HYPERLINK("http://npthd.inbcu.com/ViewContent.aspx?filename=NPMR_CBS_2017-06-19_E.MP4$5501$5506","MOM: cornbread and a cashmere onesie")</f>
        <v>MOM: cornbread and a cashmere onesie</v>
      </c>
      <c r="E366" s="3" t="s">
        <v>54</v>
      </c>
      <c r="F366" s="3" t="s">
        <v>1436</v>
      </c>
      <c r="G366" s="3" t="s">
        <v>550</v>
      </c>
    </row>
    <row r="367" spans="1:7">
      <c r="A367" s="6">
        <v>42905</v>
      </c>
      <c r="B367" s="3" t="s">
        <v>2053</v>
      </c>
      <c r="C367" s="3" t="s">
        <v>14</v>
      </c>
      <c r="D367" s="8" t="str">
        <f>HYPERLINK("http://npthd.inbcu.com/ViewContent.aspx?filename=NPMR_CBS_2017-06-19_E.MP4$5506$5511","Big Brother")</f>
        <v>Big Brother</v>
      </c>
      <c r="E367" s="3" t="s">
        <v>54</v>
      </c>
      <c r="F367" s="3" t="s">
        <v>550</v>
      </c>
      <c r="G367" s="3" t="s">
        <v>551</v>
      </c>
    </row>
    <row r="368" spans="1:7">
      <c r="A368" s="6">
        <v>42905</v>
      </c>
      <c r="B368" s="3" t="s">
        <v>2053</v>
      </c>
      <c r="C368" s="3" t="s">
        <v>18</v>
      </c>
      <c r="D368" s="8" t="str">
        <f>HYPERLINK("http://npthd.inbcu.com/ViewContent.aspx?filename=NPMR_CBS_2017-06-19_E.MP4$5511$6107","LIFE IN PIECES: y2k sophia honeymoon critter")</f>
        <v>LIFE IN PIECES: y2k sophia honeymoon critter</v>
      </c>
      <c r="E368" s="3" t="s">
        <v>2359</v>
      </c>
      <c r="F368" s="3" t="s">
        <v>551</v>
      </c>
      <c r="G368" s="3" t="s">
        <v>2360</v>
      </c>
    </row>
    <row r="369" spans="1:7">
      <c r="A369" s="6">
        <v>42905</v>
      </c>
      <c r="B369" s="3" t="s">
        <v>2053</v>
      </c>
      <c r="C369" s="3" t="s">
        <v>21</v>
      </c>
      <c r="D369" s="8" t="str">
        <f>HYPERLINK("http://npthd.inbcu.com/ViewContent.aspx?filename=NPMR_CBS_2017-06-19_E.MP4$6107$6228","COMMERCIAL")</f>
        <v>COMMERCIAL</v>
      </c>
      <c r="E369" s="3" t="s">
        <v>175</v>
      </c>
      <c r="F369" s="3" t="s">
        <v>2360</v>
      </c>
      <c r="G369" s="3" t="s">
        <v>2361</v>
      </c>
    </row>
    <row r="370" spans="1:7">
      <c r="A370" s="6">
        <v>42905</v>
      </c>
      <c r="B370" s="3" t="s">
        <v>2053</v>
      </c>
      <c r="C370" s="3" t="s">
        <v>14</v>
      </c>
      <c r="D370" s="8" t="str">
        <f>HYPERLINK("http://npthd.inbcu.com/ViewContent.aspx?filename=NPMR_CBS_2017-06-19_E.MP4$6228$6248","Salvation")</f>
        <v>Salvation</v>
      </c>
      <c r="E370" s="3" t="s">
        <v>1805</v>
      </c>
      <c r="F370" s="3" t="s">
        <v>2361</v>
      </c>
      <c r="G370" s="3" t="s">
        <v>1001</v>
      </c>
    </row>
    <row r="371" spans="1:7">
      <c r="A371" s="6">
        <v>42905</v>
      </c>
      <c r="B371" s="3" t="s">
        <v>2053</v>
      </c>
      <c r="C371" s="3" t="s">
        <v>18</v>
      </c>
      <c r="D371" s="8" t="str">
        <f>HYPERLINK("http://npthd.inbcu.com/ViewContent.aspx?filename=NPMR_CBS_2017-06-19_E.MP4$6248$6578","LIFE IN PIECES: y2k sophia honeymoon critter")</f>
        <v>LIFE IN PIECES: y2k sophia honeymoon critter</v>
      </c>
      <c r="E371" s="3" t="s">
        <v>338</v>
      </c>
      <c r="F371" s="3" t="s">
        <v>1001</v>
      </c>
      <c r="G371" s="3" t="s">
        <v>2362</v>
      </c>
    </row>
    <row r="372" spans="1:7">
      <c r="A372" s="6">
        <v>42905</v>
      </c>
      <c r="B372" s="3" t="s">
        <v>2053</v>
      </c>
      <c r="C372" s="3" t="s">
        <v>21</v>
      </c>
      <c r="D372" s="8" t="str">
        <f>HYPERLINK("http://npthd.inbcu.com/ViewContent.aspx?filename=NPMR_CBS_2017-06-19_E.MP4$6578$6730","COMMERCIAL")</f>
        <v>COMMERCIAL</v>
      </c>
      <c r="E372" s="3" t="s">
        <v>128</v>
      </c>
      <c r="F372" s="3" t="s">
        <v>2362</v>
      </c>
      <c r="G372" s="3" t="s">
        <v>2363</v>
      </c>
    </row>
    <row r="373" spans="1:7">
      <c r="A373" s="6">
        <v>42905</v>
      </c>
      <c r="B373" s="3" t="s">
        <v>2053</v>
      </c>
      <c r="C373" s="3" t="s">
        <v>14</v>
      </c>
      <c r="D373" s="8" t="str">
        <f>HYPERLINK("http://npthd.inbcu.com/ViewContent.aspx?filename=NPMR_CBS_2017-06-19_E.MP4$6730$6740","Big Brother")</f>
        <v>Big Brother</v>
      </c>
      <c r="E373" s="3" t="s">
        <v>197</v>
      </c>
      <c r="F373" s="3" t="s">
        <v>2363</v>
      </c>
      <c r="G373" s="3" t="s">
        <v>2364</v>
      </c>
    </row>
    <row r="374" spans="1:7">
      <c r="A374" s="6">
        <v>42905</v>
      </c>
      <c r="B374" s="3" t="s">
        <v>2053</v>
      </c>
      <c r="C374" s="3" t="s">
        <v>32</v>
      </c>
      <c r="D374" s="8" t="str">
        <f>HYPERLINK("http://npthd.inbcu.com/ViewContent.aspx?filename=NPMR_CBS_2017-06-19_E.MP4$6740$6805","LOCAL")</f>
        <v>LOCAL</v>
      </c>
      <c r="E374" s="3" t="s">
        <v>580</v>
      </c>
      <c r="F374" s="3" t="s">
        <v>2364</v>
      </c>
      <c r="G374" s="3" t="s">
        <v>2365</v>
      </c>
    </row>
    <row r="375" spans="1:7">
      <c r="A375" s="6">
        <v>42905</v>
      </c>
      <c r="B375" s="3" t="s">
        <v>2053</v>
      </c>
      <c r="C375" s="3" t="s">
        <v>18</v>
      </c>
      <c r="D375" s="8" t="str">
        <f>HYPERLINK("http://npthd.inbcu.com/ViewContent.aspx?filename=NPMR_CBS_2017-06-19_E.MP4$6805$6993","LIFE IN PIECES: y2k sophia honeymoon critter")</f>
        <v>LIFE IN PIECES: y2k sophia honeymoon critter</v>
      </c>
      <c r="E375" s="3" t="s">
        <v>2366</v>
      </c>
      <c r="F375" s="3" t="s">
        <v>2365</v>
      </c>
      <c r="G375" s="3" t="s">
        <v>2367</v>
      </c>
    </row>
    <row r="376" spans="1:7">
      <c r="A376" s="6">
        <v>42905</v>
      </c>
      <c r="B376" s="3" t="s">
        <v>2053</v>
      </c>
      <c r="C376" s="3" t="s">
        <v>21</v>
      </c>
      <c r="D376" s="8" t="str">
        <f>HYPERLINK("http://npthd.inbcu.com/ViewContent.aspx?filename=NPMR_CBS_2017-06-19_E.MP4$6993$7130","COMMERCIAL")</f>
        <v>COMMERCIAL</v>
      </c>
      <c r="E376" s="3" t="s">
        <v>488</v>
      </c>
      <c r="F376" s="3" t="s">
        <v>2367</v>
      </c>
      <c r="G376" s="3" t="s">
        <v>1446</v>
      </c>
    </row>
    <row r="377" spans="1:7">
      <c r="A377" s="6">
        <v>42905</v>
      </c>
      <c r="B377" s="3" t="s">
        <v>2053</v>
      </c>
      <c r="C377" s="3" t="s">
        <v>14</v>
      </c>
      <c r="D377" s="8" t="str">
        <f>HYPERLINK("http://npthd.inbcu.com/ViewContent.aspx?filename=NPMR_CBS_2017-06-19_E.MP4$7130$7140","Talk, The")</f>
        <v>Talk, The</v>
      </c>
      <c r="E377" s="3" t="s">
        <v>197</v>
      </c>
      <c r="F377" s="3" t="s">
        <v>1446</v>
      </c>
      <c r="G377" s="3" t="s">
        <v>2368</v>
      </c>
    </row>
    <row r="378" spans="1:7">
      <c r="A378" s="6">
        <v>42905</v>
      </c>
      <c r="B378" s="3" t="s">
        <v>2053</v>
      </c>
      <c r="C378" s="3" t="s">
        <v>18</v>
      </c>
      <c r="D378" s="8" t="str">
        <f>HYPERLINK("http://npthd.inbcu.com/ViewContent.aspx?filename=NPMR_CBS_2017-06-19_E.MP4$7140$7281","LIFE IN PIECES: y2k sophia honeymoon critter")</f>
        <v>LIFE IN PIECES: y2k sophia honeymoon critter</v>
      </c>
      <c r="E378" s="3" t="s">
        <v>1753</v>
      </c>
      <c r="F378" s="3" t="s">
        <v>2368</v>
      </c>
      <c r="G378" s="3" t="s">
        <v>2106</v>
      </c>
    </row>
    <row r="379" spans="1:7">
      <c r="A379" s="6">
        <v>42905</v>
      </c>
      <c r="B379" s="3" t="s">
        <v>2053</v>
      </c>
      <c r="C379" s="3" t="s">
        <v>14</v>
      </c>
      <c r="D379" s="8" t="str">
        <f>HYPERLINK("http://npthd.inbcu.com/ViewContent.aspx?filename=NPMR_CBS_2017-06-19_E.MP4$7281$7301","Zoo")</f>
        <v>Zoo</v>
      </c>
      <c r="E379" s="3" t="s">
        <v>1805</v>
      </c>
      <c r="F379" s="3" t="s">
        <v>2106</v>
      </c>
      <c r="G379" s="3" t="s">
        <v>750</v>
      </c>
    </row>
    <row r="380" spans="1:7">
      <c r="A380" s="6">
        <v>42905</v>
      </c>
      <c r="B380" s="3" t="s">
        <v>2053</v>
      </c>
      <c r="C380" s="3" t="s">
        <v>18</v>
      </c>
      <c r="D380" s="8" t="str">
        <f>HYPERLINK("http://npthd.inbcu.com/ViewContent.aspx?filename=NPMR_CBS_2017-06-19_E.MP4$7301$7306","LIFE IN PIECES: y2k sophia honeymoon critter")</f>
        <v>LIFE IN PIECES: y2k sophia honeymoon critter</v>
      </c>
      <c r="E380" s="3" t="s">
        <v>54</v>
      </c>
      <c r="F380" s="3" t="s">
        <v>750</v>
      </c>
      <c r="G380" s="3" t="s">
        <v>394</v>
      </c>
    </row>
    <row r="381" spans="1:7">
      <c r="A381" s="6">
        <v>42905</v>
      </c>
      <c r="B381" s="3" t="s">
        <v>2053</v>
      </c>
      <c r="C381" s="3" t="s">
        <v>14</v>
      </c>
      <c r="D381" s="8" t="str">
        <f>HYPERLINK("http://npthd.inbcu.com/ViewContent.aspx?filename=NPMR_CBS_2017-06-19_E.MP4$7306$7311","Late Show with Stephen Colbert")</f>
        <v>Late Show with Stephen Colbert</v>
      </c>
      <c r="E381" s="3" t="s">
        <v>54</v>
      </c>
      <c r="F381" s="3" t="s">
        <v>394</v>
      </c>
      <c r="G381" s="3" t="s">
        <v>395</v>
      </c>
    </row>
    <row r="382" spans="1:7">
      <c r="A382" s="6">
        <v>42905</v>
      </c>
      <c r="B382" s="3" t="s">
        <v>2053</v>
      </c>
      <c r="C382" s="3" t="s">
        <v>18</v>
      </c>
      <c r="D382" s="8" t="str">
        <f>HYPERLINK("http://npthd.inbcu.com/ViewContent.aspx?filename=NPMR_CBS_2017-06-19_E.MP4$7311$7844","SCORPION: mother load")</f>
        <v>SCORPION: mother load</v>
      </c>
      <c r="E382" s="3" t="s">
        <v>2369</v>
      </c>
      <c r="F382" s="3" t="s">
        <v>395</v>
      </c>
      <c r="G382" s="3" t="s">
        <v>2370</v>
      </c>
    </row>
    <row r="383" spans="1:7">
      <c r="A383" s="6">
        <v>42905</v>
      </c>
      <c r="B383" s="3" t="s">
        <v>2053</v>
      </c>
      <c r="C383" s="3" t="s">
        <v>21</v>
      </c>
      <c r="D383" s="8" t="str">
        <f>HYPERLINK("http://npthd.inbcu.com/ViewContent.aspx?filename=NPMR_CBS_2017-06-19_E.MP4$7844$8025","COMMERCIAL")</f>
        <v>COMMERCIAL</v>
      </c>
      <c r="E383" s="3" t="s">
        <v>108</v>
      </c>
      <c r="F383" s="3" t="s">
        <v>2370</v>
      </c>
      <c r="G383" s="3" t="s">
        <v>2371</v>
      </c>
    </row>
    <row r="384" spans="1:7">
      <c r="A384" s="6">
        <v>42905</v>
      </c>
      <c r="B384" s="3" t="s">
        <v>2053</v>
      </c>
      <c r="C384" s="3" t="s">
        <v>14</v>
      </c>
      <c r="D384" s="8" t="str">
        <f>HYPERLINK("http://npthd.inbcu.com/ViewContent.aspx?filename=NPMR_CBS_2017-06-19_E.MP4$8025$8031","Zoo")</f>
        <v>Zoo</v>
      </c>
      <c r="E384" s="3" t="s">
        <v>15</v>
      </c>
      <c r="F384" s="3" t="s">
        <v>2371</v>
      </c>
      <c r="G384" s="3" t="s">
        <v>1738</v>
      </c>
    </row>
    <row r="385" spans="1:7">
      <c r="A385" s="6">
        <v>42905</v>
      </c>
      <c r="B385" s="3" t="s">
        <v>2053</v>
      </c>
      <c r="C385" s="3" t="s">
        <v>14</v>
      </c>
      <c r="D385" s="8" t="str">
        <f>HYPERLINK("http://npthd.inbcu.com/ViewContent.aspx?filename=NPMR_CBS_2017-06-19_E.MP4$8031$8051","Salvation")</f>
        <v>Salvation</v>
      </c>
      <c r="E385" s="3" t="s">
        <v>1805</v>
      </c>
      <c r="F385" s="3" t="s">
        <v>1738</v>
      </c>
      <c r="G385" s="3" t="s">
        <v>2372</v>
      </c>
    </row>
    <row r="386" spans="1:7">
      <c r="A386" s="6">
        <v>42905</v>
      </c>
      <c r="B386" s="3" t="s">
        <v>2053</v>
      </c>
      <c r="C386" s="3" t="s">
        <v>18</v>
      </c>
      <c r="D386" s="8" t="str">
        <f>HYPERLINK("http://npthd.inbcu.com/ViewContent.aspx?filename=NPMR_CBS_2017-06-19_E.MP4$8051$8808","SCORPION: mother load")</f>
        <v>SCORPION: mother load</v>
      </c>
      <c r="E386" s="3" t="s">
        <v>2373</v>
      </c>
      <c r="F386" s="3" t="s">
        <v>2372</v>
      </c>
      <c r="G386" s="3" t="s">
        <v>2374</v>
      </c>
    </row>
    <row r="387" spans="1:7">
      <c r="A387" s="6">
        <v>42905</v>
      </c>
      <c r="B387" s="3" t="s">
        <v>2053</v>
      </c>
      <c r="C387" s="3" t="s">
        <v>21</v>
      </c>
      <c r="D387" s="8" t="str">
        <f>HYPERLINK("http://npthd.inbcu.com/ViewContent.aspx?filename=NPMR_CBS_2017-06-19_E.MP4$8808$8960","COMMERCIAL")</f>
        <v>COMMERCIAL</v>
      </c>
      <c r="E387" s="3" t="s">
        <v>128</v>
      </c>
      <c r="F387" s="3" t="s">
        <v>2374</v>
      </c>
      <c r="G387" s="3" t="s">
        <v>1875</v>
      </c>
    </row>
    <row r="388" spans="1:7">
      <c r="A388" s="6">
        <v>42905</v>
      </c>
      <c r="B388" s="3" t="s">
        <v>2053</v>
      </c>
      <c r="C388" s="3" t="s">
        <v>14</v>
      </c>
      <c r="D388" s="8" t="str">
        <f>HYPERLINK("http://npthd.inbcu.com/ViewContent.aspx?filename=NPMR_CBS_2017-06-19_E.MP4$8960$8975","Big Brother")</f>
        <v>Big Brother</v>
      </c>
      <c r="E388" s="3" t="s">
        <v>30</v>
      </c>
      <c r="F388" s="3" t="s">
        <v>1875</v>
      </c>
      <c r="G388" s="3" t="s">
        <v>2375</v>
      </c>
    </row>
    <row r="389" spans="1:7">
      <c r="A389" s="6">
        <v>42905</v>
      </c>
      <c r="B389" s="3" t="s">
        <v>2053</v>
      </c>
      <c r="C389" s="3" t="s">
        <v>14</v>
      </c>
      <c r="D389" s="8" t="str">
        <f>HYPERLINK("http://npthd.inbcu.com/ViewContent.aspx?filename=NPMR_CBS_2017-06-19_E.MP4$8975$8996","Candy Crush")</f>
        <v>Candy Crush</v>
      </c>
      <c r="E389" s="3" t="s">
        <v>2067</v>
      </c>
      <c r="F389" s="3" t="s">
        <v>2375</v>
      </c>
      <c r="G389" s="3" t="s">
        <v>2376</v>
      </c>
    </row>
    <row r="390" spans="1:7">
      <c r="A390" s="6">
        <v>42905</v>
      </c>
      <c r="B390" s="3" t="s">
        <v>2053</v>
      </c>
      <c r="C390" s="3" t="s">
        <v>18</v>
      </c>
      <c r="D390" s="8" t="str">
        <f>HYPERLINK("http://npthd.inbcu.com/ViewContent.aspx?filename=NPMR_CBS_2017-06-19_E.MP4$8996$9458","SCORPION: mother load")</f>
        <v>SCORPION: mother load</v>
      </c>
      <c r="E390" s="3" t="s">
        <v>1526</v>
      </c>
      <c r="F390" s="3" t="s">
        <v>2376</v>
      </c>
      <c r="G390" s="3" t="s">
        <v>2377</v>
      </c>
    </row>
    <row r="391" spans="1:7">
      <c r="A391" s="6">
        <v>42905</v>
      </c>
      <c r="B391" s="3" t="s">
        <v>2053</v>
      </c>
      <c r="C391" s="3" t="s">
        <v>21</v>
      </c>
      <c r="D391" s="8" t="str">
        <f>HYPERLINK("http://npthd.inbcu.com/ViewContent.aspx?filename=NPMR_CBS_2017-06-19_E.MP4$9458$9611","COMMERCIAL")</f>
        <v>COMMERCIAL</v>
      </c>
      <c r="E391" s="3" t="s">
        <v>1735</v>
      </c>
      <c r="F391" s="3" t="s">
        <v>2377</v>
      </c>
      <c r="G391" s="3" t="s">
        <v>2378</v>
      </c>
    </row>
    <row r="392" spans="1:7">
      <c r="A392" s="6">
        <v>42905</v>
      </c>
      <c r="B392" s="3" t="s">
        <v>2053</v>
      </c>
      <c r="C392" s="3" t="s">
        <v>32</v>
      </c>
      <c r="D392" s="8" t="str">
        <f>HYPERLINK("http://npthd.inbcu.com/ViewContent.aspx?filename=NPMR_CBS_2017-06-19_E.MP4$9611$9751","LOCAL")</f>
        <v>LOCAL</v>
      </c>
      <c r="E392" s="3" t="s">
        <v>623</v>
      </c>
      <c r="F392" s="3" t="s">
        <v>2378</v>
      </c>
      <c r="G392" s="3" t="s">
        <v>2379</v>
      </c>
    </row>
    <row r="393" spans="1:7">
      <c r="A393" s="6">
        <v>42905</v>
      </c>
      <c r="B393" s="3" t="s">
        <v>2053</v>
      </c>
      <c r="C393" s="3" t="s">
        <v>18</v>
      </c>
      <c r="D393" s="8" t="str">
        <f>HYPERLINK("http://npthd.inbcu.com/ViewContent.aspx?filename=NPMR_CBS_2017-06-19_E.MP4$9751$9995","SCORPION: mother load")</f>
        <v>SCORPION: mother load</v>
      </c>
      <c r="E393" s="3" t="s">
        <v>241</v>
      </c>
      <c r="F393" s="3" t="s">
        <v>2379</v>
      </c>
      <c r="G393" s="3" t="s">
        <v>2380</v>
      </c>
    </row>
    <row r="394" spans="1:7">
      <c r="A394" s="6">
        <v>42905</v>
      </c>
      <c r="B394" s="3" t="s">
        <v>2053</v>
      </c>
      <c r="C394" s="3" t="s">
        <v>21</v>
      </c>
      <c r="D394" s="8" t="str">
        <f>HYPERLINK("http://npthd.inbcu.com/ViewContent.aspx?filename=NPMR_CBS_2017-06-19_E.MP4$9995$10177","COMMERCIAL")</f>
        <v>COMMERCIAL</v>
      </c>
      <c r="E394" s="3" t="s">
        <v>275</v>
      </c>
      <c r="F394" s="3" t="s">
        <v>2380</v>
      </c>
      <c r="G394" s="3" t="s">
        <v>2381</v>
      </c>
    </row>
    <row r="395" spans="1:7">
      <c r="A395" s="6">
        <v>42905</v>
      </c>
      <c r="B395" s="3" t="s">
        <v>2053</v>
      </c>
      <c r="C395" s="3" t="s">
        <v>14</v>
      </c>
      <c r="D395" s="8" t="str">
        <f>HYPERLINK("http://npthd.inbcu.com/ViewContent.aspx?filename=NPMR_CBS_2017-06-19_E.MP4$10177$10188","Late Show with Stephen Colbert")</f>
        <v>Late Show with Stephen Colbert</v>
      </c>
      <c r="E395" s="3" t="s">
        <v>1940</v>
      </c>
      <c r="F395" s="3" t="s">
        <v>2381</v>
      </c>
      <c r="G395" s="3" t="s">
        <v>2382</v>
      </c>
    </row>
    <row r="396" spans="1:7">
      <c r="A396" s="6">
        <v>42905</v>
      </c>
      <c r="B396" s="3" t="s">
        <v>2053</v>
      </c>
      <c r="C396" s="3" t="s">
        <v>14</v>
      </c>
      <c r="D396" s="8" t="str">
        <f>HYPERLINK("http://npthd.inbcu.com/ViewContent.aspx?filename=NPMR_CBS_2017-06-19_E.MP4$10188$10208","Zoo")</f>
        <v>Zoo</v>
      </c>
      <c r="E396" s="3" t="s">
        <v>1805</v>
      </c>
      <c r="F396" s="3" t="s">
        <v>2382</v>
      </c>
      <c r="G396" s="3" t="s">
        <v>2383</v>
      </c>
    </row>
    <row r="397" spans="1:7">
      <c r="A397" s="6">
        <v>42905</v>
      </c>
      <c r="B397" s="3" t="s">
        <v>2053</v>
      </c>
      <c r="C397" s="3" t="s">
        <v>32</v>
      </c>
      <c r="D397" s="8" t="str">
        <f>HYPERLINK("http://npthd.inbcu.com/ViewContent.aspx?filename=NPMR_CBS_2017-06-19_E.MP4$10208$10303","LOCAL")</f>
        <v>LOCAL</v>
      </c>
      <c r="E397" s="3" t="s">
        <v>2076</v>
      </c>
      <c r="F397" s="3" t="s">
        <v>2383</v>
      </c>
      <c r="G397" s="3" t="s">
        <v>2384</v>
      </c>
    </row>
    <row r="398" spans="1:7">
      <c r="A398" s="6">
        <v>42905</v>
      </c>
      <c r="B398" s="3" t="s">
        <v>2053</v>
      </c>
      <c r="C398" s="3" t="s">
        <v>18</v>
      </c>
      <c r="D398" s="8" t="str">
        <f>HYPERLINK("http://npthd.inbcu.com/ViewContent.aspx?filename=NPMR_CBS_2017-06-19_E.MP4$10303$10789","SCORPION: mother load")</f>
        <v>SCORPION: mother load</v>
      </c>
      <c r="E398" s="3" t="s">
        <v>588</v>
      </c>
      <c r="F398" s="3" t="s">
        <v>2384</v>
      </c>
      <c r="G398" s="3" t="s">
        <v>2385</v>
      </c>
    </row>
    <row r="399" spans="1:7">
      <c r="A399" s="6">
        <v>42905</v>
      </c>
      <c r="B399" s="3" t="s">
        <v>2053</v>
      </c>
      <c r="C399" s="3" t="s">
        <v>32</v>
      </c>
      <c r="D399" s="8" t="str">
        <f>HYPERLINK("http://npthd.inbcu.com/ViewContent.aspx?filename=NPMR_CBS_2017-06-19_E.MP4$10789$10801","LOCAL")</f>
        <v>LOCAL</v>
      </c>
      <c r="E399" s="3" t="s">
        <v>2057</v>
      </c>
      <c r="F399" s="3" t="s">
        <v>2385</v>
      </c>
      <c r="G399" s="3" t="s">
        <v>2386</v>
      </c>
    </row>
    <row r="400" spans="1:7">
      <c r="A400" s="6">
        <v>42905</v>
      </c>
      <c r="B400" s="3" t="s">
        <v>2053</v>
      </c>
      <c r="C400" s="3" t="s">
        <v>21</v>
      </c>
      <c r="D400" s="8" t="str">
        <f>HYPERLINK("http://npthd.inbcu.com/ViewContent.aspx?filename=NPMR_CBS_2017-06-19_E.MP4$10801$10861","COMMERCIAL")</f>
        <v>COMMERCIAL</v>
      </c>
      <c r="E400" s="3" t="s">
        <v>66</v>
      </c>
      <c r="F400" s="3" t="s">
        <v>2386</v>
      </c>
      <c r="G400" s="3" t="s">
        <v>310</v>
      </c>
    </row>
    <row r="401" spans="1:7">
      <c r="A401" s="6">
        <v>42905</v>
      </c>
      <c r="B401" s="3" t="s">
        <v>2053</v>
      </c>
      <c r="C401" s="3" t="s">
        <v>14</v>
      </c>
      <c r="D401" s="8" t="str">
        <f>HYPERLINK("http://npthd.inbcu.com/ViewContent.aspx?filename=NPMR_CBS_2017-06-19_E.MP4$10861$10866","Late Show with Stephen Colbert")</f>
        <v>Late Show with Stephen Colbert</v>
      </c>
      <c r="E401" s="3" t="s">
        <v>54</v>
      </c>
      <c r="F401" s="3" t="s">
        <v>310</v>
      </c>
      <c r="G401" s="3" t="s">
        <v>2387</v>
      </c>
    </row>
    <row r="402" spans="1:7">
      <c r="A402" s="6">
        <v>42905</v>
      </c>
      <c r="B402" s="3" t="s">
        <v>2053</v>
      </c>
      <c r="C402" s="3" t="s">
        <v>14</v>
      </c>
      <c r="D402" s="8" t="str">
        <f>HYPERLINK("http://npthd.inbcu.com/ViewContent.aspx?filename=NPMR_CBS_2017-06-19_E.MP4$10866$10888","Bull")</f>
        <v>Bull</v>
      </c>
      <c r="E402" s="3" t="s">
        <v>2124</v>
      </c>
      <c r="F402" s="3" t="s">
        <v>2387</v>
      </c>
      <c r="G402" s="3" t="s">
        <v>2388</v>
      </c>
    </row>
    <row r="403" spans="1:7">
      <c r="A403" s="6">
        <v>42905</v>
      </c>
      <c r="B403" s="3" t="s">
        <v>2053</v>
      </c>
      <c r="C403" s="3" t="s">
        <v>18</v>
      </c>
      <c r="D403" s="8" t="str">
        <f>HYPERLINK("http://npthd.inbcu.com/ViewContent.aspx?filename=NPMR_CBS_2017-06-19_E.MP4$10888$10893","SCORPION: mother load")</f>
        <v>SCORPION: mother load</v>
      </c>
      <c r="E403" s="3" t="s">
        <v>54</v>
      </c>
      <c r="F403" s="3" t="s">
        <v>2388</v>
      </c>
      <c r="G403" s="3" t="s">
        <v>850</v>
      </c>
    </row>
    <row r="404" spans="1:7">
      <c r="A404" s="6">
        <v>42905</v>
      </c>
      <c r="B404" s="3" t="s">
        <v>2053</v>
      </c>
      <c r="C404" s="3" t="s">
        <v>32</v>
      </c>
      <c r="D404" s="8" t="str">
        <f>HYPERLINK("http://npthd.inbcu.com/ViewContent.aspx?filename=NPMR_CBS_2017-06-19_E.MP4$10893$10906","LOCAL")</f>
        <v>LOCAL</v>
      </c>
      <c r="E404" s="3" t="s">
        <v>851</v>
      </c>
      <c r="F404" s="3" t="s">
        <v>850</v>
      </c>
      <c r="G404" s="3" t="s">
        <v>124</v>
      </c>
    </row>
    <row r="405" spans="1:7">
      <c r="A405" s="6">
        <v>42906</v>
      </c>
      <c r="B405" s="3" t="s">
        <v>2053</v>
      </c>
      <c r="C405" s="3" t="s">
        <v>18</v>
      </c>
      <c r="D405" s="8" t="str">
        <f>HYPERLINK("http://npthd.inbcu.com/ViewContent.aspx?filename=NPMR_CBS_2017-06-20_E.MP4$256$696","NCIS: the wall")</f>
        <v>NCIS: the wall</v>
      </c>
      <c r="E405" s="3" t="s">
        <v>1116</v>
      </c>
      <c r="F405" s="3" t="s">
        <v>16</v>
      </c>
      <c r="G405" s="3" t="s">
        <v>2389</v>
      </c>
    </row>
    <row r="406" spans="1:7">
      <c r="A406" s="6">
        <v>42906</v>
      </c>
      <c r="B406" s="3" t="s">
        <v>2053</v>
      </c>
      <c r="C406" s="3" t="s">
        <v>21</v>
      </c>
      <c r="D406" s="8" t="str">
        <f>HYPERLINK("http://npthd.inbcu.com/ViewContent.aspx?filename=NPMR_CBS_2017-06-20_E.MP4$696$847","COMMERCIAL")</f>
        <v>COMMERCIAL</v>
      </c>
      <c r="E406" s="3" t="s">
        <v>91</v>
      </c>
      <c r="F406" s="3" t="s">
        <v>2389</v>
      </c>
      <c r="G406" s="3" t="s">
        <v>2390</v>
      </c>
    </row>
    <row r="407" spans="1:7">
      <c r="A407" s="6">
        <v>42906</v>
      </c>
      <c r="B407" s="3" t="s">
        <v>2053</v>
      </c>
      <c r="C407" s="3" t="s">
        <v>14</v>
      </c>
      <c r="D407" s="8" t="str">
        <f>HYPERLINK("http://npthd.inbcu.com/ViewContent.aspx?filename=NPMR_CBS_2017-06-20_E.MP4$847$853","Zoo")</f>
        <v>Zoo</v>
      </c>
      <c r="E407" s="3" t="s">
        <v>15</v>
      </c>
      <c r="F407" s="3" t="s">
        <v>2390</v>
      </c>
      <c r="G407" s="3" t="s">
        <v>2391</v>
      </c>
    </row>
    <row r="408" spans="1:7">
      <c r="A408" s="6">
        <v>42906</v>
      </c>
      <c r="B408" s="3" t="s">
        <v>2053</v>
      </c>
      <c r="C408" s="3" t="s">
        <v>14</v>
      </c>
      <c r="D408" s="8" t="str">
        <f>HYPERLINK("http://npthd.inbcu.com/ViewContent.aspx?filename=NPMR_CBS_2017-06-20_E.MP4$853$883","Salvation")</f>
        <v>Salvation</v>
      </c>
      <c r="E408" s="3" t="s">
        <v>38</v>
      </c>
      <c r="F408" s="3" t="s">
        <v>2391</v>
      </c>
      <c r="G408" s="3" t="s">
        <v>2392</v>
      </c>
    </row>
    <row r="409" spans="1:7">
      <c r="A409" s="6">
        <v>42906</v>
      </c>
      <c r="B409" s="3" t="s">
        <v>2053</v>
      </c>
      <c r="C409" s="3" t="s">
        <v>18</v>
      </c>
      <c r="D409" s="8" t="str">
        <f>HYPERLINK("http://npthd.inbcu.com/ViewContent.aspx?filename=NPMR_CBS_2017-06-20_E.MP4$883$1402","NCIS: the wall")</f>
        <v>NCIS: the wall</v>
      </c>
      <c r="E409" s="3" t="s">
        <v>915</v>
      </c>
      <c r="F409" s="3" t="s">
        <v>2392</v>
      </c>
      <c r="G409" s="3" t="s">
        <v>2393</v>
      </c>
    </row>
    <row r="410" spans="1:7">
      <c r="A410" s="6">
        <v>42906</v>
      </c>
      <c r="B410" s="3" t="s">
        <v>2053</v>
      </c>
      <c r="C410" s="3" t="s">
        <v>21</v>
      </c>
      <c r="D410" s="8" t="str">
        <f>HYPERLINK("http://npthd.inbcu.com/ViewContent.aspx?filename=NPMR_CBS_2017-06-20_E.MP4$1402$1584","COMMERCIAL")</f>
        <v>COMMERCIAL</v>
      </c>
      <c r="E410" s="3" t="s">
        <v>275</v>
      </c>
      <c r="F410" s="3" t="s">
        <v>2393</v>
      </c>
      <c r="G410" s="3" t="s">
        <v>1772</v>
      </c>
    </row>
    <row r="411" spans="1:7">
      <c r="A411" s="6">
        <v>42906</v>
      </c>
      <c r="B411" s="3" t="s">
        <v>2053</v>
      </c>
      <c r="C411" s="3" t="s">
        <v>1618</v>
      </c>
      <c r="D411" s="8" t="str">
        <f>HYPERLINK("http://npthd.inbcu.com/ViewContent.aspx?filename=NPMR_CBS_2017-06-20_E.MP4$1584$1594","PSA")</f>
        <v>PSA</v>
      </c>
      <c r="E411" s="3" t="s">
        <v>197</v>
      </c>
      <c r="F411" s="3" t="s">
        <v>1772</v>
      </c>
      <c r="G411" s="3" t="s">
        <v>1047</v>
      </c>
    </row>
    <row r="412" spans="1:7">
      <c r="A412" s="6">
        <v>42906</v>
      </c>
      <c r="B412" s="3" t="s">
        <v>2053</v>
      </c>
      <c r="C412" s="3" t="s">
        <v>14</v>
      </c>
      <c r="D412" s="8" t="str">
        <f>HYPERLINK("http://npthd.inbcu.com/ViewContent.aspx?filename=NPMR_CBS_2017-06-20_E.MP4$1594$1604","CBS This Morning")</f>
        <v>CBS This Morning</v>
      </c>
      <c r="E412" s="3" t="s">
        <v>197</v>
      </c>
      <c r="F412" s="3" t="s">
        <v>1047</v>
      </c>
      <c r="G412" s="3" t="s">
        <v>2394</v>
      </c>
    </row>
    <row r="413" spans="1:7">
      <c r="A413" s="6">
        <v>42906</v>
      </c>
      <c r="B413" s="3" t="s">
        <v>2053</v>
      </c>
      <c r="C413" s="3" t="s">
        <v>14</v>
      </c>
      <c r="D413" s="8" t="str">
        <f>HYPERLINK("http://npthd.inbcu.com/ViewContent.aspx?filename=NPMR_CBS_2017-06-20_E.MP4$1604$1619","Big Brother")</f>
        <v>Big Brother</v>
      </c>
      <c r="E413" s="3" t="s">
        <v>30</v>
      </c>
      <c r="F413" s="3" t="s">
        <v>2394</v>
      </c>
      <c r="G413" s="3" t="s">
        <v>2395</v>
      </c>
    </row>
    <row r="414" spans="1:7">
      <c r="A414" s="6">
        <v>42906</v>
      </c>
      <c r="B414" s="3" t="s">
        <v>2053</v>
      </c>
      <c r="C414" s="3" t="s">
        <v>14</v>
      </c>
      <c r="D414" s="8" t="str">
        <f>HYPERLINK("http://npthd.inbcu.com/ViewContent.aspx?filename=NPMR_CBS_2017-06-20_E.MP4$1619$1634","CBS All Access")</f>
        <v>CBS All Access</v>
      </c>
      <c r="E414" s="3" t="s">
        <v>30</v>
      </c>
      <c r="F414" s="3" t="s">
        <v>2395</v>
      </c>
      <c r="G414" s="3" t="s">
        <v>2396</v>
      </c>
    </row>
    <row r="415" spans="1:7">
      <c r="A415" s="6">
        <v>42906</v>
      </c>
      <c r="B415" s="3" t="s">
        <v>2053</v>
      </c>
      <c r="C415" s="3" t="s">
        <v>18</v>
      </c>
      <c r="D415" s="8" t="str">
        <f>HYPERLINK("http://npthd.inbcu.com/ViewContent.aspx?filename=NPMR_CBS_2017-06-20_E.MP4$1634$2144","NCIS: the wall")</f>
        <v>NCIS: the wall</v>
      </c>
      <c r="E415" s="3" t="s">
        <v>1888</v>
      </c>
      <c r="F415" s="3" t="s">
        <v>2396</v>
      </c>
      <c r="G415" s="3" t="s">
        <v>2397</v>
      </c>
    </row>
    <row r="416" spans="1:7">
      <c r="A416" s="6">
        <v>42906</v>
      </c>
      <c r="B416" s="3" t="s">
        <v>2053</v>
      </c>
      <c r="C416" s="3" t="s">
        <v>21</v>
      </c>
      <c r="D416" s="8" t="str">
        <f>HYPERLINK("http://npthd.inbcu.com/ViewContent.aspx?filename=NPMR_CBS_2017-06-20_E.MP4$2144$2295","COMMERCIAL")</f>
        <v>COMMERCIAL</v>
      </c>
      <c r="E416" s="3" t="s">
        <v>91</v>
      </c>
      <c r="F416" s="3" t="s">
        <v>2397</v>
      </c>
      <c r="G416" s="3" t="s">
        <v>2398</v>
      </c>
    </row>
    <row r="417" spans="1:7">
      <c r="A417" s="6">
        <v>42906</v>
      </c>
      <c r="B417" s="3" t="s">
        <v>2053</v>
      </c>
      <c r="C417" s="3" t="s">
        <v>14</v>
      </c>
      <c r="D417" s="8" t="str">
        <f>HYPERLINK("http://npthd.inbcu.com/ViewContent.aspx?filename=NPMR_CBS_2017-06-20_E.MP4$2295$2316","Zoo")</f>
        <v>Zoo</v>
      </c>
      <c r="E417" s="3" t="s">
        <v>2067</v>
      </c>
      <c r="F417" s="3" t="s">
        <v>2398</v>
      </c>
      <c r="G417" s="3" t="s">
        <v>2399</v>
      </c>
    </row>
    <row r="418" spans="1:7">
      <c r="A418" s="6">
        <v>42906</v>
      </c>
      <c r="B418" s="3" t="s">
        <v>2053</v>
      </c>
      <c r="C418" s="3" t="s">
        <v>32</v>
      </c>
      <c r="D418" s="8" t="str">
        <f>HYPERLINK("http://npthd.inbcu.com/ViewContent.aspx?filename=NPMR_CBS_2017-06-20_E.MP4$2316$2411","LOCAL")</f>
        <v>LOCAL</v>
      </c>
      <c r="E418" s="3" t="s">
        <v>2076</v>
      </c>
      <c r="F418" s="3" t="s">
        <v>2399</v>
      </c>
      <c r="G418" s="3" t="s">
        <v>2400</v>
      </c>
    </row>
    <row r="419" spans="1:7">
      <c r="A419" s="6">
        <v>42906</v>
      </c>
      <c r="B419" s="3" t="s">
        <v>2053</v>
      </c>
      <c r="C419" s="3" t="s">
        <v>18</v>
      </c>
      <c r="D419" s="8" t="str">
        <f>HYPERLINK("http://npthd.inbcu.com/ViewContent.aspx?filename=NPMR_CBS_2017-06-20_E.MP4$2411$2902","NCIS: the wall")</f>
        <v>NCIS: the wall</v>
      </c>
      <c r="E419" s="3" t="s">
        <v>2401</v>
      </c>
      <c r="F419" s="3" t="s">
        <v>2400</v>
      </c>
      <c r="G419" s="3" t="s">
        <v>2402</v>
      </c>
    </row>
    <row r="420" spans="1:7">
      <c r="A420" s="6">
        <v>42906</v>
      </c>
      <c r="B420" s="3" t="s">
        <v>2053</v>
      </c>
      <c r="C420" s="3" t="s">
        <v>21</v>
      </c>
      <c r="D420" s="8" t="str">
        <f>HYPERLINK("http://npthd.inbcu.com/ViewContent.aspx?filename=NPMR_CBS_2017-06-20_E.MP4$2902$3054","COMMERCIAL")</f>
        <v>COMMERCIAL</v>
      </c>
      <c r="E420" s="3" t="s">
        <v>128</v>
      </c>
      <c r="F420" s="3" t="s">
        <v>2402</v>
      </c>
      <c r="G420" s="3" t="s">
        <v>2403</v>
      </c>
    </row>
    <row r="421" spans="1:7">
      <c r="A421" s="6">
        <v>42906</v>
      </c>
      <c r="B421" s="3" t="s">
        <v>2053</v>
      </c>
      <c r="C421" s="3" t="s">
        <v>14</v>
      </c>
      <c r="D421" s="8" t="str">
        <f>HYPERLINK("http://npthd.inbcu.com/ViewContent.aspx?filename=NPMR_CBS_2017-06-20_E.MP4$3054$3084","Salvation")</f>
        <v>Salvation</v>
      </c>
      <c r="E421" s="3" t="s">
        <v>38</v>
      </c>
      <c r="F421" s="3" t="s">
        <v>2403</v>
      </c>
      <c r="G421" s="3" t="s">
        <v>1892</v>
      </c>
    </row>
    <row r="422" spans="1:7">
      <c r="A422" s="6">
        <v>42906</v>
      </c>
      <c r="B422" s="3" t="s">
        <v>2053</v>
      </c>
      <c r="C422" s="3" t="s">
        <v>32</v>
      </c>
      <c r="D422" s="8" t="str">
        <f>HYPERLINK("http://npthd.inbcu.com/ViewContent.aspx?filename=NPMR_CBS_2017-06-20_E.MP4$3084$3180","LOCAL")</f>
        <v>LOCAL</v>
      </c>
      <c r="E422" s="3" t="s">
        <v>2101</v>
      </c>
      <c r="F422" s="3" t="s">
        <v>1892</v>
      </c>
      <c r="G422" s="3" t="s">
        <v>2404</v>
      </c>
    </row>
    <row r="423" spans="1:7">
      <c r="A423" s="6">
        <v>42906</v>
      </c>
      <c r="B423" s="3" t="s">
        <v>2053</v>
      </c>
      <c r="C423" s="3" t="s">
        <v>18</v>
      </c>
      <c r="D423" s="8" t="str">
        <f>HYPERLINK("http://npthd.inbcu.com/ViewContent.aspx?filename=NPMR_CBS_2017-06-20_E.MP4$3180$3678","NCIS: the wall")</f>
        <v>NCIS: the wall</v>
      </c>
      <c r="E423" s="3" t="s">
        <v>2405</v>
      </c>
      <c r="F423" s="3" t="s">
        <v>2404</v>
      </c>
      <c r="G423" s="3" t="s">
        <v>2282</v>
      </c>
    </row>
    <row r="424" spans="1:7">
      <c r="A424" s="6">
        <v>42906</v>
      </c>
      <c r="B424" s="3" t="s">
        <v>2053</v>
      </c>
      <c r="C424" s="3" t="s">
        <v>21</v>
      </c>
      <c r="D424" s="8" t="str">
        <f>HYPERLINK("http://npthd.inbcu.com/ViewContent.aspx?filename=NPMR_CBS_2017-06-20_E.MP4$3678$3800","COMMERCIAL")</f>
        <v>COMMERCIAL</v>
      </c>
      <c r="E424" s="3" t="s">
        <v>252</v>
      </c>
      <c r="F424" s="3" t="s">
        <v>2282</v>
      </c>
      <c r="G424" s="3" t="s">
        <v>2406</v>
      </c>
    </row>
    <row r="425" spans="1:7">
      <c r="A425" s="6">
        <v>42906</v>
      </c>
      <c r="B425" s="3" t="s">
        <v>2053</v>
      </c>
      <c r="C425" s="3" t="s">
        <v>14</v>
      </c>
      <c r="D425" s="8" t="str">
        <f>HYPERLINK("http://npthd.inbcu.com/ViewContent.aspx?filename=NPMR_CBS_2017-06-20_E.MP4$3800$3810","Big Brother")</f>
        <v>Big Brother</v>
      </c>
      <c r="E425" s="3" t="s">
        <v>197</v>
      </c>
      <c r="F425" s="3" t="s">
        <v>2406</v>
      </c>
      <c r="G425" s="3" t="s">
        <v>634</v>
      </c>
    </row>
    <row r="426" spans="1:7">
      <c r="A426" s="6">
        <v>42906</v>
      </c>
      <c r="B426" s="3" t="s">
        <v>2053</v>
      </c>
      <c r="C426" s="3" t="s">
        <v>14</v>
      </c>
      <c r="D426" s="8" t="str">
        <f>HYPERLINK("http://npthd.inbcu.com/ViewContent.aspx?filename=NPMR_CBS_2017-06-20_E.MP4$3810$3830","Big Brother")</f>
        <v>Big Brother</v>
      </c>
      <c r="E426" s="3" t="s">
        <v>1805</v>
      </c>
      <c r="F426" s="3" t="s">
        <v>634</v>
      </c>
      <c r="G426" s="3" t="s">
        <v>2407</v>
      </c>
    </row>
    <row r="427" spans="1:7">
      <c r="A427" s="6">
        <v>42906</v>
      </c>
      <c r="B427" s="3" t="s">
        <v>2053</v>
      </c>
      <c r="C427" s="3" t="s">
        <v>14</v>
      </c>
      <c r="D427" s="8" t="str">
        <f>HYPERLINK("http://npthd.inbcu.com/ViewContent.aspx?filename=NPMR_CBS_2017-06-20_E.MP4$3830$3851","Bull")</f>
        <v>Bull</v>
      </c>
      <c r="E427" s="3" t="s">
        <v>2067</v>
      </c>
      <c r="F427" s="3" t="s">
        <v>2407</v>
      </c>
      <c r="G427" s="3" t="s">
        <v>2196</v>
      </c>
    </row>
    <row r="428" spans="1:7">
      <c r="A428" s="6">
        <v>42906</v>
      </c>
      <c r="B428" s="3" t="s">
        <v>2053</v>
      </c>
      <c r="C428" s="3" t="s">
        <v>18</v>
      </c>
      <c r="D428" s="8" t="str">
        <f>HYPERLINK("http://npthd.inbcu.com/ViewContent.aspx?filename=NPMR_CBS_2017-06-20_E.MP4$3851$3856","NCIS: the wall")</f>
        <v>NCIS: the wall</v>
      </c>
      <c r="E428" s="3" t="s">
        <v>54</v>
      </c>
      <c r="F428" s="3" t="s">
        <v>2196</v>
      </c>
      <c r="G428" s="3" t="s">
        <v>242</v>
      </c>
    </row>
    <row r="429" spans="1:7">
      <c r="A429" s="6">
        <v>42906</v>
      </c>
      <c r="B429" s="3" t="s">
        <v>2053</v>
      </c>
      <c r="C429" s="3" t="s">
        <v>14</v>
      </c>
      <c r="D429" s="8" t="str">
        <f>HYPERLINK("http://npthd.inbcu.com/ViewContent.aspx?filename=NPMR_CBS_2017-06-20_E.MP4$3856$3860","Late Show with Stephen Colbert")</f>
        <v>Late Show with Stephen Colbert</v>
      </c>
      <c r="E429" s="3" t="s">
        <v>84</v>
      </c>
      <c r="F429" s="3" t="s">
        <v>242</v>
      </c>
      <c r="G429" s="3" t="s">
        <v>988</v>
      </c>
    </row>
    <row r="430" spans="1:7">
      <c r="A430" s="6">
        <v>42906</v>
      </c>
      <c r="B430" s="3" t="s">
        <v>2053</v>
      </c>
      <c r="C430" s="3" t="s">
        <v>18</v>
      </c>
      <c r="D430" s="8" t="str">
        <f>HYPERLINK("http://npthd.inbcu.com/ViewContent.aspx?filename=NPMR_CBS_2017-06-20_E.MP4$3860$4433","BULL: callisto")</f>
        <v>BULL: callisto</v>
      </c>
      <c r="E430" s="3" t="s">
        <v>878</v>
      </c>
      <c r="F430" s="3" t="s">
        <v>988</v>
      </c>
      <c r="G430" s="3" t="s">
        <v>2408</v>
      </c>
    </row>
    <row r="431" spans="1:7">
      <c r="A431" s="6">
        <v>42906</v>
      </c>
      <c r="B431" s="3" t="s">
        <v>2053</v>
      </c>
      <c r="C431" s="3" t="s">
        <v>21</v>
      </c>
      <c r="D431" s="8" t="str">
        <f>HYPERLINK("http://npthd.inbcu.com/ViewContent.aspx?filename=NPMR_CBS_2017-06-20_E.MP4$4433$4594","COMMERCIAL")</f>
        <v>COMMERCIAL</v>
      </c>
      <c r="E431" s="3" t="s">
        <v>2409</v>
      </c>
      <c r="F431" s="3" t="s">
        <v>2408</v>
      </c>
      <c r="G431" s="3" t="s">
        <v>2410</v>
      </c>
    </row>
    <row r="432" spans="1:7">
      <c r="A432" s="6">
        <v>42906</v>
      </c>
      <c r="B432" s="3" t="s">
        <v>2053</v>
      </c>
      <c r="C432" s="3" t="s">
        <v>14</v>
      </c>
      <c r="D432" s="8" t="str">
        <f>HYPERLINK("http://npthd.inbcu.com/ViewContent.aspx?filename=NPMR_CBS_2017-06-20_E.MP4$4594$4614","Big Brother")</f>
        <v>Big Brother</v>
      </c>
      <c r="E432" s="3" t="s">
        <v>1805</v>
      </c>
      <c r="F432" s="3" t="s">
        <v>2410</v>
      </c>
      <c r="G432" s="3" t="s">
        <v>2411</v>
      </c>
    </row>
    <row r="433" spans="1:7">
      <c r="A433" s="6">
        <v>42906</v>
      </c>
      <c r="B433" s="3" t="s">
        <v>2053</v>
      </c>
      <c r="C433" s="3" t="s">
        <v>18</v>
      </c>
      <c r="D433" s="8" t="str">
        <f>HYPERLINK("http://npthd.inbcu.com/ViewContent.aspx?filename=NPMR_CBS_2017-06-20_E.MP4$4614$5081","BULL: callisto")</f>
        <v>BULL: callisto</v>
      </c>
      <c r="E433" s="3" t="s">
        <v>68</v>
      </c>
      <c r="F433" s="3" t="s">
        <v>2411</v>
      </c>
      <c r="G433" s="3" t="s">
        <v>2412</v>
      </c>
    </row>
    <row r="434" spans="1:7">
      <c r="A434" s="6">
        <v>42906</v>
      </c>
      <c r="B434" s="3" t="s">
        <v>2053</v>
      </c>
      <c r="C434" s="3" t="s">
        <v>21</v>
      </c>
      <c r="D434" s="8" t="str">
        <f>HYPERLINK("http://npthd.inbcu.com/ViewContent.aspx?filename=NPMR_CBS_2017-06-20_E.MP4$5081$5232","COMMERCIAL")</f>
        <v>COMMERCIAL</v>
      </c>
      <c r="E434" s="3" t="s">
        <v>91</v>
      </c>
      <c r="F434" s="3" t="s">
        <v>2412</v>
      </c>
      <c r="G434" s="3" t="s">
        <v>2413</v>
      </c>
    </row>
    <row r="435" spans="1:7">
      <c r="A435" s="6">
        <v>42906</v>
      </c>
      <c r="B435" s="3" t="s">
        <v>2053</v>
      </c>
      <c r="C435" s="3" t="s">
        <v>14</v>
      </c>
      <c r="D435" s="8" t="str">
        <f>HYPERLINK("http://npthd.inbcu.com/ViewContent.aspx?filename=NPMR_CBS_2017-06-20_E.MP4$5232$5272","Salvation")</f>
        <v>Salvation</v>
      </c>
      <c r="E435" s="3" t="s">
        <v>619</v>
      </c>
      <c r="F435" s="3" t="s">
        <v>2413</v>
      </c>
      <c r="G435" s="3" t="s">
        <v>2414</v>
      </c>
    </row>
    <row r="436" spans="1:7">
      <c r="A436" s="6">
        <v>42906</v>
      </c>
      <c r="B436" s="3" t="s">
        <v>2053</v>
      </c>
      <c r="C436" s="3" t="s">
        <v>18</v>
      </c>
      <c r="D436" s="8" t="str">
        <f>HYPERLINK("http://npthd.inbcu.com/ViewContent.aspx?filename=NPMR_CBS_2017-06-20_E.MP4$5272$5825","BULL: callisto")</f>
        <v>BULL: callisto</v>
      </c>
      <c r="E436" s="3" t="s">
        <v>2415</v>
      </c>
      <c r="F436" s="3" t="s">
        <v>2414</v>
      </c>
      <c r="G436" s="3" t="s">
        <v>2416</v>
      </c>
    </row>
    <row r="437" spans="1:7">
      <c r="A437" s="6">
        <v>42906</v>
      </c>
      <c r="B437" s="3" t="s">
        <v>2053</v>
      </c>
      <c r="C437" s="3" t="s">
        <v>21</v>
      </c>
      <c r="D437" s="8" t="str">
        <f>HYPERLINK("http://npthd.inbcu.com/ViewContent.aspx?filename=NPMR_CBS_2017-06-20_E.MP4$5825$6007","COMMERCIAL")</f>
        <v>COMMERCIAL</v>
      </c>
      <c r="E437" s="3" t="s">
        <v>275</v>
      </c>
      <c r="F437" s="3" t="s">
        <v>2416</v>
      </c>
      <c r="G437" s="3" t="s">
        <v>2417</v>
      </c>
    </row>
    <row r="438" spans="1:7">
      <c r="A438" s="6">
        <v>42906</v>
      </c>
      <c r="B438" s="3" t="s">
        <v>2053</v>
      </c>
      <c r="C438" s="3" t="s">
        <v>32</v>
      </c>
      <c r="D438" s="8" t="str">
        <f>HYPERLINK("http://npthd.inbcu.com/ViewContent.aspx?filename=NPMR_CBS_2017-06-20_E.MP4$6007$6012","LOCAL")</f>
        <v>LOCAL</v>
      </c>
      <c r="E438" s="3" t="s">
        <v>54</v>
      </c>
      <c r="F438" s="3" t="s">
        <v>2417</v>
      </c>
      <c r="G438" s="3" t="s">
        <v>2418</v>
      </c>
    </row>
    <row r="439" spans="1:7">
      <c r="A439" s="6">
        <v>42906</v>
      </c>
      <c r="B439" s="3" t="s">
        <v>2053</v>
      </c>
      <c r="C439" s="3" t="s">
        <v>18</v>
      </c>
      <c r="D439" s="8" t="str">
        <f>HYPERLINK("http://npthd.inbcu.com/ViewContent.aspx?filename=NPMR_CBS_2017-06-20_E.MP4$6012$6316","BULL: callisto")</f>
        <v>BULL: callisto</v>
      </c>
      <c r="E439" s="3" t="s">
        <v>1425</v>
      </c>
      <c r="F439" s="3" t="s">
        <v>2418</v>
      </c>
      <c r="G439" s="3" t="s">
        <v>2419</v>
      </c>
    </row>
    <row r="440" spans="1:7">
      <c r="A440" s="6">
        <v>42906</v>
      </c>
      <c r="B440" s="3" t="s">
        <v>2053</v>
      </c>
      <c r="C440" s="3" t="s">
        <v>21</v>
      </c>
      <c r="D440" s="8" t="str">
        <f>HYPERLINK("http://npthd.inbcu.com/ViewContent.aspx?filename=NPMR_CBS_2017-06-20_E.MP4$6316$6467","COMMERCIAL")</f>
        <v>COMMERCIAL</v>
      </c>
      <c r="E440" s="3" t="s">
        <v>91</v>
      </c>
      <c r="F440" s="3" t="s">
        <v>2419</v>
      </c>
      <c r="G440" s="3" t="s">
        <v>2420</v>
      </c>
    </row>
    <row r="441" spans="1:7">
      <c r="A441" s="6">
        <v>42906</v>
      </c>
      <c r="B441" s="3" t="s">
        <v>2053</v>
      </c>
      <c r="C441" s="3" t="s">
        <v>32</v>
      </c>
      <c r="D441" s="8" t="str">
        <f>HYPERLINK("http://npthd.inbcu.com/ViewContent.aspx?filename=NPMR_CBS_2017-06-20_E.MP4$6467$6534","LOCAL")</f>
        <v>LOCAL</v>
      </c>
      <c r="E441" s="3" t="s">
        <v>2421</v>
      </c>
      <c r="F441" s="3" t="s">
        <v>2420</v>
      </c>
      <c r="G441" s="3" t="s">
        <v>2422</v>
      </c>
    </row>
    <row r="442" spans="1:7">
      <c r="A442" s="6">
        <v>42906</v>
      </c>
      <c r="B442" s="3" t="s">
        <v>2053</v>
      </c>
      <c r="C442" s="3" t="s">
        <v>18</v>
      </c>
      <c r="D442" s="8" t="str">
        <f>HYPERLINK("http://npthd.inbcu.com/ViewContent.aspx?filename=NPMR_CBS_2017-06-20_E.MP4$6534$7062","BULL: callisto")</f>
        <v>BULL: callisto</v>
      </c>
      <c r="E442" s="3" t="s">
        <v>532</v>
      </c>
      <c r="F442" s="3" t="s">
        <v>2422</v>
      </c>
      <c r="G442" s="3" t="s">
        <v>2423</v>
      </c>
    </row>
    <row r="443" spans="1:7">
      <c r="A443" s="6">
        <v>42906</v>
      </c>
      <c r="B443" s="3" t="s">
        <v>2053</v>
      </c>
      <c r="C443" s="3" t="s">
        <v>21</v>
      </c>
      <c r="D443" s="8" t="str">
        <f>HYPERLINK("http://npthd.inbcu.com/ViewContent.aspx?filename=NPMR_CBS_2017-06-20_E.MP4$7062$7214","COMMERCIAL")</f>
        <v>COMMERCIAL</v>
      </c>
      <c r="E443" s="3" t="s">
        <v>128</v>
      </c>
      <c r="F443" s="3" t="s">
        <v>2423</v>
      </c>
      <c r="G443" s="3" t="s">
        <v>2424</v>
      </c>
    </row>
    <row r="444" spans="1:7">
      <c r="A444" s="6">
        <v>42906</v>
      </c>
      <c r="B444" s="3" t="s">
        <v>2053</v>
      </c>
      <c r="C444" s="3" t="s">
        <v>14</v>
      </c>
      <c r="D444" s="8" t="str">
        <f>HYPERLINK("http://npthd.inbcu.com/ViewContent.aspx?filename=NPMR_CBS_2017-06-20_E.MP4$7214$7234","Zoo")</f>
        <v>Zoo</v>
      </c>
      <c r="E444" s="3" t="s">
        <v>1805</v>
      </c>
      <c r="F444" s="3" t="s">
        <v>2424</v>
      </c>
      <c r="G444" s="3" t="s">
        <v>2425</v>
      </c>
    </row>
    <row r="445" spans="1:7">
      <c r="A445" s="6">
        <v>42906</v>
      </c>
      <c r="B445" s="3" t="s">
        <v>2053</v>
      </c>
      <c r="C445" s="3" t="s">
        <v>14</v>
      </c>
      <c r="D445" s="8" t="str">
        <f>HYPERLINK("http://npthd.inbcu.com/ViewContent.aspx?filename=NPMR_CBS_2017-06-20_E.MP4$7234$7256","Big Bang Theory")</f>
        <v>Big Bang Theory</v>
      </c>
      <c r="E445" s="3" t="s">
        <v>2124</v>
      </c>
      <c r="F445" s="3" t="s">
        <v>2425</v>
      </c>
      <c r="G445" s="3" t="s">
        <v>2426</v>
      </c>
    </row>
    <row r="446" spans="1:7">
      <c r="A446" s="6">
        <v>42906</v>
      </c>
      <c r="B446" s="3" t="s">
        <v>2053</v>
      </c>
      <c r="C446" s="3" t="s">
        <v>18</v>
      </c>
      <c r="D446" s="8" t="str">
        <f>HYPERLINK("http://npthd.inbcu.com/ViewContent.aspx?filename=NPMR_CBS_2017-06-20_E.MP4$7256$7261","BULL: callisto")</f>
        <v>BULL: callisto</v>
      </c>
      <c r="E446" s="3" t="s">
        <v>54</v>
      </c>
      <c r="F446" s="3" t="s">
        <v>2426</v>
      </c>
      <c r="G446" s="3" t="s">
        <v>2427</v>
      </c>
    </row>
    <row r="447" spans="1:7">
      <c r="A447" s="6">
        <v>42906</v>
      </c>
      <c r="B447" s="3" t="s">
        <v>2053</v>
      </c>
      <c r="C447" s="3" t="s">
        <v>18</v>
      </c>
      <c r="D447" s="8" t="str">
        <f>HYPERLINK("http://npthd.inbcu.com/ViewContent.aspx?filename=NPMR_CBS_2017-06-20_E.MP4$7261$7653","NCIS: NEW ORLEANS: music to my ears")</f>
        <v>NCIS: NEW ORLEANS: music to my ears</v>
      </c>
      <c r="E447" s="3" t="s">
        <v>1222</v>
      </c>
      <c r="F447" s="3" t="s">
        <v>2427</v>
      </c>
      <c r="G447" s="3" t="s">
        <v>2428</v>
      </c>
    </row>
    <row r="448" spans="1:7">
      <c r="A448" s="6">
        <v>42906</v>
      </c>
      <c r="B448" s="3" t="s">
        <v>2053</v>
      </c>
      <c r="C448" s="3" t="s">
        <v>21</v>
      </c>
      <c r="D448" s="8" t="str">
        <f>HYPERLINK("http://npthd.inbcu.com/ViewContent.aspx?filename=NPMR_CBS_2017-06-20_E.MP4$7653$7805","COMMERCIAL")</f>
        <v>COMMERCIAL</v>
      </c>
      <c r="E448" s="3" t="s">
        <v>128</v>
      </c>
      <c r="F448" s="3" t="s">
        <v>2428</v>
      </c>
      <c r="G448" s="3" t="s">
        <v>2429</v>
      </c>
    </row>
    <row r="449" spans="1:7">
      <c r="A449" s="6">
        <v>42906</v>
      </c>
      <c r="B449" s="3" t="s">
        <v>2053</v>
      </c>
      <c r="C449" s="3" t="s">
        <v>14</v>
      </c>
      <c r="D449" s="8" t="str">
        <f>HYPERLINK("http://npthd.inbcu.com/ViewContent.aspx?filename=NPMR_CBS_2017-06-20_E.MP4$7805$7815","Big Brother")</f>
        <v>Big Brother</v>
      </c>
      <c r="E449" s="3" t="s">
        <v>197</v>
      </c>
      <c r="F449" s="3" t="s">
        <v>2429</v>
      </c>
      <c r="G449" s="3" t="s">
        <v>2430</v>
      </c>
    </row>
    <row r="450" spans="1:7">
      <c r="A450" s="6">
        <v>42906</v>
      </c>
      <c r="B450" s="3" t="s">
        <v>2053</v>
      </c>
      <c r="C450" s="3" t="s">
        <v>14</v>
      </c>
      <c r="D450" s="8" t="str">
        <f>HYPERLINK("http://npthd.inbcu.com/ViewContent.aspx?filename=NPMR_CBS_2017-06-20_E.MP4$7815$7835","Salvation")</f>
        <v>Salvation</v>
      </c>
      <c r="E450" s="3" t="s">
        <v>1805</v>
      </c>
      <c r="F450" s="3" t="s">
        <v>2430</v>
      </c>
      <c r="G450" s="3" t="s">
        <v>2431</v>
      </c>
    </row>
    <row r="451" spans="1:7">
      <c r="A451" s="6">
        <v>42906</v>
      </c>
      <c r="B451" s="3" t="s">
        <v>2053</v>
      </c>
      <c r="C451" s="3" t="s">
        <v>18</v>
      </c>
      <c r="D451" s="8" t="str">
        <f>HYPERLINK("http://npthd.inbcu.com/ViewContent.aspx?filename=NPMR_CBS_2017-06-20_E.MP4$7835$8472","NCIS: NEW ORLEANS: music to my ears")</f>
        <v>NCIS: NEW ORLEANS: music to my ears</v>
      </c>
      <c r="E451" s="3" t="s">
        <v>1074</v>
      </c>
      <c r="F451" s="3" t="s">
        <v>2431</v>
      </c>
      <c r="G451" s="3" t="s">
        <v>2432</v>
      </c>
    </row>
    <row r="452" spans="1:7">
      <c r="A452" s="6">
        <v>42906</v>
      </c>
      <c r="B452" s="3" t="s">
        <v>2053</v>
      </c>
      <c r="C452" s="3" t="s">
        <v>21</v>
      </c>
      <c r="D452" s="8" t="str">
        <f>HYPERLINK("http://npthd.inbcu.com/ViewContent.aspx?filename=NPMR_CBS_2017-06-20_E.MP4$8472$8654","COMMERCIAL")</f>
        <v>COMMERCIAL</v>
      </c>
      <c r="E452" s="3" t="s">
        <v>275</v>
      </c>
      <c r="F452" s="3" t="s">
        <v>2432</v>
      </c>
      <c r="G452" s="3" t="s">
        <v>2433</v>
      </c>
    </row>
    <row r="453" spans="1:7">
      <c r="A453" s="6">
        <v>42906</v>
      </c>
      <c r="B453" s="3" t="s">
        <v>2053</v>
      </c>
      <c r="C453" s="3" t="s">
        <v>14</v>
      </c>
      <c r="D453" s="8" t="str">
        <f>HYPERLINK("http://npthd.inbcu.com/ViewContent.aspx?filename=NPMR_CBS_2017-06-20_E.MP4$8654$8660","Zoo")</f>
        <v>Zoo</v>
      </c>
      <c r="E453" s="3" t="s">
        <v>15</v>
      </c>
      <c r="F453" s="3" t="s">
        <v>2433</v>
      </c>
      <c r="G453" s="3" t="s">
        <v>2434</v>
      </c>
    </row>
    <row r="454" spans="1:7">
      <c r="A454" s="6">
        <v>42906</v>
      </c>
      <c r="B454" s="3" t="s">
        <v>2053</v>
      </c>
      <c r="C454" s="3" t="s">
        <v>18</v>
      </c>
      <c r="D454" s="8" t="str">
        <f>HYPERLINK("http://npthd.inbcu.com/ViewContent.aspx?filename=NPMR_CBS_2017-06-20_E.MP4$8660$9313","NCIS: NEW ORLEANS: music to my ears")</f>
        <v>NCIS: NEW ORLEANS: music to my ears</v>
      </c>
      <c r="E454" s="3" t="s">
        <v>2435</v>
      </c>
      <c r="F454" s="3" t="s">
        <v>2434</v>
      </c>
      <c r="G454" s="3" t="s">
        <v>2436</v>
      </c>
    </row>
    <row r="455" spans="1:7">
      <c r="A455" s="6">
        <v>42906</v>
      </c>
      <c r="B455" s="3" t="s">
        <v>2053</v>
      </c>
      <c r="C455" s="3" t="s">
        <v>21</v>
      </c>
      <c r="D455" s="8" t="str">
        <f>HYPERLINK("http://npthd.inbcu.com/ViewContent.aspx?filename=NPMR_CBS_2017-06-20_E.MP4$9313$9434","COMMERCIAL")</f>
        <v>COMMERCIAL</v>
      </c>
      <c r="E455" s="3" t="s">
        <v>175</v>
      </c>
      <c r="F455" s="3" t="s">
        <v>2436</v>
      </c>
      <c r="G455" s="3" t="s">
        <v>2437</v>
      </c>
    </row>
    <row r="456" spans="1:7">
      <c r="A456" s="6">
        <v>42906</v>
      </c>
      <c r="B456" s="3" t="s">
        <v>2053</v>
      </c>
      <c r="C456" s="3" t="s">
        <v>32</v>
      </c>
      <c r="D456" s="8" t="str">
        <f>HYPERLINK("http://npthd.inbcu.com/ViewContent.aspx?filename=NPMR_CBS_2017-06-20_E.MP4$9434$9574","LOCAL")</f>
        <v>LOCAL</v>
      </c>
      <c r="E456" s="3" t="s">
        <v>623</v>
      </c>
      <c r="F456" s="3" t="s">
        <v>2437</v>
      </c>
      <c r="G456" s="3" t="s">
        <v>2438</v>
      </c>
    </row>
    <row r="457" spans="1:7">
      <c r="A457" s="6">
        <v>42906</v>
      </c>
      <c r="B457" s="3" t="s">
        <v>2053</v>
      </c>
      <c r="C457" s="3" t="s">
        <v>18</v>
      </c>
      <c r="D457" s="8" t="str">
        <f>HYPERLINK("http://npthd.inbcu.com/ViewContent.aspx?filename=NPMR_CBS_2017-06-20_E.MP4$9574$10016","NCIS: NEW ORLEANS: music to my ears")</f>
        <v>NCIS: NEW ORLEANS: music to my ears</v>
      </c>
      <c r="E457" s="3" t="s">
        <v>950</v>
      </c>
      <c r="F457" s="3" t="s">
        <v>2438</v>
      </c>
      <c r="G457" s="3" t="s">
        <v>2439</v>
      </c>
    </row>
    <row r="458" spans="1:7">
      <c r="A458" s="6">
        <v>42906</v>
      </c>
      <c r="B458" s="3" t="s">
        <v>2053</v>
      </c>
      <c r="C458" s="3" t="s">
        <v>21</v>
      </c>
      <c r="D458" s="8" t="str">
        <f>HYPERLINK("http://npthd.inbcu.com/ViewContent.aspx?filename=NPMR_CBS_2017-06-20_E.MP4$10016$10198","COMMERCIAL")</f>
        <v>COMMERCIAL</v>
      </c>
      <c r="E458" s="3" t="s">
        <v>275</v>
      </c>
      <c r="F458" s="3" t="s">
        <v>2439</v>
      </c>
      <c r="G458" s="3" t="s">
        <v>113</v>
      </c>
    </row>
    <row r="459" spans="1:7">
      <c r="A459" s="6">
        <v>42906</v>
      </c>
      <c r="B459" s="3" t="s">
        <v>2053</v>
      </c>
      <c r="C459" s="3" t="s">
        <v>32</v>
      </c>
      <c r="D459" s="8" t="str">
        <f>HYPERLINK("http://npthd.inbcu.com/ViewContent.aspx?filename=NPMR_CBS_2017-06-20_E.MP4$10198$10208","LOCAL")</f>
        <v>LOCAL</v>
      </c>
      <c r="E459" s="3" t="s">
        <v>197</v>
      </c>
      <c r="F459" s="3" t="s">
        <v>113</v>
      </c>
      <c r="G459" s="3" t="s">
        <v>2440</v>
      </c>
    </row>
    <row r="460" spans="1:7">
      <c r="A460" s="6">
        <v>42906</v>
      </c>
      <c r="B460" s="3" t="s">
        <v>2053</v>
      </c>
      <c r="C460" s="3" t="s">
        <v>14</v>
      </c>
      <c r="D460" s="8" t="str">
        <f>HYPERLINK("http://npthd.inbcu.com/ViewContent.aspx?filename=NPMR_CBS_2017-06-20_E.MP4$10208$10218","Talk, The")</f>
        <v>Talk, The</v>
      </c>
      <c r="E460" s="3" t="s">
        <v>197</v>
      </c>
      <c r="F460" s="3" t="s">
        <v>2440</v>
      </c>
      <c r="G460" s="3" t="s">
        <v>1599</v>
      </c>
    </row>
    <row r="461" spans="1:7">
      <c r="A461" s="6">
        <v>42906</v>
      </c>
      <c r="B461" s="3" t="s">
        <v>2053</v>
      </c>
      <c r="C461" s="3" t="s">
        <v>32</v>
      </c>
      <c r="D461" s="8" t="str">
        <f>HYPERLINK("http://npthd.inbcu.com/ViewContent.aspx?filename=NPMR_CBS_2017-06-20_E.MP4$10218$10313","LOCAL")</f>
        <v>LOCAL</v>
      </c>
      <c r="E461" s="3" t="s">
        <v>2076</v>
      </c>
      <c r="F461" s="3" t="s">
        <v>1599</v>
      </c>
      <c r="G461" s="3" t="s">
        <v>2441</v>
      </c>
    </row>
    <row r="462" spans="1:7">
      <c r="A462" s="6">
        <v>42906</v>
      </c>
      <c r="B462" s="3" t="s">
        <v>2053</v>
      </c>
      <c r="C462" s="3" t="s">
        <v>18</v>
      </c>
      <c r="D462" s="8" t="str">
        <f>HYPERLINK("http://npthd.inbcu.com/ViewContent.aspx?filename=NPMR_CBS_2017-06-20_E.MP4$10313$10745","NCIS: NEW ORLEANS: music to my ears")</f>
        <v>NCIS: NEW ORLEANS: music to my ears</v>
      </c>
      <c r="E462" s="3" t="s">
        <v>1372</v>
      </c>
      <c r="F462" s="3" t="s">
        <v>2441</v>
      </c>
      <c r="G462" s="3" t="s">
        <v>2442</v>
      </c>
    </row>
    <row r="463" spans="1:7">
      <c r="A463" s="6">
        <v>42906</v>
      </c>
      <c r="B463" s="3" t="s">
        <v>2053</v>
      </c>
      <c r="C463" s="3" t="s">
        <v>32</v>
      </c>
      <c r="D463" s="8" t="str">
        <f>HYPERLINK("http://npthd.inbcu.com/ViewContent.aspx?filename=NPMR_CBS_2017-06-20_E.MP4$10745$10757","LOCAL")</f>
        <v>LOCAL</v>
      </c>
      <c r="E463" s="3" t="s">
        <v>2057</v>
      </c>
      <c r="F463" s="3" t="s">
        <v>2442</v>
      </c>
      <c r="G463" s="3" t="s">
        <v>1103</v>
      </c>
    </row>
    <row r="464" spans="1:7">
      <c r="A464" s="6">
        <v>42906</v>
      </c>
      <c r="B464" s="3" t="s">
        <v>2053</v>
      </c>
      <c r="C464" s="3" t="s">
        <v>21</v>
      </c>
      <c r="D464" s="8" t="str">
        <f>HYPERLINK("http://npthd.inbcu.com/ViewContent.aspx?filename=NPMR_CBS_2017-06-20_E.MP4$10757$10817","COMMERCIAL")</f>
        <v>COMMERCIAL</v>
      </c>
      <c r="E464" s="3" t="s">
        <v>66</v>
      </c>
      <c r="F464" s="3" t="s">
        <v>1103</v>
      </c>
      <c r="G464" s="3" t="s">
        <v>2443</v>
      </c>
    </row>
    <row r="465" spans="1:7">
      <c r="A465" s="6">
        <v>42906</v>
      </c>
      <c r="B465" s="3" t="s">
        <v>2053</v>
      </c>
      <c r="C465" s="3" t="s">
        <v>14</v>
      </c>
      <c r="D465" s="8" t="str">
        <f>HYPERLINK("http://npthd.inbcu.com/ViewContent.aspx?filename=NPMR_CBS_2017-06-20_E.MP4$10817$10822","Late Show with Stephen Colbert")</f>
        <v>Late Show with Stephen Colbert</v>
      </c>
      <c r="E465" s="3" t="s">
        <v>54</v>
      </c>
      <c r="F465" s="3" t="s">
        <v>2443</v>
      </c>
      <c r="G465" s="3" t="s">
        <v>2444</v>
      </c>
    </row>
    <row r="466" spans="1:7">
      <c r="A466" s="6">
        <v>42906</v>
      </c>
      <c r="B466" s="3" t="s">
        <v>2053</v>
      </c>
      <c r="C466" s="3" t="s">
        <v>14</v>
      </c>
      <c r="D466" s="8" t="str">
        <f>HYPERLINK("http://npthd.inbcu.com/ViewContent.aspx?filename=NPMR_CBS_2017-06-20_E.MP4$10822$10844","Zoo")</f>
        <v>Zoo</v>
      </c>
      <c r="E466" s="3" t="s">
        <v>2124</v>
      </c>
      <c r="F466" s="3" t="s">
        <v>2444</v>
      </c>
      <c r="G466" s="3" t="s">
        <v>2445</v>
      </c>
    </row>
    <row r="467" spans="1:7">
      <c r="A467" s="6">
        <v>42906</v>
      </c>
      <c r="B467" s="3" t="s">
        <v>2053</v>
      </c>
      <c r="C467" s="3" t="s">
        <v>18</v>
      </c>
      <c r="D467" s="8" t="str">
        <f>HYPERLINK("http://npthd.inbcu.com/ViewContent.aspx?filename=NPMR_CBS_2017-06-20_E.MP4$10844$10849","NCIS: NEW ORLEANS: music to my ears")</f>
        <v>NCIS: NEW ORLEANS: music to my ears</v>
      </c>
      <c r="E467" s="3" t="s">
        <v>54</v>
      </c>
      <c r="F467" s="3" t="s">
        <v>2445</v>
      </c>
      <c r="G467" s="3" t="s">
        <v>1761</v>
      </c>
    </row>
    <row r="468" spans="1:7">
      <c r="A468" s="6">
        <v>42906</v>
      </c>
      <c r="B468" s="3" t="s">
        <v>2053</v>
      </c>
      <c r="C468" s="3" t="s">
        <v>32</v>
      </c>
      <c r="D468" s="8" t="str">
        <f>HYPERLINK("http://npthd.inbcu.com/ViewContent.aspx?filename=NPMR_CBS_2017-06-20_E.MP4$10849$11056","LOCAL")</f>
        <v>LOCAL</v>
      </c>
      <c r="E468" s="3" t="s">
        <v>2446</v>
      </c>
      <c r="F468" s="3" t="s">
        <v>1761</v>
      </c>
      <c r="G468" s="3" t="s">
        <v>124</v>
      </c>
    </row>
    <row r="469" spans="1:7">
      <c r="A469" s="6">
        <v>42907</v>
      </c>
      <c r="B469" s="3" t="s">
        <v>2053</v>
      </c>
      <c r="C469" s="3" t="s">
        <v>18</v>
      </c>
      <c r="D469" s="8" t="str">
        <f>HYPERLINK("http://npthd.inbcu.com/ViewContent.aspx?filename=NPMR_CBS_2017-06-21_E.MP4$215$284","UNDERCOVER BOSS: celebrity undercover boss: marcus samuelsson")</f>
        <v>UNDERCOVER BOSS: celebrity undercover boss: marcus samuelsson</v>
      </c>
      <c r="E469" s="3" t="s">
        <v>2447</v>
      </c>
      <c r="F469" s="3" t="s">
        <v>16</v>
      </c>
      <c r="G469" s="3" t="s">
        <v>2448</v>
      </c>
    </row>
    <row r="470" spans="1:7">
      <c r="A470" s="6">
        <v>42907</v>
      </c>
      <c r="B470" s="3" t="s">
        <v>2053</v>
      </c>
      <c r="C470" s="3" t="s">
        <v>21</v>
      </c>
      <c r="D470" s="8" t="str">
        <f>HYPERLINK("http://npthd.inbcu.com/ViewContent.aspx?filename=NPMR_CBS_2017-06-21_E.MP4$284$406","COMMERCIAL")</f>
        <v>COMMERCIAL</v>
      </c>
      <c r="E470" s="3" t="s">
        <v>252</v>
      </c>
      <c r="F470" s="3" t="s">
        <v>2448</v>
      </c>
      <c r="G470" s="3" t="s">
        <v>2449</v>
      </c>
    </row>
    <row r="471" spans="1:7">
      <c r="A471" s="6">
        <v>42907</v>
      </c>
      <c r="B471" s="3" t="s">
        <v>2053</v>
      </c>
      <c r="C471" s="3" t="s">
        <v>14</v>
      </c>
      <c r="D471" s="8" t="str">
        <f>HYPERLINK("http://npthd.inbcu.com/ViewContent.aspx?filename=NPMR_CBS_2017-06-21_E.MP4$406$426","Candy Crush")</f>
        <v>Candy Crush</v>
      </c>
      <c r="E471" s="3" t="s">
        <v>1805</v>
      </c>
      <c r="F471" s="3" t="s">
        <v>2449</v>
      </c>
      <c r="G471" s="3" t="s">
        <v>2450</v>
      </c>
    </row>
    <row r="472" spans="1:7">
      <c r="A472" s="6">
        <v>42907</v>
      </c>
      <c r="B472" s="3" t="s">
        <v>2053</v>
      </c>
      <c r="C472" s="3" t="s">
        <v>18</v>
      </c>
      <c r="D472" s="8" t="str">
        <f>HYPERLINK("http://npthd.inbcu.com/ViewContent.aspx?filename=NPMR_CBS_2017-06-21_E.MP4$426$1110","UNDERCOVER BOSS: celebrity undercover boss: marcus samuelsson")</f>
        <v>UNDERCOVER BOSS: celebrity undercover boss: marcus samuelsson</v>
      </c>
      <c r="E472" s="3" t="s">
        <v>526</v>
      </c>
      <c r="F472" s="3" t="s">
        <v>2450</v>
      </c>
      <c r="G472" s="3" t="s">
        <v>2451</v>
      </c>
    </row>
    <row r="473" spans="1:7">
      <c r="A473" s="6">
        <v>42907</v>
      </c>
      <c r="B473" s="3" t="s">
        <v>2053</v>
      </c>
      <c r="C473" s="3" t="s">
        <v>21</v>
      </c>
      <c r="D473" s="8" t="str">
        <f>HYPERLINK("http://npthd.inbcu.com/ViewContent.aspx?filename=NPMR_CBS_2017-06-21_E.MP4$1110$1232","COMMERCIAL")</f>
        <v>COMMERCIAL</v>
      </c>
      <c r="E473" s="3" t="s">
        <v>252</v>
      </c>
      <c r="F473" s="3" t="s">
        <v>2451</v>
      </c>
      <c r="G473" s="3" t="s">
        <v>2324</v>
      </c>
    </row>
    <row r="474" spans="1:7">
      <c r="A474" s="6">
        <v>42907</v>
      </c>
      <c r="B474" s="3" t="s">
        <v>2053</v>
      </c>
      <c r="C474" s="3" t="s">
        <v>1618</v>
      </c>
      <c r="D474" s="8" t="str">
        <f>HYPERLINK("http://npthd.inbcu.com/ViewContent.aspx?filename=NPMR_CBS_2017-06-21_E.MP4$1232$1242","PSA")</f>
        <v>PSA</v>
      </c>
      <c r="E474" s="3" t="s">
        <v>197</v>
      </c>
      <c r="F474" s="3" t="s">
        <v>2324</v>
      </c>
      <c r="G474" s="3" t="s">
        <v>2325</v>
      </c>
    </row>
    <row r="475" spans="1:7">
      <c r="A475" s="6">
        <v>42907</v>
      </c>
      <c r="B475" s="3" t="s">
        <v>2053</v>
      </c>
      <c r="C475" s="3" t="s">
        <v>14</v>
      </c>
      <c r="D475" s="8" t="str">
        <f>HYPERLINK("http://npthd.inbcu.com/ViewContent.aspx?filename=NPMR_CBS_2017-06-21_E.MP4$1242$1262","Big Brother")</f>
        <v>Big Brother</v>
      </c>
      <c r="E475" s="3" t="s">
        <v>1805</v>
      </c>
      <c r="F475" s="3" t="s">
        <v>2325</v>
      </c>
      <c r="G475" s="3" t="s">
        <v>2452</v>
      </c>
    </row>
    <row r="476" spans="1:7">
      <c r="A476" s="6">
        <v>42907</v>
      </c>
      <c r="B476" s="3" t="s">
        <v>2053</v>
      </c>
      <c r="C476" s="3" t="s">
        <v>14</v>
      </c>
      <c r="D476" s="8" t="str">
        <f>HYPERLINK("http://npthd.inbcu.com/ViewContent.aspx?filename=NPMR_CBS_2017-06-21_E.MP4$1262$1282","Salvation")</f>
        <v>Salvation</v>
      </c>
      <c r="E476" s="3" t="s">
        <v>1805</v>
      </c>
      <c r="F476" s="3" t="s">
        <v>2452</v>
      </c>
      <c r="G476" s="3" t="s">
        <v>2453</v>
      </c>
    </row>
    <row r="477" spans="1:7">
      <c r="A477" s="6">
        <v>42907</v>
      </c>
      <c r="B477" s="3" t="s">
        <v>2053</v>
      </c>
      <c r="C477" s="3" t="s">
        <v>18</v>
      </c>
      <c r="D477" s="8" t="str">
        <f>HYPERLINK("http://npthd.inbcu.com/ViewContent.aspx?filename=NPMR_CBS_2017-06-21_E.MP4$1282$1727","UNDERCOVER BOSS: celebrity undercover boss: marcus samuelsson")</f>
        <v>UNDERCOVER BOSS: celebrity undercover boss: marcus samuelsson</v>
      </c>
      <c r="E477" s="3" t="s">
        <v>426</v>
      </c>
      <c r="F477" s="3" t="s">
        <v>2453</v>
      </c>
      <c r="G477" s="3" t="s">
        <v>34</v>
      </c>
    </row>
    <row r="478" spans="1:7">
      <c r="A478" s="6">
        <v>42907</v>
      </c>
      <c r="B478" s="3" t="s">
        <v>2053</v>
      </c>
      <c r="C478" s="3" t="s">
        <v>21</v>
      </c>
      <c r="D478" s="8" t="str">
        <f>HYPERLINK("http://npthd.inbcu.com/ViewContent.aspx?filename=NPMR_CBS_2017-06-21_E.MP4$1727$1863","COMMERCIAL")</f>
        <v>COMMERCIAL</v>
      </c>
      <c r="E478" s="3" t="s">
        <v>668</v>
      </c>
      <c r="F478" s="3" t="s">
        <v>34</v>
      </c>
      <c r="G478" s="3" t="s">
        <v>2454</v>
      </c>
    </row>
    <row r="479" spans="1:7">
      <c r="A479" s="6">
        <v>42907</v>
      </c>
      <c r="B479" s="3" t="s">
        <v>2053</v>
      </c>
      <c r="C479" s="3" t="s">
        <v>14</v>
      </c>
      <c r="D479" s="8" t="str">
        <f>HYPERLINK("http://npthd.inbcu.com/ViewContent.aspx?filename=NPMR_CBS_2017-06-21_E.MP4$1863$1872","CBS This Morning")</f>
        <v>CBS This Morning</v>
      </c>
      <c r="E479" s="3" t="s">
        <v>2074</v>
      </c>
      <c r="F479" s="3" t="s">
        <v>2454</v>
      </c>
      <c r="G479" s="3" t="s">
        <v>2455</v>
      </c>
    </row>
    <row r="480" spans="1:7">
      <c r="A480" s="6">
        <v>42907</v>
      </c>
      <c r="B480" s="3" t="s">
        <v>2053</v>
      </c>
      <c r="C480" s="3" t="s">
        <v>14</v>
      </c>
      <c r="D480" s="8" t="str">
        <f>HYPERLINK("http://npthd.inbcu.com/ViewContent.aspx?filename=NPMR_CBS_2017-06-21_E.MP4$1872$1877","Salvation")</f>
        <v>Salvation</v>
      </c>
      <c r="E480" s="3" t="s">
        <v>54</v>
      </c>
      <c r="F480" s="3" t="s">
        <v>2455</v>
      </c>
      <c r="G480" s="3" t="s">
        <v>2456</v>
      </c>
    </row>
    <row r="481" spans="1:7">
      <c r="A481" s="6">
        <v>42907</v>
      </c>
      <c r="B481" s="3" t="s">
        <v>2053</v>
      </c>
      <c r="C481" s="3" t="s">
        <v>32</v>
      </c>
      <c r="D481" s="8" t="str">
        <f>HYPERLINK("http://npthd.inbcu.com/ViewContent.aspx?filename=NPMR_CBS_2017-06-21_E.MP4$1877$1942","LOCAL")</f>
        <v>LOCAL</v>
      </c>
      <c r="E481" s="3" t="s">
        <v>580</v>
      </c>
      <c r="F481" s="3" t="s">
        <v>2456</v>
      </c>
      <c r="G481" s="3" t="s">
        <v>1827</v>
      </c>
    </row>
    <row r="482" spans="1:7">
      <c r="A482" s="6">
        <v>42907</v>
      </c>
      <c r="B482" s="3" t="s">
        <v>2053</v>
      </c>
      <c r="C482" s="3" t="s">
        <v>18</v>
      </c>
      <c r="D482" s="8" t="str">
        <f>HYPERLINK("http://npthd.inbcu.com/ViewContent.aspx?filename=NPMR_CBS_2017-06-21_E.MP4$1942$2654","UNDERCOVER BOSS: celebrity undercover boss: marcus samuelsson")</f>
        <v>UNDERCOVER BOSS: celebrity undercover boss: marcus samuelsson</v>
      </c>
      <c r="E482" s="3" t="s">
        <v>2457</v>
      </c>
      <c r="F482" s="3" t="s">
        <v>1827</v>
      </c>
      <c r="G482" s="3" t="s">
        <v>2458</v>
      </c>
    </row>
    <row r="483" spans="1:7">
      <c r="A483" s="6">
        <v>42907</v>
      </c>
      <c r="B483" s="3" t="s">
        <v>2053</v>
      </c>
      <c r="C483" s="3" t="s">
        <v>21</v>
      </c>
      <c r="D483" s="8" t="str">
        <f>HYPERLINK("http://npthd.inbcu.com/ViewContent.aspx?filename=NPMR_CBS_2017-06-21_E.MP4$2654$2835","COMMERCIAL")</f>
        <v>COMMERCIAL</v>
      </c>
      <c r="E483" s="3" t="s">
        <v>108</v>
      </c>
      <c r="F483" s="3" t="s">
        <v>2458</v>
      </c>
      <c r="G483" s="3" t="s">
        <v>2459</v>
      </c>
    </row>
    <row r="484" spans="1:7">
      <c r="A484" s="6">
        <v>42907</v>
      </c>
      <c r="B484" s="3" t="s">
        <v>2053</v>
      </c>
      <c r="C484" s="3" t="s">
        <v>14</v>
      </c>
      <c r="D484" s="8" t="str">
        <f>HYPERLINK("http://npthd.inbcu.com/ViewContent.aspx?filename=NPMR_CBS_2017-06-21_E.MP4$2835$2845","Big Brother")</f>
        <v>Big Brother</v>
      </c>
      <c r="E484" s="3" t="s">
        <v>197</v>
      </c>
      <c r="F484" s="3" t="s">
        <v>2459</v>
      </c>
      <c r="G484" s="3" t="s">
        <v>2460</v>
      </c>
    </row>
    <row r="485" spans="1:7">
      <c r="A485" s="6">
        <v>42907</v>
      </c>
      <c r="B485" s="3" t="s">
        <v>2053</v>
      </c>
      <c r="C485" s="3" t="s">
        <v>14</v>
      </c>
      <c r="D485" s="8" t="str">
        <f>HYPERLINK("http://npthd.inbcu.com/ViewContent.aspx?filename=NPMR_CBS_2017-06-21_E.MP4$2845$2865","Zoo")</f>
        <v>Zoo</v>
      </c>
      <c r="E485" s="3" t="s">
        <v>1805</v>
      </c>
      <c r="F485" s="3" t="s">
        <v>2460</v>
      </c>
      <c r="G485" s="3" t="s">
        <v>2461</v>
      </c>
    </row>
    <row r="486" spans="1:7">
      <c r="A486" s="6">
        <v>42907</v>
      </c>
      <c r="B486" s="3" t="s">
        <v>2053</v>
      </c>
      <c r="C486" s="3" t="s">
        <v>18</v>
      </c>
      <c r="D486" s="8" t="str">
        <f>HYPERLINK("http://npthd.inbcu.com/ViewContent.aspx?filename=NPMR_CBS_2017-06-21_E.MP4$2865$3543","UNDERCOVER BOSS: celebrity undercover boss: marcus samuelsson")</f>
        <v>UNDERCOVER BOSS: celebrity undercover boss: marcus samuelsson</v>
      </c>
      <c r="E486" s="3" t="s">
        <v>339</v>
      </c>
      <c r="F486" s="3" t="s">
        <v>2461</v>
      </c>
      <c r="G486" s="3" t="s">
        <v>2462</v>
      </c>
    </row>
    <row r="487" spans="1:7">
      <c r="A487" s="6">
        <v>42907</v>
      </c>
      <c r="B487" s="3" t="s">
        <v>2053</v>
      </c>
      <c r="C487" s="3" t="s">
        <v>21</v>
      </c>
      <c r="D487" s="8" t="str">
        <f>HYPERLINK("http://npthd.inbcu.com/ViewContent.aspx?filename=NPMR_CBS_2017-06-21_E.MP4$3543$3694","COMMERCIAL")</f>
        <v>COMMERCIAL</v>
      </c>
      <c r="E487" s="3" t="s">
        <v>91</v>
      </c>
      <c r="F487" s="3" t="s">
        <v>2462</v>
      </c>
      <c r="G487" s="3" t="s">
        <v>2463</v>
      </c>
    </row>
    <row r="488" spans="1:7">
      <c r="A488" s="6">
        <v>42907</v>
      </c>
      <c r="B488" s="3" t="s">
        <v>2053</v>
      </c>
      <c r="C488" s="3" t="s">
        <v>14</v>
      </c>
      <c r="D488" s="8" t="str">
        <f>HYPERLINK("http://npthd.inbcu.com/ViewContent.aspx?filename=NPMR_CBS_2017-06-21_E.MP4$3694$3715","Big Bang Theory")</f>
        <v>Big Bang Theory</v>
      </c>
      <c r="E488" s="3" t="s">
        <v>2067</v>
      </c>
      <c r="F488" s="3" t="s">
        <v>2463</v>
      </c>
      <c r="G488" s="3" t="s">
        <v>2464</v>
      </c>
    </row>
    <row r="489" spans="1:7">
      <c r="A489" s="6">
        <v>42907</v>
      </c>
      <c r="B489" s="3" t="s">
        <v>2053</v>
      </c>
      <c r="C489" s="3" t="s">
        <v>18</v>
      </c>
      <c r="D489" s="8" t="str">
        <f>HYPERLINK("http://npthd.inbcu.com/ViewContent.aspx?filename=NPMR_CBS_2017-06-21_E.MP4$3715$3720","UNDERCOVER BOSS: celebrity undercover boss: marcus samuelsson")</f>
        <v>UNDERCOVER BOSS: celebrity undercover boss: marcus samuelsson</v>
      </c>
      <c r="E489" s="3" t="s">
        <v>54</v>
      </c>
      <c r="F489" s="3" t="s">
        <v>2464</v>
      </c>
      <c r="G489" s="3" t="s">
        <v>528</v>
      </c>
    </row>
    <row r="490" spans="1:7">
      <c r="A490" s="6">
        <v>42907</v>
      </c>
      <c r="B490" s="3" t="s">
        <v>2053</v>
      </c>
      <c r="C490" s="3" t="s">
        <v>32</v>
      </c>
      <c r="D490" s="8" t="str">
        <f>HYPERLINK("http://npthd.inbcu.com/ViewContent.aspx?filename=NPMR_CBS_2017-06-21_E.MP4$3720$3815","LOCAL")</f>
        <v>LOCAL</v>
      </c>
      <c r="E490" s="3" t="s">
        <v>2076</v>
      </c>
      <c r="F490" s="3" t="s">
        <v>528</v>
      </c>
      <c r="G490" s="3" t="s">
        <v>242</v>
      </c>
    </row>
    <row r="491" spans="1:7">
      <c r="A491" s="6">
        <v>42907</v>
      </c>
      <c r="B491" s="3" t="s">
        <v>2053</v>
      </c>
      <c r="C491" s="3" t="s">
        <v>18</v>
      </c>
      <c r="D491" s="8" t="str">
        <f>HYPERLINK("http://npthd.inbcu.com/ViewContent.aspx?filename=NPMR_CBS_2017-06-21_E.MP4$3815$4300","CRIMINAL MINDS: scarecrow")</f>
        <v>CRIMINAL MINDS: scarecrow</v>
      </c>
      <c r="E491" s="3" t="s">
        <v>727</v>
      </c>
      <c r="F491" s="3" t="s">
        <v>242</v>
      </c>
      <c r="G491" s="3" t="s">
        <v>2465</v>
      </c>
    </row>
    <row r="492" spans="1:7">
      <c r="A492" s="6">
        <v>42907</v>
      </c>
      <c r="B492" s="3" t="s">
        <v>2053</v>
      </c>
      <c r="C492" s="3" t="s">
        <v>21</v>
      </c>
      <c r="D492" s="8" t="str">
        <f>HYPERLINK("http://npthd.inbcu.com/ViewContent.aspx?filename=NPMR_CBS_2017-06-21_E.MP4$4300$4421","COMMERCIAL")</f>
        <v>COMMERCIAL</v>
      </c>
      <c r="E492" s="3" t="s">
        <v>175</v>
      </c>
      <c r="F492" s="3" t="s">
        <v>2465</v>
      </c>
      <c r="G492" s="3" t="s">
        <v>2466</v>
      </c>
    </row>
    <row r="493" spans="1:7">
      <c r="A493" s="6">
        <v>42907</v>
      </c>
      <c r="B493" s="3" t="s">
        <v>2053</v>
      </c>
      <c r="C493" s="3" t="s">
        <v>14</v>
      </c>
      <c r="D493" s="8" t="str">
        <f>HYPERLINK("http://npthd.inbcu.com/ViewContent.aspx?filename=NPMR_CBS_2017-06-21_E.MP4$4421$4431","CBS This Morning")</f>
        <v>CBS This Morning</v>
      </c>
      <c r="E493" s="3" t="s">
        <v>197</v>
      </c>
      <c r="F493" s="3" t="s">
        <v>2466</v>
      </c>
      <c r="G493" s="3" t="s">
        <v>2467</v>
      </c>
    </row>
    <row r="494" spans="1:7">
      <c r="A494" s="6">
        <v>42907</v>
      </c>
      <c r="B494" s="3" t="s">
        <v>2053</v>
      </c>
      <c r="C494" s="3" t="s">
        <v>14</v>
      </c>
      <c r="D494" s="8" t="str">
        <f>HYPERLINK("http://npthd.inbcu.com/ViewContent.aspx?filename=NPMR_CBS_2017-06-21_E.MP4$4431$4441","Big Brother")</f>
        <v>Big Brother</v>
      </c>
      <c r="E494" s="3" t="s">
        <v>197</v>
      </c>
      <c r="F494" s="3" t="s">
        <v>2467</v>
      </c>
      <c r="G494" s="3" t="s">
        <v>2468</v>
      </c>
    </row>
    <row r="495" spans="1:7">
      <c r="A495" s="6">
        <v>42907</v>
      </c>
      <c r="B495" s="3" t="s">
        <v>2053</v>
      </c>
      <c r="C495" s="3" t="s">
        <v>18</v>
      </c>
      <c r="D495" s="8" t="str">
        <f>HYPERLINK("http://npthd.inbcu.com/ViewContent.aspx?filename=NPMR_CBS_2017-06-21_E.MP4$4441$5026","CRIMINAL MINDS: scarecrow")</f>
        <v>CRIMINAL MINDS: scarecrow</v>
      </c>
      <c r="E495" s="3" t="s">
        <v>1040</v>
      </c>
      <c r="F495" s="3" t="s">
        <v>2468</v>
      </c>
      <c r="G495" s="3" t="s">
        <v>375</v>
      </c>
    </row>
    <row r="496" spans="1:7">
      <c r="A496" s="6">
        <v>42907</v>
      </c>
      <c r="B496" s="3" t="s">
        <v>2053</v>
      </c>
      <c r="C496" s="3" t="s">
        <v>21</v>
      </c>
      <c r="D496" s="8" t="str">
        <f>HYPERLINK("http://npthd.inbcu.com/ViewContent.aspx?filename=NPMR_CBS_2017-06-21_E.MP4$5026$5210","COMMERCIAL")</f>
        <v>COMMERCIAL</v>
      </c>
      <c r="E496" s="3" t="s">
        <v>420</v>
      </c>
      <c r="F496" s="3" t="s">
        <v>375</v>
      </c>
      <c r="G496" s="3" t="s">
        <v>2469</v>
      </c>
    </row>
    <row r="497" spans="1:7">
      <c r="A497" s="6">
        <v>42907</v>
      </c>
      <c r="B497" s="3" t="s">
        <v>2053</v>
      </c>
      <c r="C497" s="3" t="s">
        <v>18</v>
      </c>
      <c r="D497" s="8" t="str">
        <f>HYPERLINK("http://npthd.inbcu.com/ViewContent.aspx?filename=NPMR_CBS_2017-06-21_E.MP4$5210$5643","CRIMINAL MINDS: scarecrow")</f>
        <v>CRIMINAL MINDS: scarecrow</v>
      </c>
      <c r="E497" s="3" t="s">
        <v>2211</v>
      </c>
      <c r="F497" s="3" t="s">
        <v>2469</v>
      </c>
      <c r="G497" s="3" t="s">
        <v>2470</v>
      </c>
    </row>
    <row r="498" spans="1:7">
      <c r="A498" s="6">
        <v>42907</v>
      </c>
      <c r="B498" s="3" t="s">
        <v>2053</v>
      </c>
      <c r="C498" s="3" t="s">
        <v>21</v>
      </c>
      <c r="D498" s="8" t="str">
        <f>HYPERLINK("http://npthd.inbcu.com/ViewContent.aspx?filename=NPMR_CBS_2017-06-21_E.MP4$5643$5764","COMMERCIAL")</f>
        <v>COMMERCIAL</v>
      </c>
      <c r="E498" s="3" t="s">
        <v>175</v>
      </c>
      <c r="F498" s="3" t="s">
        <v>2470</v>
      </c>
      <c r="G498" s="3" t="s">
        <v>2471</v>
      </c>
    </row>
    <row r="499" spans="1:7">
      <c r="A499" s="6">
        <v>42907</v>
      </c>
      <c r="B499" s="3" t="s">
        <v>2053</v>
      </c>
      <c r="C499" s="3" t="s">
        <v>14</v>
      </c>
      <c r="D499" s="8" t="str">
        <f>HYPERLINK("http://npthd.inbcu.com/ViewContent.aspx?filename=NPMR_CBS_2017-06-21_E.MP4$5764$5775","Talk, The")</f>
        <v>Talk, The</v>
      </c>
      <c r="E499" s="3" t="s">
        <v>1940</v>
      </c>
      <c r="F499" s="3" t="s">
        <v>2471</v>
      </c>
      <c r="G499" s="3" t="s">
        <v>2472</v>
      </c>
    </row>
    <row r="500" spans="1:7">
      <c r="A500" s="6">
        <v>42907</v>
      </c>
      <c r="B500" s="3" t="s">
        <v>2053</v>
      </c>
      <c r="C500" s="3" t="s">
        <v>14</v>
      </c>
      <c r="D500" s="8" t="str">
        <f>HYPERLINK("http://npthd.inbcu.com/ViewContent.aspx?filename=NPMR_CBS_2017-06-21_E.MP4$5775$5794","Zoo")</f>
        <v>Zoo</v>
      </c>
      <c r="E500" s="3" t="s">
        <v>670</v>
      </c>
      <c r="F500" s="3" t="s">
        <v>2472</v>
      </c>
      <c r="G500" s="3" t="s">
        <v>2473</v>
      </c>
    </row>
    <row r="501" spans="1:7">
      <c r="A501" s="6">
        <v>42907</v>
      </c>
      <c r="B501" s="3" t="s">
        <v>2053</v>
      </c>
      <c r="C501" s="3" t="s">
        <v>32</v>
      </c>
      <c r="D501" s="8" t="str">
        <f>HYPERLINK("http://npthd.inbcu.com/ViewContent.aspx?filename=NPMR_CBS_2017-06-21_E.MP4$5794$5859","LOCAL")</f>
        <v>LOCAL</v>
      </c>
      <c r="E501" s="3" t="s">
        <v>580</v>
      </c>
      <c r="F501" s="3" t="s">
        <v>2473</v>
      </c>
      <c r="G501" s="3" t="s">
        <v>2474</v>
      </c>
    </row>
    <row r="502" spans="1:7">
      <c r="A502" s="6">
        <v>42907</v>
      </c>
      <c r="B502" s="3" t="s">
        <v>2053</v>
      </c>
      <c r="C502" s="3" t="s">
        <v>18</v>
      </c>
      <c r="D502" s="8" t="str">
        <f>HYPERLINK("http://npthd.inbcu.com/ViewContent.aspx?filename=NPMR_CBS_2017-06-21_E.MP4$5859$6354","CRIMINAL MINDS: scarecrow")</f>
        <v>CRIMINAL MINDS: scarecrow</v>
      </c>
      <c r="E502" s="3" t="s">
        <v>1312</v>
      </c>
      <c r="F502" s="3" t="s">
        <v>2474</v>
      </c>
      <c r="G502" s="3" t="s">
        <v>2475</v>
      </c>
    </row>
    <row r="503" spans="1:7">
      <c r="A503" s="6">
        <v>42907</v>
      </c>
      <c r="B503" s="3" t="s">
        <v>2053</v>
      </c>
      <c r="C503" s="3" t="s">
        <v>21</v>
      </c>
      <c r="D503" s="8" t="str">
        <f>HYPERLINK("http://npthd.inbcu.com/ViewContent.aspx?filename=NPMR_CBS_2017-06-21_E.MP4$6354$6505","COMMERCIAL")</f>
        <v>COMMERCIAL</v>
      </c>
      <c r="E503" s="3" t="s">
        <v>91</v>
      </c>
      <c r="F503" s="3" t="s">
        <v>2475</v>
      </c>
      <c r="G503" s="3" t="s">
        <v>1912</v>
      </c>
    </row>
    <row r="504" spans="1:7">
      <c r="A504" s="6">
        <v>42907</v>
      </c>
      <c r="B504" s="3" t="s">
        <v>2053</v>
      </c>
      <c r="C504" s="3" t="s">
        <v>14</v>
      </c>
      <c r="D504" s="8" t="str">
        <f>HYPERLINK("http://npthd.inbcu.com/ViewContent.aspx?filename=NPMR_CBS_2017-06-21_E.MP4$6505$6526","CBS All Access")</f>
        <v>CBS All Access</v>
      </c>
      <c r="E504" s="3" t="s">
        <v>2067</v>
      </c>
      <c r="F504" s="3" t="s">
        <v>1912</v>
      </c>
      <c r="G504" s="3" t="s">
        <v>2476</v>
      </c>
    </row>
    <row r="505" spans="1:7">
      <c r="A505" s="6">
        <v>42907</v>
      </c>
      <c r="B505" s="3" t="s">
        <v>2053</v>
      </c>
      <c r="C505" s="3" t="s">
        <v>14</v>
      </c>
      <c r="D505" s="8" t="str">
        <f>HYPERLINK("http://npthd.inbcu.com/ViewContent.aspx?filename=NPMR_CBS_2017-06-21_E.MP4$6526$6546","Salvation")</f>
        <v>Salvation</v>
      </c>
      <c r="E505" s="3" t="s">
        <v>1805</v>
      </c>
      <c r="F505" s="3" t="s">
        <v>2476</v>
      </c>
      <c r="G505" s="3" t="s">
        <v>2477</v>
      </c>
    </row>
    <row r="506" spans="1:7">
      <c r="A506" s="6">
        <v>42907</v>
      </c>
      <c r="B506" s="3" t="s">
        <v>2053</v>
      </c>
      <c r="C506" s="3" t="s">
        <v>32</v>
      </c>
      <c r="D506" s="8" t="str">
        <f>HYPERLINK("http://npthd.inbcu.com/ViewContent.aspx?filename=NPMR_CBS_2017-06-21_E.MP4$6546$6641","LOCAL")</f>
        <v>LOCAL</v>
      </c>
      <c r="E506" s="3" t="s">
        <v>2076</v>
      </c>
      <c r="F506" s="3" t="s">
        <v>2477</v>
      </c>
      <c r="G506" s="3" t="s">
        <v>2478</v>
      </c>
    </row>
    <row r="507" spans="1:7">
      <c r="A507" s="6">
        <v>42907</v>
      </c>
      <c r="B507" s="3" t="s">
        <v>2053</v>
      </c>
      <c r="C507" s="3" t="s">
        <v>18</v>
      </c>
      <c r="D507" s="8" t="str">
        <f>HYPERLINK("http://npthd.inbcu.com/ViewContent.aspx?filename=NPMR_CBS_2017-06-21_E.MP4$6641$7156","CRIMINAL MINDS: scarecrow")</f>
        <v>CRIMINAL MINDS: scarecrow</v>
      </c>
      <c r="E507" s="3" t="s">
        <v>2229</v>
      </c>
      <c r="F507" s="3" t="s">
        <v>2478</v>
      </c>
      <c r="G507" s="3" t="s">
        <v>81</v>
      </c>
    </row>
    <row r="508" spans="1:7">
      <c r="A508" s="6">
        <v>42907</v>
      </c>
      <c r="B508" s="3" t="s">
        <v>2053</v>
      </c>
      <c r="C508" s="3" t="s">
        <v>21</v>
      </c>
      <c r="D508" s="8" t="str">
        <f>HYPERLINK("http://npthd.inbcu.com/ViewContent.aspx?filename=NPMR_CBS_2017-06-21_E.MP4$7156$7368","COMMERCIAL")</f>
        <v>COMMERCIAL</v>
      </c>
      <c r="E508" s="3" t="s">
        <v>891</v>
      </c>
      <c r="F508" s="3" t="s">
        <v>81</v>
      </c>
      <c r="G508" s="3" t="s">
        <v>2479</v>
      </c>
    </row>
    <row r="509" spans="1:7">
      <c r="A509" s="6">
        <v>42907</v>
      </c>
      <c r="B509" s="3" t="s">
        <v>2053</v>
      </c>
      <c r="C509" s="3" t="s">
        <v>14</v>
      </c>
      <c r="D509" s="8" t="str">
        <f>HYPERLINK("http://npthd.inbcu.com/ViewContent.aspx?filename=NPMR_CBS_2017-06-21_E.MP4$7368$7388","Candy Crush")</f>
        <v>Candy Crush</v>
      </c>
      <c r="E509" s="3" t="s">
        <v>1805</v>
      </c>
      <c r="F509" s="3" t="s">
        <v>2479</v>
      </c>
      <c r="G509" s="3" t="s">
        <v>2299</v>
      </c>
    </row>
    <row r="510" spans="1:7">
      <c r="A510" s="6">
        <v>42907</v>
      </c>
      <c r="B510" s="3" t="s">
        <v>2053</v>
      </c>
      <c r="C510" s="3" t="s">
        <v>14</v>
      </c>
      <c r="D510" s="8" t="str">
        <f>HYPERLINK("http://npthd.inbcu.com/ViewContent.aspx?filename=NPMR_CBS_2017-06-21_E.MP4$7388$7410","Zoo")</f>
        <v>Zoo</v>
      </c>
      <c r="E510" s="3" t="s">
        <v>2124</v>
      </c>
      <c r="F510" s="3" t="s">
        <v>2299</v>
      </c>
      <c r="G510" s="3" t="s">
        <v>750</v>
      </c>
    </row>
    <row r="511" spans="1:7">
      <c r="A511" s="6">
        <v>42907</v>
      </c>
      <c r="B511" s="3" t="s">
        <v>2053</v>
      </c>
      <c r="C511" s="3" t="s">
        <v>18</v>
      </c>
      <c r="D511" s="8" t="str">
        <f>HYPERLINK("http://npthd.inbcu.com/ViewContent.aspx?filename=NPMR_CBS_2017-06-21_E.MP4$7410$7415","CRIMINAL MINDS: scarecrow")</f>
        <v>CRIMINAL MINDS: scarecrow</v>
      </c>
      <c r="E511" s="3" t="s">
        <v>54</v>
      </c>
      <c r="F511" s="3" t="s">
        <v>750</v>
      </c>
      <c r="G511" s="3" t="s">
        <v>394</v>
      </c>
    </row>
    <row r="512" spans="1:7">
      <c r="A512" s="6">
        <v>42907</v>
      </c>
      <c r="B512" s="3" t="s">
        <v>2053</v>
      </c>
      <c r="C512" s="3" t="s">
        <v>14</v>
      </c>
      <c r="D512" s="8" t="str">
        <f>HYPERLINK("http://npthd.inbcu.com/ViewContent.aspx?filename=NPMR_CBS_2017-06-21_E.MP4$7415$7419","Late Show with Stephen Colbert")</f>
        <v>Late Show with Stephen Colbert</v>
      </c>
      <c r="E512" s="3" t="s">
        <v>84</v>
      </c>
      <c r="F512" s="3" t="s">
        <v>394</v>
      </c>
      <c r="G512" s="3" t="s">
        <v>1009</v>
      </c>
    </row>
    <row r="513" spans="1:7">
      <c r="A513" s="6">
        <v>42907</v>
      </c>
      <c r="B513" s="3" t="s">
        <v>2053</v>
      </c>
      <c r="C513" s="3" t="s">
        <v>18</v>
      </c>
      <c r="D513" s="8" t="str">
        <f>HYPERLINK("http://npthd.inbcu.com/ViewContent.aspx?filename=NPMR_CBS_2017-06-21_E.MP4$7419$7950","CODE BLACK: sleight of hand")</f>
        <v>CODE BLACK: sleight of hand</v>
      </c>
      <c r="E513" s="3" t="s">
        <v>2480</v>
      </c>
      <c r="F513" s="3" t="s">
        <v>1009</v>
      </c>
      <c r="G513" s="3" t="s">
        <v>2481</v>
      </c>
    </row>
    <row r="514" spans="1:7">
      <c r="A514" s="6">
        <v>42907</v>
      </c>
      <c r="B514" s="3" t="s">
        <v>2053</v>
      </c>
      <c r="C514" s="3" t="s">
        <v>21</v>
      </c>
      <c r="D514" s="8" t="str">
        <f>HYPERLINK("http://npthd.inbcu.com/ViewContent.aspx?filename=NPMR_CBS_2017-06-21_E.MP4$7950$8131","COMMERCIAL")</f>
        <v>COMMERCIAL</v>
      </c>
      <c r="E514" s="3" t="s">
        <v>108</v>
      </c>
      <c r="F514" s="3" t="s">
        <v>2481</v>
      </c>
      <c r="G514" s="3" t="s">
        <v>1803</v>
      </c>
    </row>
    <row r="515" spans="1:7">
      <c r="A515" s="6">
        <v>42907</v>
      </c>
      <c r="B515" s="3" t="s">
        <v>2053</v>
      </c>
      <c r="C515" s="3" t="s">
        <v>14</v>
      </c>
      <c r="D515" s="8" t="str">
        <f>HYPERLINK("http://npthd.inbcu.com/ViewContent.aspx?filename=NPMR_CBS_2017-06-21_E.MP4$8131$8146","Salvation")</f>
        <v>Salvation</v>
      </c>
      <c r="E515" s="3" t="s">
        <v>30</v>
      </c>
      <c r="F515" s="3" t="s">
        <v>1803</v>
      </c>
      <c r="G515" s="3" t="s">
        <v>2482</v>
      </c>
    </row>
    <row r="516" spans="1:7">
      <c r="A516" s="6">
        <v>42907</v>
      </c>
      <c r="B516" s="3" t="s">
        <v>2053</v>
      </c>
      <c r="C516" s="3" t="s">
        <v>18</v>
      </c>
      <c r="D516" s="8" t="str">
        <f>HYPERLINK("http://npthd.inbcu.com/ViewContent.aspx?filename=NPMR_CBS_2017-06-21_E.MP4$8146$8487","CODE BLACK: sleight of hand")</f>
        <v>CODE BLACK: sleight of hand</v>
      </c>
      <c r="E516" s="3" t="s">
        <v>2483</v>
      </c>
      <c r="F516" s="3" t="s">
        <v>2482</v>
      </c>
      <c r="G516" s="3" t="s">
        <v>2484</v>
      </c>
    </row>
    <row r="517" spans="1:7">
      <c r="A517" s="6">
        <v>42907</v>
      </c>
      <c r="B517" s="3" t="s">
        <v>2053</v>
      </c>
      <c r="C517" s="3" t="s">
        <v>21</v>
      </c>
      <c r="D517" s="8" t="str">
        <f>HYPERLINK("http://npthd.inbcu.com/ViewContent.aspx?filename=NPMR_CBS_2017-06-21_E.MP4$8487$8698","COMMERCIAL")</f>
        <v>COMMERCIAL</v>
      </c>
      <c r="E517" s="3" t="s">
        <v>334</v>
      </c>
      <c r="F517" s="3" t="s">
        <v>2484</v>
      </c>
      <c r="G517" s="3" t="s">
        <v>2485</v>
      </c>
    </row>
    <row r="518" spans="1:7">
      <c r="A518" s="6">
        <v>42907</v>
      </c>
      <c r="B518" s="3" t="s">
        <v>2053</v>
      </c>
      <c r="C518" s="3" t="s">
        <v>14</v>
      </c>
      <c r="D518" s="8" t="str">
        <f>HYPERLINK("http://npthd.inbcu.com/ViewContent.aspx?filename=NPMR_CBS_2017-06-21_E.MP4$8698$8708","Zoo")</f>
        <v>Zoo</v>
      </c>
      <c r="E518" s="3" t="s">
        <v>197</v>
      </c>
      <c r="F518" s="3" t="s">
        <v>2485</v>
      </c>
      <c r="G518" s="3" t="s">
        <v>2486</v>
      </c>
    </row>
    <row r="519" spans="1:7">
      <c r="A519" s="6">
        <v>42907</v>
      </c>
      <c r="B519" s="3" t="s">
        <v>2053</v>
      </c>
      <c r="C519" s="3" t="s">
        <v>18</v>
      </c>
      <c r="D519" s="8" t="str">
        <f>HYPERLINK("http://npthd.inbcu.com/ViewContent.aspx?filename=NPMR_CBS_2017-06-21_E.MP4$8708$9227","CODE BLACK: sleight of hand")</f>
        <v>CODE BLACK: sleight of hand</v>
      </c>
      <c r="E519" s="3" t="s">
        <v>915</v>
      </c>
      <c r="F519" s="3" t="s">
        <v>2486</v>
      </c>
      <c r="G519" s="3" t="s">
        <v>1091</v>
      </c>
    </row>
    <row r="520" spans="1:7">
      <c r="A520" s="6">
        <v>42907</v>
      </c>
      <c r="B520" s="3" t="s">
        <v>2053</v>
      </c>
      <c r="C520" s="3" t="s">
        <v>21</v>
      </c>
      <c r="D520" s="8" t="str">
        <f>HYPERLINK("http://npthd.inbcu.com/ViewContent.aspx?filename=NPMR_CBS_2017-06-21_E.MP4$9227$9348","COMMERCIAL")</f>
        <v>COMMERCIAL</v>
      </c>
      <c r="E520" s="3" t="s">
        <v>175</v>
      </c>
      <c r="F520" s="3" t="s">
        <v>1091</v>
      </c>
      <c r="G520" s="3" t="s">
        <v>2487</v>
      </c>
    </row>
    <row r="521" spans="1:7">
      <c r="A521" s="6">
        <v>42907</v>
      </c>
      <c r="B521" s="3" t="s">
        <v>2053</v>
      </c>
      <c r="C521" s="3" t="s">
        <v>32</v>
      </c>
      <c r="D521" s="8" t="str">
        <f>HYPERLINK("http://npthd.inbcu.com/ViewContent.aspx?filename=NPMR_CBS_2017-06-21_E.MP4$9348$9489","LOCAL")</f>
        <v>LOCAL</v>
      </c>
      <c r="E521" s="3" t="s">
        <v>1753</v>
      </c>
      <c r="F521" s="3" t="s">
        <v>2487</v>
      </c>
      <c r="G521" s="3" t="s">
        <v>2488</v>
      </c>
    </row>
    <row r="522" spans="1:7">
      <c r="A522" s="6">
        <v>42907</v>
      </c>
      <c r="B522" s="3" t="s">
        <v>2053</v>
      </c>
      <c r="C522" s="3" t="s">
        <v>18</v>
      </c>
      <c r="D522" s="8" t="str">
        <f>HYPERLINK("http://npthd.inbcu.com/ViewContent.aspx?filename=NPMR_CBS_2017-06-21_E.MP4$9489$9821","CODE BLACK: sleight of hand")</f>
        <v>CODE BLACK: sleight of hand</v>
      </c>
      <c r="E522" s="3" t="s">
        <v>201</v>
      </c>
      <c r="F522" s="3" t="s">
        <v>2488</v>
      </c>
      <c r="G522" s="3" t="s">
        <v>2489</v>
      </c>
    </row>
    <row r="523" spans="1:7">
      <c r="A523" s="6">
        <v>42907</v>
      </c>
      <c r="B523" s="3" t="s">
        <v>2053</v>
      </c>
      <c r="C523" s="3" t="s">
        <v>32</v>
      </c>
      <c r="D523" s="8" t="str">
        <f>HYPERLINK("http://npthd.inbcu.com/ViewContent.aspx?filename=NPMR_CBS_2017-06-21_E.MP4$9821$9981","LOCAL")</f>
        <v>LOCAL</v>
      </c>
      <c r="E523" s="3" t="s">
        <v>2344</v>
      </c>
      <c r="F523" s="3" t="s">
        <v>2489</v>
      </c>
      <c r="G523" s="3" t="s">
        <v>2490</v>
      </c>
    </row>
    <row r="524" spans="1:7">
      <c r="A524" s="6">
        <v>42907</v>
      </c>
      <c r="B524" s="3" t="s">
        <v>2053</v>
      </c>
      <c r="C524" s="3" t="s">
        <v>18</v>
      </c>
      <c r="D524" s="8" t="str">
        <f>HYPERLINK("http://npthd.inbcu.com/ViewContent.aspx?filename=NPMR_CBS_2017-06-21_E.MP4$9981$10660","CODE BLACK: sleight of hand")</f>
        <v>CODE BLACK: sleight of hand</v>
      </c>
      <c r="E524" s="3" t="s">
        <v>2491</v>
      </c>
      <c r="F524" s="3" t="s">
        <v>2490</v>
      </c>
      <c r="G524" s="3" t="s">
        <v>2492</v>
      </c>
    </row>
    <row r="525" spans="1:7">
      <c r="A525" s="6">
        <v>42907</v>
      </c>
      <c r="B525" s="3" t="s">
        <v>2053</v>
      </c>
      <c r="C525" s="3" t="s">
        <v>21</v>
      </c>
      <c r="D525" s="8" t="str">
        <f>HYPERLINK("http://npthd.inbcu.com/ViewContent.aspx?filename=NPMR_CBS_2017-06-21_E.MP4$10660$10732","COMMERCIAL")</f>
        <v>COMMERCIAL</v>
      </c>
      <c r="E525" s="3" t="s">
        <v>2493</v>
      </c>
      <c r="F525" s="3" t="s">
        <v>2492</v>
      </c>
      <c r="G525" s="3" t="s">
        <v>212</v>
      </c>
    </row>
    <row r="526" spans="1:7">
      <c r="A526" s="6">
        <v>42907</v>
      </c>
      <c r="B526" s="3" t="s">
        <v>2053</v>
      </c>
      <c r="C526" s="3" t="s">
        <v>14</v>
      </c>
      <c r="D526" s="8" t="str">
        <f>HYPERLINK("http://npthd.inbcu.com/ViewContent.aspx?filename=NPMR_CBS_2017-06-21_E.MP4$10732$10738","Late Show with Stephen Colbert")</f>
        <v>Late Show with Stephen Colbert</v>
      </c>
      <c r="E526" s="3" t="s">
        <v>15</v>
      </c>
      <c r="F526" s="3" t="s">
        <v>212</v>
      </c>
      <c r="G526" s="3" t="s">
        <v>2494</v>
      </c>
    </row>
    <row r="527" spans="1:7">
      <c r="A527" s="6">
        <v>42907</v>
      </c>
      <c r="B527" s="3" t="s">
        <v>2053</v>
      </c>
      <c r="C527" s="3" t="s">
        <v>18</v>
      </c>
      <c r="D527" s="8" t="str">
        <f>HYPERLINK("http://npthd.inbcu.com/ViewContent.aspx?filename=NPMR_CBS_2017-06-21_E.MP4$10738$10765","CODE BLACK: sleight of hand")</f>
        <v>CODE BLACK: sleight of hand</v>
      </c>
      <c r="E527" s="3" t="s">
        <v>2495</v>
      </c>
      <c r="F527" s="3" t="s">
        <v>2494</v>
      </c>
      <c r="G527" s="3" t="s">
        <v>2496</v>
      </c>
    </row>
    <row r="528" spans="1:7">
      <c r="A528" s="6">
        <v>42907</v>
      </c>
      <c r="B528" s="3" t="s">
        <v>2053</v>
      </c>
      <c r="C528" s="3" t="s">
        <v>32</v>
      </c>
      <c r="D528" s="8" t="str">
        <f>HYPERLINK("http://npthd.inbcu.com/ViewContent.aspx?filename=NPMR_CBS_2017-06-21_E.MP4$10765$11015","LOCAL")</f>
        <v>LOCAL</v>
      </c>
      <c r="E528" s="3" t="s">
        <v>2497</v>
      </c>
      <c r="F528" s="3" t="s">
        <v>2496</v>
      </c>
      <c r="G528" s="3" t="s">
        <v>124</v>
      </c>
    </row>
    <row r="529" spans="1:7">
      <c r="A529" s="6">
        <v>42908</v>
      </c>
      <c r="B529" s="3" t="s">
        <v>2053</v>
      </c>
      <c r="C529" s="3" t="s">
        <v>18</v>
      </c>
      <c r="D529" s="8" t="str">
        <f>HYPERLINK("http://npthd.inbcu.com/ViewContent.aspx?filename=NPMR_CBS_2017-06-22_E.MP4$118$246","THE BIG BANG THEORY: the escape hatch identification")</f>
        <v>THE BIG BANG THEORY: the escape hatch identification</v>
      </c>
      <c r="E529" s="3" t="s">
        <v>2498</v>
      </c>
      <c r="F529" s="3" t="s">
        <v>16</v>
      </c>
      <c r="G529" s="3" t="s">
        <v>2499</v>
      </c>
    </row>
    <row r="530" spans="1:7">
      <c r="A530" s="6">
        <v>42908</v>
      </c>
      <c r="B530" s="3" t="s">
        <v>2053</v>
      </c>
      <c r="C530" s="3" t="s">
        <v>21</v>
      </c>
      <c r="D530" s="8" t="str">
        <f>HYPERLINK("http://npthd.inbcu.com/ViewContent.aspx?filename=NPMR_CBS_2017-06-22_E.MP4$246$397","COMMERCIAL")</f>
        <v>COMMERCIAL</v>
      </c>
      <c r="E530" s="3" t="s">
        <v>91</v>
      </c>
      <c r="F530" s="3" t="s">
        <v>2499</v>
      </c>
      <c r="G530" s="3" t="s">
        <v>2500</v>
      </c>
    </row>
    <row r="531" spans="1:7">
      <c r="A531" s="6">
        <v>42908</v>
      </c>
      <c r="B531" s="3" t="s">
        <v>2053</v>
      </c>
      <c r="C531" s="3" t="s">
        <v>14</v>
      </c>
      <c r="D531" s="8" t="str">
        <f>HYPERLINK("http://npthd.inbcu.com/ViewContent.aspx?filename=NPMR_CBS_2017-06-22_E.MP4$397$417","Candy Crush")</f>
        <v>Candy Crush</v>
      </c>
      <c r="E531" s="3" t="s">
        <v>1805</v>
      </c>
      <c r="F531" s="3" t="s">
        <v>2500</v>
      </c>
      <c r="G531" s="3" t="s">
        <v>2501</v>
      </c>
    </row>
    <row r="532" spans="1:7">
      <c r="A532" s="6">
        <v>42908</v>
      </c>
      <c r="B532" s="3" t="s">
        <v>2053</v>
      </c>
      <c r="C532" s="3" t="s">
        <v>18</v>
      </c>
      <c r="D532" s="8" t="str">
        <f>HYPERLINK("http://npthd.inbcu.com/ViewContent.aspx?filename=NPMR_CBS_2017-06-22_E.MP4$417$817","THE BIG BANG THEORY: the escape hatch identification")</f>
        <v>THE BIG BANG THEORY: the escape hatch identification</v>
      </c>
      <c r="E532" s="3" t="s">
        <v>857</v>
      </c>
      <c r="F532" s="3" t="s">
        <v>2501</v>
      </c>
      <c r="G532" s="3" t="s">
        <v>2502</v>
      </c>
    </row>
    <row r="533" spans="1:7">
      <c r="A533" s="6">
        <v>42908</v>
      </c>
      <c r="B533" s="3" t="s">
        <v>2053</v>
      </c>
      <c r="C533" s="3" t="s">
        <v>21</v>
      </c>
      <c r="D533" s="8" t="str">
        <f>HYPERLINK("http://npthd.inbcu.com/ViewContent.aspx?filename=NPMR_CBS_2017-06-22_E.MP4$817$999","COMMERCIAL")</f>
        <v>COMMERCIAL</v>
      </c>
      <c r="E533" s="3" t="s">
        <v>275</v>
      </c>
      <c r="F533" s="3" t="s">
        <v>2502</v>
      </c>
      <c r="G533" s="3" t="s">
        <v>2503</v>
      </c>
    </row>
    <row r="534" spans="1:7">
      <c r="A534" s="6">
        <v>42908</v>
      </c>
      <c r="B534" s="3" t="s">
        <v>2053</v>
      </c>
      <c r="C534" s="3" t="s">
        <v>1618</v>
      </c>
      <c r="D534" s="8" t="str">
        <f>HYPERLINK("http://npthd.inbcu.com/ViewContent.aspx?filename=NPMR_CBS_2017-06-22_E.MP4$999$1009","PSA")</f>
        <v>PSA</v>
      </c>
      <c r="E534" s="3" t="s">
        <v>197</v>
      </c>
      <c r="F534" s="3" t="s">
        <v>2503</v>
      </c>
      <c r="G534" s="3" t="s">
        <v>2504</v>
      </c>
    </row>
    <row r="535" spans="1:7">
      <c r="A535" s="6">
        <v>42908</v>
      </c>
      <c r="B535" s="3" t="s">
        <v>2053</v>
      </c>
      <c r="C535" s="3" t="s">
        <v>32</v>
      </c>
      <c r="D535" s="8" t="str">
        <f>HYPERLINK("http://npthd.inbcu.com/ViewContent.aspx?filename=NPMR_CBS_2017-06-22_E.MP4$1009$1039","LOCAL")</f>
        <v>LOCAL</v>
      </c>
      <c r="E535" s="3" t="s">
        <v>38</v>
      </c>
      <c r="F535" s="3" t="s">
        <v>2504</v>
      </c>
      <c r="G535" s="3" t="s">
        <v>2505</v>
      </c>
    </row>
    <row r="536" spans="1:7">
      <c r="A536" s="6">
        <v>42908</v>
      </c>
      <c r="B536" s="3" t="s">
        <v>2053</v>
      </c>
      <c r="C536" s="3" t="s">
        <v>14</v>
      </c>
      <c r="D536" s="8" t="str">
        <f>HYPERLINK("http://npthd.inbcu.com/ViewContent.aspx?filename=NPMR_CBS_2017-06-22_E.MP4$1039$1049","Big Brother")</f>
        <v>Big Brother</v>
      </c>
      <c r="E536" s="3" t="s">
        <v>197</v>
      </c>
      <c r="F536" s="3" t="s">
        <v>2505</v>
      </c>
      <c r="G536" s="3" t="s">
        <v>1944</v>
      </c>
    </row>
    <row r="537" spans="1:7">
      <c r="A537" s="6">
        <v>42908</v>
      </c>
      <c r="B537" s="3" t="s">
        <v>2053</v>
      </c>
      <c r="C537" s="3" t="s">
        <v>32</v>
      </c>
      <c r="D537" s="8" t="str">
        <f>HYPERLINK("http://npthd.inbcu.com/ViewContent.aspx?filename=NPMR_CBS_2017-06-22_E.MP4$1049$1144","LOCAL")</f>
        <v>LOCAL</v>
      </c>
      <c r="E537" s="3" t="s">
        <v>2076</v>
      </c>
      <c r="F537" s="3" t="s">
        <v>1944</v>
      </c>
      <c r="G537" s="3" t="s">
        <v>2506</v>
      </c>
    </row>
    <row r="538" spans="1:7">
      <c r="A538" s="6">
        <v>42908</v>
      </c>
      <c r="B538" s="3" t="s">
        <v>2053</v>
      </c>
      <c r="C538" s="3" t="s">
        <v>18</v>
      </c>
      <c r="D538" s="8" t="str">
        <f>HYPERLINK("http://npthd.inbcu.com/ViewContent.aspx?filename=NPMR_CBS_2017-06-22_E.MP4$1144$1753","THE BIG BANG THEORY: the escape hatch identification")</f>
        <v>THE BIG BANG THEORY: the escape hatch identification</v>
      </c>
      <c r="E538" s="3" t="s">
        <v>2507</v>
      </c>
      <c r="F538" s="3" t="s">
        <v>2506</v>
      </c>
      <c r="G538" s="3" t="s">
        <v>2508</v>
      </c>
    </row>
    <row r="539" spans="1:7">
      <c r="A539" s="6">
        <v>42908</v>
      </c>
      <c r="B539" s="3" t="s">
        <v>2053</v>
      </c>
      <c r="C539" s="3" t="s">
        <v>21</v>
      </c>
      <c r="D539" s="8" t="str">
        <f>HYPERLINK("http://npthd.inbcu.com/ViewContent.aspx?filename=NPMR_CBS_2017-06-22_E.MP4$1753$1905","COMMERCIAL")</f>
        <v>COMMERCIAL</v>
      </c>
      <c r="E539" s="3" t="s">
        <v>128</v>
      </c>
      <c r="F539" s="3" t="s">
        <v>2508</v>
      </c>
      <c r="G539" s="3" t="s">
        <v>2509</v>
      </c>
    </row>
    <row r="540" spans="1:7">
      <c r="A540" s="6">
        <v>42908</v>
      </c>
      <c r="B540" s="3" t="s">
        <v>2053</v>
      </c>
      <c r="C540" s="3" t="s">
        <v>14</v>
      </c>
      <c r="D540" s="8" t="str">
        <f>HYPERLINK("http://npthd.inbcu.com/ViewContent.aspx?filename=NPMR_CBS_2017-06-22_E.MP4$1905$1910","Kevin Can Wait")</f>
        <v>Kevin Can Wait</v>
      </c>
      <c r="E540" s="3" t="s">
        <v>54</v>
      </c>
      <c r="F540" s="3" t="s">
        <v>2509</v>
      </c>
      <c r="G540" s="3" t="s">
        <v>2510</v>
      </c>
    </row>
    <row r="541" spans="1:7">
      <c r="A541" s="6">
        <v>42908</v>
      </c>
      <c r="B541" s="3" t="s">
        <v>2053</v>
      </c>
      <c r="C541" s="3" t="s">
        <v>14</v>
      </c>
      <c r="D541" s="8" t="str">
        <f>HYPERLINK("http://npthd.inbcu.com/ViewContent.aspx?filename=NPMR_CBS_2017-06-22_E.MP4$1910$1930","Salvation")</f>
        <v>Salvation</v>
      </c>
      <c r="E541" s="3" t="s">
        <v>1805</v>
      </c>
      <c r="F541" s="3" t="s">
        <v>2510</v>
      </c>
      <c r="G541" s="3" t="s">
        <v>2511</v>
      </c>
    </row>
    <row r="542" spans="1:7">
      <c r="A542" s="6">
        <v>42908</v>
      </c>
      <c r="B542" s="3" t="s">
        <v>2053</v>
      </c>
      <c r="C542" s="3" t="s">
        <v>18</v>
      </c>
      <c r="D542" s="8" t="str">
        <f>HYPERLINK("http://npthd.inbcu.com/ViewContent.aspx?filename=NPMR_CBS_2017-06-22_E.MP4$1930$1953","THE BIG BANG THEORY: the escape hatch identification")</f>
        <v>THE BIG BANG THEORY: the escape hatch identification</v>
      </c>
      <c r="E542" s="3" t="s">
        <v>2512</v>
      </c>
      <c r="F542" s="3" t="s">
        <v>2511</v>
      </c>
      <c r="G542" s="3" t="s">
        <v>2513</v>
      </c>
    </row>
    <row r="543" spans="1:7">
      <c r="A543" s="6">
        <v>42908</v>
      </c>
      <c r="B543" s="3" t="s">
        <v>2053</v>
      </c>
      <c r="C543" s="3" t="s">
        <v>14</v>
      </c>
      <c r="D543" s="8" t="str">
        <f>HYPERLINK("http://npthd.inbcu.com/ViewContent.aspx?filename=NPMR_CBS_2017-06-22_E.MP4$1953$1973","Superior Donuts")</f>
        <v>Superior Donuts</v>
      </c>
      <c r="E543" s="3" t="s">
        <v>1805</v>
      </c>
      <c r="F543" s="3" t="s">
        <v>2513</v>
      </c>
      <c r="G543" s="3" t="s">
        <v>2068</v>
      </c>
    </row>
    <row r="544" spans="1:7">
      <c r="A544" s="6">
        <v>42908</v>
      </c>
      <c r="B544" s="3" t="s">
        <v>2053</v>
      </c>
      <c r="C544" s="3" t="s">
        <v>18</v>
      </c>
      <c r="D544" s="8" t="str">
        <f>HYPERLINK("http://npthd.inbcu.com/ViewContent.aspx?filename=NPMR_CBS_2017-06-22_E.MP4$1973$1978","THE BIG BANG THEORY: the escape hatch identification")</f>
        <v>THE BIG BANG THEORY: the escape hatch identification</v>
      </c>
      <c r="E544" s="3" t="s">
        <v>54</v>
      </c>
      <c r="F544" s="3" t="s">
        <v>2068</v>
      </c>
      <c r="G544" s="3" t="s">
        <v>2514</v>
      </c>
    </row>
    <row r="545" spans="1:7">
      <c r="A545" s="6">
        <v>42908</v>
      </c>
      <c r="B545" s="3" t="s">
        <v>2053</v>
      </c>
      <c r="C545" s="3" t="s">
        <v>14</v>
      </c>
      <c r="D545" s="8" t="str">
        <f>HYPERLINK("http://npthd.inbcu.com/ViewContent.aspx?filename=NPMR_CBS_2017-06-22_E.MP4$1978$1983","Candy Crush")</f>
        <v>Candy Crush</v>
      </c>
      <c r="E545" s="3" t="s">
        <v>54</v>
      </c>
      <c r="F545" s="3" t="s">
        <v>2514</v>
      </c>
      <c r="G545" s="3" t="s">
        <v>2070</v>
      </c>
    </row>
    <row r="546" spans="1:7">
      <c r="A546" s="6">
        <v>42908</v>
      </c>
      <c r="B546" s="3" t="s">
        <v>2053</v>
      </c>
      <c r="C546" s="3" t="s">
        <v>18</v>
      </c>
      <c r="D546" s="8" t="str">
        <f>HYPERLINK("http://npthd.inbcu.com/ViewContent.aspx?filename=NPMR_CBS_2017-06-22_E.MP4$1983$2449","SUPERIOR DONUTS: whats the big idea?")</f>
        <v>SUPERIOR DONUTS: whats the big idea?</v>
      </c>
      <c r="E546" s="3" t="s">
        <v>2515</v>
      </c>
      <c r="F546" s="3" t="s">
        <v>2070</v>
      </c>
      <c r="G546" s="3" t="s">
        <v>2516</v>
      </c>
    </row>
    <row r="547" spans="1:7">
      <c r="A547" s="6">
        <v>42908</v>
      </c>
      <c r="B547" s="3" t="s">
        <v>2053</v>
      </c>
      <c r="C547" s="3" t="s">
        <v>21</v>
      </c>
      <c r="D547" s="8" t="str">
        <f>HYPERLINK("http://npthd.inbcu.com/ViewContent.aspx?filename=NPMR_CBS_2017-06-22_E.MP4$2449$2570","COMMERCIAL")</f>
        <v>COMMERCIAL</v>
      </c>
      <c r="E547" s="3" t="s">
        <v>175</v>
      </c>
      <c r="F547" s="3" t="s">
        <v>2516</v>
      </c>
      <c r="G547" s="3" t="s">
        <v>2072</v>
      </c>
    </row>
    <row r="548" spans="1:7">
      <c r="A548" s="6">
        <v>42908</v>
      </c>
      <c r="B548" s="3" t="s">
        <v>2053</v>
      </c>
      <c r="C548" s="3" t="s">
        <v>14</v>
      </c>
      <c r="D548" s="8" t="str">
        <f>HYPERLINK("http://npthd.inbcu.com/ViewContent.aspx?filename=NPMR_CBS_2017-06-22_E.MP4$2570$2591","Salvation")</f>
        <v>Salvation</v>
      </c>
      <c r="E548" s="3" t="s">
        <v>2067</v>
      </c>
      <c r="F548" s="3" t="s">
        <v>2072</v>
      </c>
      <c r="G548" s="3" t="s">
        <v>2517</v>
      </c>
    </row>
    <row r="549" spans="1:7">
      <c r="A549" s="6">
        <v>42908</v>
      </c>
      <c r="B549" s="3" t="s">
        <v>2053</v>
      </c>
      <c r="C549" s="3" t="s">
        <v>18</v>
      </c>
      <c r="D549" s="8" t="str">
        <f>HYPERLINK("http://npthd.inbcu.com/ViewContent.aspx?filename=NPMR_CBS_2017-06-22_E.MP4$2591$2959","SUPERIOR DONUTS: whats the big idea?")</f>
        <v>SUPERIOR DONUTS: whats the big idea?</v>
      </c>
      <c r="E549" s="3" t="s">
        <v>1229</v>
      </c>
      <c r="F549" s="3" t="s">
        <v>2517</v>
      </c>
      <c r="G549" s="3" t="s">
        <v>2518</v>
      </c>
    </row>
    <row r="550" spans="1:7">
      <c r="A550" s="6">
        <v>42908</v>
      </c>
      <c r="B550" s="3" t="s">
        <v>2053</v>
      </c>
      <c r="C550" s="3" t="s">
        <v>21</v>
      </c>
      <c r="D550" s="8" t="str">
        <f>HYPERLINK("http://npthd.inbcu.com/ViewContent.aspx?filename=NPMR_CBS_2017-06-22_E.MP4$2959$3111","COMMERCIAL")</f>
        <v>COMMERCIAL</v>
      </c>
      <c r="E550" s="3" t="s">
        <v>128</v>
      </c>
      <c r="F550" s="3" t="s">
        <v>2518</v>
      </c>
      <c r="G550" s="3" t="s">
        <v>2519</v>
      </c>
    </row>
    <row r="551" spans="1:7">
      <c r="A551" s="6">
        <v>42908</v>
      </c>
      <c r="B551" s="3" t="s">
        <v>2053</v>
      </c>
      <c r="C551" s="3" t="s">
        <v>14</v>
      </c>
      <c r="D551" s="8" t="str">
        <f>HYPERLINK("http://npthd.inbcu.com/ViewContent.aspx?filename=NPMR_CBS_2017-06-22_E.MP4$3111$3121","Big Brother")</f>
        <v>Big Brother</v>
      </c>
      <c r="E551" s="3" t="s">
        <v>197</v>
      </c>
      <c r="F551" s="3" t="s">
        <v>2519</v>
      </c>
      <c r="G551" s="3" t="s">
        <v>2520</v>
      </c>
    </row>
    <row r="552" spans="1:7">
      <c r="A552" s="6">
        <v>42908</v>
      </c>
      <c r="B552" s="3" t="s">
        <v>2053</v>
      </c>
      <c r="C552" s="3" t="s">
        <v>32</v>
      </c>
      <c r="D552" s="8" t="str">
        <f>HYPERLINK("http://npthd.inbcu.com/ViewContent.aspx?filename=NPMR_CBS_2017-06-22_E.MP4$3121$3216","LOCAL")</f>
        <v>LOCAL</v>
      </c>
      <c r="E552" s="3" t="s">
        <v>2076</v>
      </c>
      <c r="F552" s="3" t="s">
        <v>2520</v>
      </c>
      <c r="G552" s="3" t="s">
        <v>2521</v>
      </c>
    </row>
    <row r="553" spans="1:7">
      <c r="A553" s="6">
        <v>42908</v>
      </c>
      <c r="B553" s="3" t="s">
        <v>2053</v>
      </c>
      <c r="C553" s="3" t="s">
        <v>18</v>
      </c>
      <c r="D553" s="8" t="str">
        <f>HYPERLINK("http://npthd.inbcu.com/ViewContent.aspx?filename=NPMR_CBS_2017-06-22_E.MP4$3216$3541","SUPERIOR DONUTS: whats the big idea?")</f>
        <v>SUPERIOR DONUTS: whats the big idea?</v>
      </c>
      <c r="E553" s="3" t="s">
        <v>609</v>
      </c>
      <c r="F553" s="3" t="s">
        <v>2521</v>
      </c>
      <c r="G553" s="3" t="s">
        <v>2522</v>
      </c>
    </row>
    <row r="554" spans="1:7">
      <c r="A554" s="6">
        <v>42908</v>
      </c>
      <c r="B554" s="3" t="s">
        <v>2053</v>
      </c>
      <c r="C554" s="3" t="s">
        <v>21</v>
      </c>
      <c r="D554" s="8" t="str">
        <f>HYPERLINK("http://npthd.inbcu.com/ViewContent.aspx?filename=NPMR_CBS_2017-06-22_E.MP4$3541$3678","COMMERCIAL")</f>
        <v>COMMERCIAL</v>
      </c>
      <c r="E554" s="3" t="s">
        <v>488</v>
      </c>
      <c r="F554" s="3" t="s">
        <v>2522</v>
      </c>
      <c r="G554" s="3" t="s">
        <v>2523</v>
      </c>
    </row>
    <row r="555" spans="1:7">
      <c r="A555" s="6">
        <v>42908</v>
      </c>
      <c r="B555" s="3" t="s">
        <v>2053</v>
      </c>
      <c r="C555" s="3" t="s">
        <v>14</v>
      </c>
      <c r="D555" s="8" t="str">
        <f>HYPERLINK("http://npthd.inbcu.com/ViewContent.aspx?filename=NPMR_CBS_2017-06-22_E.MP4$3678$3689","Zoo")</f>
        <v>Zoo</v>
      </c>
      <c r="E555" s="3" t="s">
        <v>1940</v>
      </c>
      <c r="F555" s="3" t="s">
        <v>2523</v>
      </c>
      <c r="G555" s="3" t="s">
        <v>877</v>
      </c>
    </row>
    <row r="556" spans="1:7">
      <c r="A556" s="6">
        <v>42908</v>
      </c>
      <c r="B556" s="3" t="s">
        <v>2053</v>
      </c>
      <c r="C556" s="3" t="s">
        <v>18</v>
      </c>
      <c r="D556" s="8" t="str">
        <f>HYPERLINK("http://npthd.inbcu.com/ViewContent.aspx?filename=NPMR_CBS_2017-06-22_E.MP4$3689$3753","SUPERIOR DONUTS: whats the big idea?")</f>
        <v>SUPERIOR DONUTS: whats the big idea?</v>
      </c>
      <c r="E556" s="3" t="s">
        <v>1902</v>
      </c>
      <c r="F556" s="3" t="s">
        <v>877</v>
      </c>
      <c r="G556" s="3" t="s">
        <v>2524</v>
      </c>
    </row>
    <row r="557" spans="1:7">
      <c r="A557" s="6">
        <v>42908</v>
      </c>
      <c r="B557" s="3" t="s">
        <v>2053</v>
      </c>
      <c r="C557" s="3" t="s">
        <v>14</v>
      </c>
      <c r="D557" s="8" t="str">
        <f>HYPERLINK("http://npthd.inbcu.com/ViewContent.aspx?filename=NPMR_CBS_2017-06-22_E.MP4$3753$3773","Salvation")</f>
        <v>Salvation</v>
      </c>
      <c r="E557" s="3" t="s">
        <v>1805</v>
      </c>
      <c r="F557" s="3" t="s">
        <v>2524</v>
      </c>
      <c r="G557" s="3" t="s">
        <v>804</v>
      </c>
    </row>
    <row r="558" spans="1:7">
      <c r="A558" s="6">
        <v>42908</v>
      </c>
      <c r="B558" s="3" t="s">
        <v>2053</v>
      </c>
      <c r="C558" s="3" t="s">
        <v>18</v>
      </c>
      <c r="D558" s="8" t="str">
        <f>HYPERLINK("http://npthd.inbcu.com/ViewContent.aspx?filename=NPMR_CBS_2017-06-22_E.MP4$3773$3778","SUPERIOR DONUTS: whats the big idea?")</f>
        <v>SUPERIOR DONUTS: whats the big idea?</v>
      </c>
      <c r="E558" s="3" t="s">
        <v>54</v>
      </c>
      <c r="F558" s="3" t="s">
        <v>804</v>
      </c>
      <c r="G558" s="3" t="s">
        <v>157</v>
      </c>
    </row>
    <row r="559" spans="1:7">
      <c r="A559" s="6">
        <v>42908</v>
      </c>
      <c r="B559" s="3" t="s">
        <v>2053</v>
      </c>
      <c r="C559" s="3" t="s">
        <v>14</v>
      </c>
      <c r="D559" s="8" t="str">
        <f>HYPERLINK("http://npthd.inbcu.com/ViewContent.aspx?filename=NPMR_CBS_2017-06-22_E.MP4$3778$3783","Late Show with Stephen Colbert")</f>
        <v>Late Show with Stephen Colbert</v>
      </c>
      <c r="E559" s="3" t="s">
        <v>54</v>
      </c>
      <c r="F559" s="3" t="s">
        <v>157</v>
      </c>
      <c r="G559" s="3" t="s">
        <v>2081</v>
      </c>
    </row>
    <row r="560" spans="1:7">
      <c r="A560" s="6">
        <v>42908</v>
      </c>
      <c r="B560" s="3" t="s">
        <v>2053</v>
      </c>
      <c r="C560" s="3" t="s">
        <v>18</v>
      </c>
      <c r="D560" s="8" t="str">
        <f>HYPERLINK("http://npthd.inbcu.com/ViewContent.aspx?filename=NPMR_CBS_2017-06-22_E.MP4$3783$3946","MOM: freckled bananas and a little schwinn")</f>
        <v>MOM: freckled bananas and a little schwinn</v>
      </c>
      <c r="E560" s="3" t="s">
        <v>1763</v>
      </c>
      <c r="F560" s="3" t="s">
        <v>2081</v>
      </c>
      <c r="G560" s="3" t="s">
        <v>2525</v>
      </c>
    </row>
    <row r="561" spans="1:7">
      <c r="A561" s="6">
        <v>42908</v>
      </c>
      <c r="B561" s="3" t="s">
        <v>2053</v>
      </c>
      <c r="C561" s="3" t="s">
        <v>21</v>
      </c>
      <c r="D561" s="8" t="str">
        <f>HYPERLINK("http://npthd.inbcu.com/ViewContent.aspx?filename=NPMR_CBS_2017-06-22_E.MP4$3946$4038","COMMERCIAL")</f>
        <v>COMMERCIAL</v>
      </c>
      <c r="E561" s="3" t="s">
        <v>267</v>
      </c>
      <c r="F561" s="3" t="s">
        <v>2525</v>
      </c>
      <c r="G561" s="3" t="s">
        <v>2526</v>
      </c>
    </row>
    <row r="562" spans="1:7">
      <c r="A562" s="6">
        <v>42908</v>
      </c>
      <c r="B562" s="3" t="s">
        <v>2053</v>
      </c>
      <c r="C562" s="3" t="s">
        <v>14</v>
      </c>
      <c r="D562" s="8" t="str">
        <f>HYPERLINK("http://npthd.inbcu.com/ViewContent.aspx?filename=NPMR_CBS_2017-06-22_E.MP4$4038$4058","Big Brother")</f>
        <v>Big Brother</v>
      </c>
      <c r="E562" s="3" t="s">
        <v>1805</v>
      </c>
      <c r="F562" s="3" t="s">
        <v>2526</v>
      </c>
      <c r="G562" s="3" t="s">
        <v>2527</v>
      </c>
    </row>
    <row r="563" spans="1:7">
      <c r="A563" s="6">
        <v>42908</v>
      </c>
      <c r="B563" s="3" t="s">
        <v>2053</v>
      </c>
      <c r="C563" s="3" t="s">
        <v>18</v>
      </c>
      <c r="D563" s="8" t="str">
        <f>HYPERLINK("http://npthd.inbcu.com/ViewContent.aspx?filename=NPMR_CBS_2017-06-22_E.MP4$4058$4443","MOM: freckled bananas and a little schwinn")</f>
        <v>MOM: freckled bananas and a little schwinn</v>
      </c>
      <c r="E563" s="3" t="s">
        <v>1455</v>
      </c>
      <c r="F563" s="3" t="s">
        <v>2527</v>
      </c>
      <c r="G563" s="3" t="s">
        <v>2528</v>
      </c>
    </row>
    <row r="564" spans="1:7">
      <c r="A564" s="6">
        <v>42908</v>
      </c>
      <c r="B564" s="3" t="s">
        <v>2053</v>
      </c>
      <c r="C564" s="3" t="s">
        <v>21</v>
      </c>
      <c r="D564" s="8" t="str">
        <f>HYPERLINK("http://npthd.inbcu.com/ViewContent.aspx?filename=NPMR_CBS_2017-06-22_E.MP4$4443$4625","COMMERCIAL")</f>
        <v>COMMERCIAL</v>
      </c>
      <c r="E564" s="3" t="s">
        <v>275</v>
      </c>
      <c r="F564" s="3" t="s">
        <v>2528</v>
      </c>
      <c r="G564" s="3" t="s">
        <v>2087</v>
      </c>
    </row>
    <row r="565" spans="1:7">
      <c r="A565" s="6">
        <v>42908</v>
      </c>
      <c r="B565" s="3" t="s">
        <v>2053</v>
      </c>
      <c r="C565" s="3" t="s">
        <v>14</v>
      </c>
      <c r="D565" s="8" t="str">
        <f>HYPERLINK("http://npthd.inbcu.com/ViewContent.aspx?filename=NPMR_CBS_2017-06-22_E.MP4$4625$4655","Salvation")</f>
        <v>Salvation</v>
      </c>
      <c r="E565" s="3" t="s">
        <v>38</v>
      </c>
      <c r="F565" s="3" t="s">
        <v>2087</v>
      </c>
      <c r="G565" s="3" t="s">
        <v>2529</v>
      </c>
    </row>
    <row r="566" spans="1:7">
      <c r="A566" s="6">
        <v>42908</v>
      </c>
      <c r="B566" s="3" t="s">
        <v>2053</v>
      </c>
      <c r="C566" s="3" t="s">
        <v>32</v>
      </c>
      <c r="D566" s="8" t="str">
        <f>HYPERLINK("http://npthd.inbcu.com/ViewContent.aspx?filename=NPMR_CBS_2017-06-22_E.MP4$4655$4720","LOCAL")</f>
        <v>LOCAL</v>
      </c>
      <c r="E566" s="3" t="s">
        <v>580</v>
      </c>
      <c r="F566" s="3" t="s">
        <v>2529</v>
      </c>
      <c r="G566" s="3" t="s">
        <v>2530</v>
      </c>
    </row>
    <row r="567" spans="1:7">
      <c r="A567" s="6">
        <v>42908</v>
      </c>
      <c r="B567" s="3" t="s">
        <v>2053</v>
      </c>
      <c r="C567" s="3" t="s">
        <v>18</v>
      </c>
      <c r="D567" s="8" t="str">
        <f>HYPERLINK("http://npthd.inbcu.com/ViewContent.aspx?filename=NPMR_CBS_2017-06-22_E.MP4$4720$5324","MOM: freckled bananas and a little schwinn")</f>
        <v>MOM: freckled bananas and a little schwinn</v>
      </c>
      <c r="E567" s="3" t="s">
        <v>2531</v>
      </c>
      <c r="F567" s="3" t="s">
        <v>2530</v>
      </c>
      <c r="G567" s="3" t="s">
        <v>1964</v>
      </c>
    </row>
    <row r="568" spans="1:7">
      <c r="A568" s="6">
        <v>42908</v>
      </c>
      <c r="B568" s="3" t="s">
        <v>2053</v>
      </c>
      <c r="C568" s="3" t="s">
        <v>21</v>
      </c>
      <c r="D568" s="8" t="str">
        <f>HYPERLINK("http://npthd.inbcu.com/ViewContent.aspx?filename=NPMR_CBS_2017-06-22_E.MP4$5324$5446","COMMERCIAL")</f>
        <v>COMMERCIAL</v>
      </c>
      <c r="E568" s="3" t="s">
        <v>252</v>
      </c>
      <c r="F568" s="3" t="s">
        <v>1964</v>
      </c>
      <c r="G568" s="3" t="s">
        <v>2532</v>
      </c>
    </row>
    <row r="569" spans="1:7">
      <c r="A569" s="6">
        <v>42908</v>
      </c>
      <c r="B569" s="3" t="s">
        <v>2053</v>
      </c>
      <c r="C569" s="3" t="s">
        <v>14</v>
      </c>
      <c r="D569" s="8" t="str">
        <f>HYPERLINK("http://npthd.inbcu.com/ViewContent.aspx?filename=NPMR_CBS_2017-06-22_E.MP4$5446$5456","Candy Crush")</f>
        <v>Candy Crush</v>
      </c>
      <c r="E569" s="3" t="s">
        <v>197</v>
      </c>
      <c r="F569" s="3" t="s">
        <v>2532</v>
      </c>
      <c r="G569" s="3" t="s">
        <v>2533</v>
      </c>
    </row>
    <row r="570" spans="1:7">
      <c r="A570" s="6">
        <v>42908</v>
      </c>
      <c r="B570" s="3" t="s">
        <v>2053</v>
      </c>
      <c r="C570" s="3" t="s">
        <v>18</v>
      </c>
      <c r="D570" s="8" t="str">
        <f>HYPERLINK("http://npthd.inbcu.com/ViewContent.aspx?filename=NPMR_CBS_2017-06-22_E.MP4$5456$5493","MOM: freckled bananas and a little schwinn")</f>
        <v>MOM: freckled bananas and a little schwinn</v>
      </c>
      <c r="E570" s="3" t="s">
        <v>1409</v>
      </c>
      <c r="F570" s="3" t="s">
        <v>2533</v>
      </c>
      <c r="G570" s="3" t="s">
        <v>2092</v>
      </c>
    </row>
    <row r="571" spans="1:7">
      <c r="A571" s="6">
        <v>42908</v>
      </c>
      <c r="B571" s="3" t="s">
        <v>2053</v>
      </c>
      <c r="C571" s="3" t="s">
        <v>14</v>
      </c>
      <c r="D571" s="8" t="str">
        <f>HYPERLINK("http://npthd.inbcu.com/ViewContent.aspx?filename=NPMR_CBS_2017-06-22_E.MP4$5493$5513","Zoo")</f>
        <v>Zoo</v>
      </c>
      <c r="E571" s="3" t="s">
        <v>1805</v>
      </c>
      <c r="F571" s="3" t="s">
        <v>2092</v>
      </c>
      <c r="G571" s="3" t="s">
        <v>1436</v>
      </c>
    </row>
    <row r="572" spans="1:7">
      <c r="A572" s="6">
        <v>42908</v>
      </c>
      <c r="B572" s="3" t="s">
        <v>2053</v>
      </c>
      <c r="C572" s="3" t="s">
        <v>18</v>
      </c>
      <c r="D572" s="8" t="str">
        <f>HYPERLINK("http://npthd.inbcu.com/ViewContent.aspx?filename=NPMR_CBS_2017-06-22_E.MP4$5513$5518","MOM: freckled bananas and a little schwinn")</f>
        <v>MOM: freckled bananas and a little schwinn</v>
      </c>
      <c r="E572" s="3" t="s">
        <v>54</v>
      </c>
      <c r="F572" s="3" t="s">
        <v>1436</v>
      </c>
      <c r="G572" s="3" t="s">
        <v>550</v>
      </c>
    </row>
    <row r="573" spans="1:7">
      <c r="A573" s="6">
        <v>42908</v>
      </c>
      <c r="B573" s="3" t="s">
        <v>2053</v>
      </c>
      <c r="C573" s="3" t="s">
        <v>14</v>
      </c>
      <c r="D573" s="8" t="str">
        <f>HYPERLINK("http://npthd.inbcu.com/ViewContent.aspx?filename=NPMR_CBS_2017-06-22_E.MP4$5518$5523","Big Brother")</f>
        <v>Big Brother</v>
      </c>
      <c r="E573" s="3" t="s">
        <v>54</v>
      </c>
      <c r="F573" s="3" t="s">
        <v>550</v>
      </c>
      <c r="G573" s="3" t="s">
        <v>551</v>
      </c>
    </row>
    <row r="574" spans="1:7">
      <c r="A574" s="6">
        <v>42908</v>
      </c>
      <c r="B574" s="3" t="s">
        <v>2053</v>
      </c>
      <c r="C574" s="3" t="s">
        <v>18</v>
      </c>
      <c r="D574" s="8" t="str">
        <f>HYPERLINK("http://npthd.inbcu.com/ViewContent.aspx?filename=NPMR_CBS_2017-06-22_E.MP4$5523$6168","LIFE IN PIECES: musical motel property bingo")</f>
        <v>LIFE IN PIECES: musical motel property bingo</v>
      </c>
      <c r="E574" s="3" t="s">
        <v>2534</v>
      </c>
      <c r="F574" s="3" t="s">
        <v>551</v>
      </c>
      <c r="G574" s="3" t="s">
        <v>2535</v>
      </c>
    </row>
    <row r="575" spans="1:7">
      <c r="A575" s="6">
        <v>42908</v>
      </c>
      <c r="B575" s="3" t="s">
        <v>2053</v>
      </c>
      <c r="C575" s="3" t="s">
        <v>21</v>
      </c>
      <c r="D575" s="8" t="str">
        <f>HYPERLINK("http://npthd.inbcu.com/ViewContent.aspx?filename=NPMR_CBS_2017-06-22_E.MP4$6168$6258","COMMERCIAL")</f>
        <v>COMMERCIAL</v>
      </c>
      <c r="E575" s="3" t="s">
        <v>46</v>
      </c>
      <c r="F575" s="3" t="s">
        <v>2535</v>
      </c>
      <c r="G575" s="3" t="s">
        <v>2536</v>
      </c>
    </row>
    <row r="576" spans="1:7">
      <c r="A576" s="6">
        <v>42908</v>
      </c>
      <c r="B576" s="3" t="s">
        <v>2053</v>
      </c>
      <c r="C576" s="3" t="s">
        <v>14</v>
      </c>
      <c r="D576" s="8" t="str">
        <f>HYPERLINK("http://npthd.inbcu.com/ViewContent.aspx?filename=NPMR_CBS_2017-06-22_E.MP4$6258$6279","CBS All Access")</f>
        <v>CBS All Access</v>
      </c>
      <c r="E576" s="3" t="s">
        <v>2067</v>
      </c>
      <c r="F576" s="3" t="s">
        <v>2536</v>
      </c>
      <c r="G576" s="3" t="s">
        <v>2537</v>
      </c>
    </row>
    <row r="577" spans="1:7">
      <c r="A577" s="6">
        <v>42908</v>
      </c>
      <c r="B577" s="3" t="s">
        <v>2053</v>
      </c>
      <c r="C577" s="3" t="s">
        <v>18</v>
      </c>
      <c r="D577" s="8" t="str">
        <f>HYPERLINK("http://npthd.inbcu.com/ViewContent.aspx?filename=NPMR_CBS_2017-06-22_E.MP4$6279$6540","LIFE IN PIECES: musical motel property bingo")</f>
        <v>LIFE IN PIECES: musical motel property bingo</v>
      </c>
      <c r="E577" s="3" t="s">
        <v>614</v>
      </c>
      <c r="F577" s="3" t="s">
        <v>2537</v>
      </c>
      <c r="G577" s="3" t="s">
        <v>1576</v>
      </c>
    </row>
    <row r="578" spans="1:7">
      <c r="A578" s="6">
        <v>42908</v>
      </c>
      <c r="B578" s="3" t="s">
        <v>2053</v>
      </c>
      <c r="C578" s="3" t="s">
        <v>21</v>
      </c>
      <c r="D578" s="8" t="str">
        <f>HYPERLINK("http://npthd.inbcu.com/ViewContent.aspx?filename=NPMR_CBS_2017-06-22_E.MP4$6540$6692","COMMERCIAL")</f>
        <v>COMMERCIAL</v>
      </c>
      <c r="E578" s="3" t="s">
        <v>128</v>
      </c>
      <c r="F578" s="3" t="s">
        <v>1576</v>
      </c>
      <c r="G578" s="3" t="s">
        <v>2538</v>
      </c>
    </row>
    <row r="579" spans="1:7">
      <c r="A579" s="6">
        <v>42908</v>
      </c>
      <c r="B579" s="3" t="s">
        <v>2053</v>
      </c>
      <c r="C579" s="3" t="s">
        <v>14</v>
      </c>
      <c r="D579" s="8" t="str">
        <f>HYPERLINK("http://npthd.inbcu.com/ViewContent.aspx?filename=NPMR_CBS_2017-06-22_E.MP4$6692$6702","CBS This Morning")</f>
        <v>CBS This Morning</v>
      </c>
      <c r="E579" s="3" t="s">
        <v>197</v>
      </c>
      <c r="F579" s="3" t="s">
        <v>2538</v>
      </c>
      <c r="G579" s="3" t="s">
        <v>1443</v>
      </c>
    </row>
    <row r="580" spans="1:7">
      <c r="A580" s="6">
        <v>42908</v>
      </c>
      <c r="B580" s="3" t="s">
        <v>2053</v>
      </c>
      <c r="C580" s="3" t="s">
        <v>32</v>
      </c>
      <c r="D580" s="8" t="str">
        <f>HYPERLINK("http://npthd.inbcu.com/ViewContent.aspx?filename=NPMR_CBS_2017-06-22_E.MP4$6702$6798","LOCAL")</f>
        <v>LOCAL</v>
      </c>
      <c r="E580" s="3" t="s">
        <v>2101</v>
      </c>
      <c r="F580" s="3" t="s">
        <v>1443</v>
      </c>
      <c r="G580" s="3" t="s">
        <v>1360</v>
      </c>
    </row>
    <row r="581" spans="1:7">
      <c r="A581" s="6">
        <v>42908</v>
      </c>
      <c r="B581" s="3" t="s">
        <v>2053</v>
      </c>
      <c r="C581" s="3" t="s">
        <v>18</v>
      </c>
      <c r="D581" s="8" t="str">
        <f>HYPERLINK("http://npthd.inbcu.com/ViewContent.aspx?filename=NPMR_CBS_2017-06-22_E.MP4$6798$7039","LIFE IN PIECES: musical motel property bingo")</f>
        <v>LIFE IN PIECES: musical motel property bingo</v>
      </c>
      <c r="E581" s="3" t="s">
        <v>1484</v>
      </c>
      <c r="F581" s="3" t="s">
        <v>1360</v>
      </c>
      <c r="G581" s="3" t="s">
        <v>2539</v>
      </c>
    </row>
    <row r="582" spans="1:7">
      <c r="A582" s="6">
        <v>42908</v>
      </c>
      <c r="B582" s="3" t="s">
        <v>2053</v>
      </c>
      <c r="C582" s="3" t="s">
        <v>21</v>
      </c>
      <c r="D582" s="8" t="str">
        <f>HYPERLINK("http://npthd.inbcu.com/ViewContent.aspx?filename=NPMR_CBS_2017-06-22_E.MP4$7039$7176","COMMERCIAL")</f>
        <v>COMMERCIAL</v>
      </c>
      <c r="E582" s="3" t="s">
        <v>488</v>
      </c>
      <c r="F582" s="3" t="s">
        <v>2539</v>
      </c>
      <c r="G582" s="3" t="s">
        <v>2540</v>
      </c>
    </row>
    <row r="583" spans="1:7">
      <c r="A583" s="6">
        <v>42908</v>
      </c>
      <c r="B583" s="3" t="s">
        <v>2053</v>
      </c>
      <c r="C583" s="3" t="s">
        <v>14</v>
      </c>
      <c r="D583" s="8" t="str">
        <f>HYPERLINK("http://npthd.inbcu.com/ViewContent.aspx?filename=NPMR_CBS_2017-06-22_E.MP4$7176$7187","Zoo")</f>
        <v>Zoo</v>
      </c>
      <c r="E583" s="3" t="s">
        <v>1940</v>
      </c>
      <c r="F583" s="3" t="s">
        <v>2540</v>
      </c>
      <c r="G583" s="3" t="s">
        <v>2541</v>
      </c>
    </row>
    <row r="584" spans="1:7">
      <c r="A584" s="6">
        <v>42908</v>
      </c>
      <c r="B584" s="3" t="s">
        <v>2053</v>
      </c>
      <c r="C584" s="3" t="s">
        <v>18</v>
      </c>
      <c r="D584" s="8" t="str">
        <f>HYPERLINK("http://npthd.inbcu.com/ViewContent.aspx?filename=NPMR_CBS_2017-06-22_E.MP4$7187$7292","LIFE IN PIECES: musical motel property bingo")</f>
        <v>LIFE IN PIECES: musical motel property bingo</v>
      </c>
      <c r="E584" s="3" t="s">
        <v>199</v>
      </c>
      <c r="F584" s="3" t="s">
        <v>2541</v>
      </c>
      <c r="G584" s="3" t="s">
        <v>2542</v>
      </c>
    </row>
    <row r="585" spans="1:7">
      <c r="A585" s="6">
        <v>42908</v>
      </c>
      <c r="B585" s="3" t="s">
        <v>2053</v>
      </c>
      <c r="C585" s="3" t="s">
        <v>14</v>
      </c>
      <c r="D585" s="8" t="str">
        <f>HYPERLINK("http://npthd.inbcu.com/ViewContent.aspx?filename=NPMR_CBS_2017-06-22_E.MP4$7292$7313","Salvation")</f>
        <v>Salvation</v>
      </c>
      <c r="E585" s="3" t="s">
        <v>2067</v>
      </c>
      <c r="F585" s="3" t="s">
        <v>2542</v>
      </c>
      <c r="G585" s="3" t="s">
        <v>750</v>
      </c>
    </row>
    <row r="586" spans="1:7">
      <c r="A586" s="6">
        <v>42908</v>
      </c>
      <c r="B586" s="3" t="s">
        <v>2053</v>
      </c>
      <c r="C586" s="3" t="s">
        <v>18</v>
      </c>
      <c r="D586" s="8" t="str">
        <f>HYPERLINK("http://npthd.inbcu.com/ViewContent.aspx?filename=NPMR_CBS_2017-06-22_E.MP4$7313$7318","LIFE IN PIECES: musical motel property bingo")</f>
        <v>LIFE IN PIECES: musical motel property bingo</v>
      </c>
      <c r="E586" s="3" t="s">
        <v>54</v>
      </c>
      <c r="F586" s="3" t="s">
        <v>750</v>
      </c>
      <c r="G586" s="3" t="s">
        <v>394</v>
      </c>
    </row>
    <row r="587" spans="1:7">
      <c r="A587" s="6">
        <v>42908</v>
      </c>
      <c r="B587" s="3" t="s">
        <v>2053</v>
      </c>
      <c r="C587" s="3" t="s">
        <v>14</v>
      </c>
      <c r="D587" s="8" t="str">
        <f>HYPERLINK("http://npthd.inbcu.com/ViewContent.aspx?filename=NPMR_CBS_2017-06-22_E.MP4$7318$7323","Late Show with Stephen Colbert")</f>
        <v>Late Show with Stephen Colbert</v>
      </c>
      <c r="E587" s="3" t="s">
        <v>54</v>
      </c>
      <c r="F587" s="3" t="s">
        <v>394</v>
      </c>
      <c r="G587" s="3" t="s">
        <v>395</v>
      </c>
    </row>
    <row r="588" spans="1:7">
      <c r="A588" s="6">
        <v>42908</v>
      </c>
      <c r="B588" s="3" t="s">
        <v>2053</v>
      </c>
      <c r="C588" s="3" t="s">
        <v>18</v>
      </c>
      <c r="D588" s="8" t="str">
        <f>HYPERLINK("http://npthd.inbcu.com/ViewContent.aspx?filename=NPMR_CBS_2017-06-22_E.MP4$7323$7890","MACGYVER: can opener")</f>
        <v>MACGYVER: can opener</v>
      </c>
      <c r="E588" s="3" t="s">
        <v>2543</v>
      </c>
      <c r="F588" s="3" t="s">
        <v>395</v>
      </c>
      <c r="G588" s="3" t="s">
        <v>2544</v>
      </c>
    </row>
    <row r="589" spans="1:7">
      <c r="A589" s="6">
        <v>42908</v>
      </c>
      <c r="B589" s="3" t="s">
        <v>2053</v>
      </c>
      <c r="C589" s="3" t="s">
        <v>21</v>
      </c>
      <c r="D589" s="8" t="str">
        <f>HYPERLINK("http://npthd.inbcu.com/ViewContent.aspx?filename=NPMR_CBS_2017-06-22_E.MP4$7890$8043","COMMERCIAL")</f>
        <v>COMMERCIAL</v>
      </c>
      <c r="E589" s="3" t="s">
        <v>1735</v>
      </c>
      <c r="F589" s="3" t="s">
        <v>2544</v>
      </c>
      <c r="G589" s="3" t="s">
        <v>1738</v>
      </c>
    </row>
    <row r="590" spans="1:7">
      <c r="A590" s="6">
        <v>42908</v>
      </c>
      <c r="B590" s="3" t="s">
        <v>2053</v>
      </c>
      <c r="C590" s="3" t="s">
        <v>14</v>
      </c>
      <c r="D590" s="8" t="str">
        <f>HYPERLINK("http://npthd.inbcu.com/ViewContent.aspx?filename=NPMR_CBS_2017-06-22_E.MP4$8043$8058","Zoo")</f>
        <v>Zoo</v>
      </c>
      <c r="E590" s="3" t="s">
        <v>30</v>
      </c>
      <c r="F590" s="3" t="s">
        <v>1738</v>
      </c>
      <c r="G590" s="3" t="s">
        <v>1739</v>
      </c>
    </row>
    <row r="591" spans="1:7">
      <c r="A591" s="6">
        <v>42908</v>
      </c>
      <c r="B591" s="3" t="s">
        <v>2053</v>
      </c>
      <c r="C591" s="3" t="s">
        <v>18</v>
      </c>
      <c r="D591" s="8" t="str">
        <f>HYPERLINK("http://npthd.inbcu.com/ViewContent.aspx?filename=NPMR_CBS_2017-06-22_E.MP4$8058$8714","MACGYVER: can opener")</f>
        <v>MACGYVER: can opener</v>
      </c>
      <c r="E591" s="3" t="s">
        <v>2545</v>
      </c>
      <c r="F591" s="3" t="s">
        <v>1739</v>
      </c>
      <c r="G591" s="3" t="s">
        <v>2546</v>
      </c>
    </row>
    <row r="592" spans="1:7">
      <c r="A592" s="6">
        <v>42908</v>
      </c>
      <c r="B592" s="3" t="s">
        <v>2053</v>
      </c>
      <c r="C592" s="3" t="s">
        <v>21</v>
      </c>
      <c r="D592" s="8" t="str">
        <f>HYPERLINK("http://npthd.inbcu.com/ViewContent.aspx?filename=NPMR_CBS_2017-06-22_E.MP4$8714$8867","COMMERCIAL")</f>
        <v>COMMERCIAL</v>
      </c>
      <c r="E592" s="3" t="s">
        <v>1735</v>
      </c>
      <c r="F592" s="3" t="s">
        <v>2546</v>
      </c>
      <c r="G592" s="3" t="s">
        <v>2547</v>
      </c>
    </row>
    <row r="593" spans="1:7">
      <c r="A593" s="6">
        <v>42908</v>
      </c>
      <c r="B593" s="3" t="s">
        <v>2053</v>
      </c>
      <c r="C593" s="3" t="s">
        <v>14</v>
      </c>
      <c r="D593" s="8" t="str">
        <f>HYPERLINK("http://npthd.inbcu.com/ViewContent.aspx?filename=NPMR_CBS_2017-06-22_E.MP4$8867$8882","Big Brother")</f>
        <v>Big Brother</v>
      </c>
      <c r="E593" s="3" t="s">
        <v>30</v>
      </c>
      <c r="F593" s="3" t="s">
        <v>2547</v>
      </c>
      <c r="G593" s="3" t="s">
        <v>2548</v>
      </c>
    </row>
    <row r="594" spans="1:7">
      <c r="A594" s="6">
        <v>42908</v>
      </c>
      <c r="B594" s="3" t="s">
        <v>2053</v>
      </c>
      <c r="C594" s="3" t="s">
        <v>14</v>
      </c>
      <c r="D594" s="8" t="str">
        <f>HYPERLINK("http://npthd.inbcu.com/ViewContent.aspx?filename=NPMR_CBS_2017-06-22_E.MP4$8882$8902","Salvation")</f>
        <v>Salvation</v>
      </c>
      <c r="E594" s="3" t="s">
        <v>1805</v>
      </c>
      <c r="F594" s="3" t="s">
        <v>2548</v>
      </c>
      <c r="G594" s="3" t="s">
        <v>2549</v>
      </c>
    </row>
    <row r="595" spans="1:7">
      <c r="A595" s="6">
        <v>42908</v>
      </c>
      <c r="B595" s="3" t="s">
        <v>2053</v>
      </c>
      <c r="C595" s="3" t="s">
        <v>18</v>
      </c>
      <c r="D595" s="8" t="str">
        <f>HYPERLINK("http://npthd.inbcu.com/ViewContent.aspx?filename=NPMR_CBS_2017-06-22_E.MP4$8902$9453","MACGYVER: can opener")</f>
        <v>MACGYVER: can opener</v>
      </c>
      <c r="E595" s="3" t="s">
        <v>1060</v>
      </c>
      <c r="F595" s="3" t="s">
        <v>2549</v>
      </c>
      <c r="G595" s="3" t="s">
        <v>1249</v>
      </c>
    </row>
    <row r="596" spans="1:7">
      <c r="A596" s="6">
        <v>42908</v>
      </c>
      <c r="B596" s="3" t="s">
        <v>2053</v>
      </c>
      <c r="C596" s="3" t="s">
        <v>21</v>
      </c>
      <c r="D596" s="8" t="str">
        <f>HYPERLINK("http://npthd.inbcu.com/ViewContent.aspx?filename=NPMR_CBS_2017-06-22_E.MP4$9453$9604","COMMERCIAL")</f>
        <v>COMMERCIAL</v>
      </c>
      <c r="E596" s="3" t="s">
        <v>91</v>
      </c>
      <c r="F596" s="3" t="s">
        <v>1249</v>
      </c>
      <c r="G596" s="3" t="s">
        <v>2550</v>
      </c>
    </row>
    <row r="597" spans="1:7">
      <c r="A597" s="6">
        <v>42908</v>
      </c>
      <c r="B597" s="3" t="s">
        <v>2053</v>
      </c>
      <c r="C597" s="3" t="s">
        <v>32</v>
      </c>
      <c r="D597" s="8" t="str">
        <f>HYPERLINK("http://npthd.inbcu.com/ViewContent.aspx?filename=NPMR_CBS_2017-06-22_E.MP4$9604$9744","LOCAL")</f>
        <v>LOCAL</v>
      </c>
      <c r="E597" s="3" t="s">
        <v>623</v>
      </c>
      <c r="F597" s="3" t="s">
        <v>2550</v>
      </c>
      <c r="G597" s="3" t="s">
        <v>2234</v>
      </c>
    </row>
    <row r="598" spans="1:7">
      <c r="A598" s="6">
        <v>42908</v>
      </c>
      <c r="B598" s="3" t="s">
        <v>2053</v>
      </c>
      <c r="C598" s="3" t="s">
        <v>18</v>
      </c>
      <c r="D598" s="8" t="str">
        <f>HYPERLINK("http://npthd.inbcu.com/ViewContent.aspx?filename=NPMR_CBS_2017-06-22_E.MP4$9744$10024","MACGYVER: can opener")</f>
        <v>MACGYVER: can opener</v>
      </c>
      <c r="E598" s="3" t="s">
        <v>2551</v>
      </c>
      <c r="F598" s="3" t="s">
        <v>2234</v>
      </c>
      <c r="G598" s="3" t="s">
        <v>1305</v>
      </c>
    </row>
    <row r="599" spans="1:7">
      <c r="A599" s="6">
        <v>42908</v>
      </c>
      <c r="B599" s="3" t="s">
        <v>2053</v>
      </c>
      <c r="C599" s="3" t="s">
        <v>21</v>
      </c>
      <c r="D599" s="8" t="str">
        <f>HYPERLINK("http://npthd.inbcu.com/ViewContent.aspx?filename=NPMR_CBS_2017-06-22_E.MP4$10024$10174","COMMERCIAL")</f>
        <v>COMMERCIAL</v>
      </c>
      <c r="E599" s="3" t="s">
        <v>28</v>
      </c>
      <c r="F599" s="3" t="s">
        <v>1305</v>
      </c>
      <c r="G599" s="3" t="s">
        <v>2552</v>
      </c>
    </row>
    <row r="600" spans="1:7">
      <c r="A600" s="6">
        <v>42908</v>
      </c>
      <c r="B600" s="3" t="s">
        <v>2053</v>
      </c>
      <c r="C600" s="3" t="s">
        <v>14</v>
      </c>
      <c r="D600" s="8" t="str">
        <f>HYPERLINK("http://npthd.inbcu.com/ViewContent.aspx?filename=NPMR_CBS_2017-06-22_E.MP4$10174$10186","Late Show with Stephen Colbert")</f>
        <v>Late Show with Stephen Colbert</v>
      </c>
      <c r="E600" s="3" t="s">
        <v>2057</v>
      </c>
      <c r="F600" s="3" t="s">
        <v>2552</v>
      </c>
      <c r="G600" s="3" t="s">
        <v>2553</v>
      </c>
    </row>
    <row r="601" spans="1:7">
      <c r="A601" s="6">
        <v>42908</v>
      </c>
      <c r="B601" s="3" t="s">
        <v>2053</v>
      </c>
      <c r="C601" s="3" t="s">
        <v>14</v>
      </c>
      <c r="D601" s="8" t="str">
        <f>HYPERLINK("http://npthd.inbcu.com/ViewContent.aspx?filename=NPMR_CBS_2017-06-22_E.MP4$10186$10196","Talk, The")</f>
        <v>Talk, The</v>
      </c>
      <c r="E601" s="3" t="s">
        <v>197</v>
      </c>
      <c r="F601" s="3" t="s">
        <v>2553</v>
      </c>
      <c r="G601" s="3" t="s">
        <v>2554</v>
      </c>
    </row>
    <row r="602" spans="1:7">
      <c r="A602" s="6">
        <v>42908</v>
      </c>
      <c r="B602" s="3" t="s">
        <v>2053</v>
      </c>
      <c r="C602" s="3" t="s">
        <v>32</v>
      </c>
      <c r="D602" s="8" t="str">
        <f>HYPERLINK("http://npthd.inbcu.com/ViewContent.aspx?filename=NPMR_CBS_2017-06-22_E.MP4$10196$10291","LOCAL")</f>
        <v>LOCAL</v>
      </c>
      <c r="E602" s="3" t="s">
        <v>2076</v>
      </c>
      <c r="F602" s="3" t="s">
        <v>2554</v>
      </c>
      <c r="G602" s="3" t="s">
        <v>2555</v>
      </c>
    </row>
    <row r="603" spans="1:7">
      <c r="A603" s="6">
        <v>42908</v>
      </c>
      <c r="B603" s="3" t="s">
        <v>2053</v>
      </c>
      <c r="C603" s="3" t="s">
        <v>18</v>
      </c>
      <c r="D603" s="8" t="str">
        <f>HYPERLINK("http://npthd.inbcu.com/ViewContent.aspx?filename=NPMR_CBS_2017-06-22_E.MP4$10291$10797","MACGYVER: can opener")</f>
        <v>MACGYVER: can opener</v>
      </c>
      <c r="E603" s="3" t="s">
        <v>2556</v>
      </c>
      <c r="F603" s="3" t="s">
        <v>2555</v>
      </c>
      <c r="G603" s="3" t="s">
        <v>2557</v>
      </c>
    </row>
    <row r="604" spans="1:7">
      <c r="A604" s="6">
        <v>42908</v>
      </c>
      <c r="B604" s="3" t="s">
        <v>2053</v>
      </c>
      <c r="C604" s="3" t="s">
        <v>32</v>
      </c>
      <c r="D604" s="8" t="str">
        <f>HYPERLINK("http://npthd.inbcu.com/ViewContent.aspx?filename=NPMR_CBS_2017-06-22_E.MP4$10797$10808","LOCAL")</f>
        <v>LOCAL</v>
      </c>
      <c r="E604" s="3" t="s">
        <v>1940</v>
      </c>
      <c r="F604" s="3" t="s">
        <v>2557</v>
      </c>
      <c r="G604" s="3" t="s">
        <v>2558</v>
      </c>
    </row>
    <row r="605" spans="1:7">
      <c r="A605" s="6">
        <v>42908</v>
      </c>
      <c r="B605" s="3" t="s">
        <v>2053</v>
      </c>
      <c r="C605" s="3" t="s">
        <v>21</v>
      </c>
      <c r="D605" s="8" t="str">
        <f>HYPERLINK("http://npthd.inbcu.com/ViewContent.aspx?filename=NPMR_CBS_2017-06-22_E.MP4$10808$10868","COMMERCIAL")</f>
        <v>COMMERCIAL</v>
      </c>
      <c r="E605" s="3" t="s">
        <v>66</v>
      </c>
      <c r="F605" s="3" t="s">
        <v>2558</v>
      </c>
      <c r="G605" s="3" t="s">
        <v>1393</v>
      </c>
    </row>
    <row r="606" spans="1:7">
      <c r="A606" s="6">
        <v>42908</v>
      </c>
      <c r="B606" s="3" t="s">
        <v>2053</v>
      </c>
      <c r="C606" s="3" t="s">
        <v>14</v>
      </c>
      <c r="D606" s="8" t="str">
        <f>HYPERLINK("http://npthd.inbcu.com/ViewContent.aspx?filename=NPMR_CBS_2017-06-22_E.MP4$10868$10875","Late Show with Stephen Colbert")</f>
        <v>Late Show with Stephen Colbert</v>
      </c>
      <c r="E606" s="3" t="s">
        <v>567</v>
      </c>
      <c r="F606" s="3" t="s">
        <v>1393</v>
      </c>
      <c r="G606" s="3" t="s">
        <v>2175</v>
      </c>
    </row>
    <row r="607" spans="1:7">
      <c r="A607" s="6">
        <v>42908</v>
      </c>
      <c r="B607" s="3" t="s">
        <v>2053</v>
      </c>
      <c r="C607" s="3" t="s">
        <v>14</v>
      </c>
      <c r="D607" s="8" t="str">
        <f>HYPERLINK("http://npthd.inbcu.com/ViewContent.aspx?filename=NPMR_CBS_2017-06-22_E.MP4$10875$10896","Zoo")</f>
        <v>Zoo</v>
      </c>
      <c r="E607" s="3" t="s">
        <v>2067</v>
      </c>
      <c r="F607" s="3" t="s">
        <v>2175</v>
      </c>
      <c r="G607" s="3" t="s">
        <v>2559</v>
      </c>
    </row>
    <row r="608" spans="1:7">
      <c r="A608" s="6">
        <v>42908</v>
      </c>
      <c r="B608" s="3" t="s">
        <v>2053</v>
      </c>
      <c r="C608" s="3" t="s">
        <v>18</v>
      </c>
      <c r="D608" s="8" t="str">
        <f>HYPERLINK("http://npthd.inbcu.com/ViewContent.aspx?filename=NPMR_CBS_2017-06-22_E.MP4$10896$10906","MACGYVER: can opener")</f>
        <v>MACGYVER: can opener</v>
      </c>
      <c r="E608" s="3" t="s">
        <v>197</v>
      </c>
      <c r="F608" s="3" t="s">
        <v>2559</v>
      </c>
      <c r="G608" s="3" t="s">
        <v>2317</v>
      </c>
    </row>
    <row r="609" spans="1:7">
      <c r="A609" s="6">
        <v>42908</v>
      </c>
      <c r="B609" s="3" t="s">
        <v>2053</v>
      </c>
      <c r="C609" s="3" t="s">
        <v>32</v>
      </c>
      <c r="D609" s="8" t="str">
        <f>HYPERLINK("http://npthd.inbcu.com/ViewContent.aspx?filename=NPMR_CBS_2017-06-22_E.MP4$10906$10918","LOCAL")</f>
        <v>LOCAL</v>
      </c>
      <c r="E609" s="3" t="s">
        <v>2057</v>
      </c>
      <c r="F609" s="3" t="s">
        <v>2317</v>
      </c>
      <c r="G609" s="3" t="s">
        <v>124</v>
      </c>
    </row>
    <row r="610" spans="1:7">
      <c r="A610" s="6">
        <v>42909</v>
      </c>
      <c r="B610" s="3" t="s">
        <v>2053</v>
      </c>
      <c r="C610" s="3" t="s">
        <v>18</v>
      </c>
      <c r="D610" s="8" t="str">
        <f>HYPERLINK("http://npthd.inbcu.com/ViewContent.aspx?filename=NPMR_CBS_2017-06-23_E.MP4$117$823","MACGYVER: flashlight")</f>
        <v>MACGYVER: flashlight</v>
      </c>
      <c r="E610" s="3" t="s">
        <v>2560</v>
      </c>
      <c r="F610" s="3" t="s">
        <v>16</v>
      </c>
      <c r="G610" s="3" t="s">
        <v>2561</v>
      </c>
    </row>
    <row r="611" spans="1:7">
      <c r="A611" s="6">
        <v>42909</v>
      </c>
      <c r="B611" s="3" t="s">
        <v>2053</v>
      </c>
      <c r="C611" s="3" t="s">
        <v>21</v>
      </c>
      <c r="D611" s="8" t="str">
        <f>HYPERLINK("http://npthd.inbcu.com/ViewContent.aspx?filename=NPMR_CBS_2017-06-23_E.MP4$823$975","COMMERCIAL")</f>
        <v>COMMERCIAL</v>
      </c>
      <c r="E611" s="3" t="s">
        <v>128</v>
      </c>
      <c r="F611" s="3" t="s">
        <v>2561</v>
      </c>
      <c r="G611" s="3" t="s">
        <v>2562</v>
      </c>
    </row>
    <row r="612" spans="1:7">
      <c r="A612" s="6">
        <v>42909</v>
      </c>
      <c r="B612" s="3" t="s">
        <v>2053</v>
      </c>
      <c r="C612" s="3" t="s">
        <v>14</v>
      </c>
      <c r="D612" s="8" t="str">
        <f>HYPERLINK("http://npthd.inbcu.com/ViewContent.aspx?filename=NPMR_CBS_2017-06-23_E.MP4$975$986","Bull")</f>
        <v>Bull</v>
      </c>
      <c r="E612" s="3" t="s">
        <v>1940</v>
      </c>
      <c r="F612" s="3" t="s">
        <v>2562</v>
      </c>
      <c r="G612" s="3" t="s">
        <v>2563</v>
      </c>
    </row>
    <row r="613" spans="1:7">
      <c r="A613" s="6">
        <v>42909</v>
      </c>
      <c r="B613" s="3" t="s">
        <v>2053</v>
      </c>
      <c r="C613" s="3" t="s">
        <v>14</v>
      </c>
      <c r="D613" s="8" t="str">
        <f>HYPERLINK("http://npthd.inbcu.com/ViewContent.aspx?filename=NPMR_CBS_2017-06-23_E.MP4$986$1006","Zoo")</f>
        <v>Zoo</v>
      </c>
      <c r="E613" s="3" t="s">
        <v>1805</v>
      </c>
      <c r="F613" s="3" t="s">
        <v>2563</v>
      </c>
      <c r="G613" s="3" t="s">
        <v>2564</v>
      </c>
    </row>
    <row r="614" spans="1:7">
      <c r="A614" s="6">
        <v>42909</v>
      </c>
      <c r="B614" s="3" t="s">
        <v>2053</v>
      </c>
      <c r="C614" s="3" t="s">
        <v>18</v>
      </c>
      <c r="D614" s="8" t="str">
        <f>HYPERLINK("http://npthd.inbcu.com/ViewContent.aspx?filename=NPMR_CBS_2017-06-23_E.MP4$1006$1330","MACGYVER: flashlight")</f>
        <v>MACGYVER: flashlight</v>
      </c>
      <c r="E614" s="3" t="s">
        <v>2322</v>
      </c>
      <c r="F614" s="3" t="s">
        <v>2564</v>
      </c>
      <c r="G614" s="3" t="s">
        <v>1264</v>
      </c>
    </row>
    <row r="615" spans="1:7">
      <c r="A615" s="6">
        <v>42909</v>
      </c>
      <c r="B615" s="3" t="s">
        <v>2053</v>
      </c>
      <c r="C615" s="3" t="s">
        <v>21</v>
      </c>
      <c r="D615" s="8" t="str">
        <f>HYPERLINK("http://npthd.inbcu.com/ViewContent.aspx?filename=NPMR_CBS_2017-06-23_E.MP4$1330$1483","COMMERCIAL")</f>
        <v>COMMERCIAL</v>
      </c>
      <c r="E615" s="3" t="s">
        <v>1735</v>
      </c>
      <c r="F615" s="3" t="s">
        <v>1264</v>
      </c>
      <c r="G615" s="3" t="s">
        <v>2565</v>
      </c>
    </row>
    <row r="616" spans="1:7">
      <c r="A616" s="6">
        <v>42909</v>
      </c>
      <c r="B616" s="3" t="s">
        <v>2053</v>
      </c>
      <c r="C616" s="3" t="s">
        <v>1618</v>
      </c>
      <c r="D616" s="8" t="str">
        <f>HYPERLINK("http://npthd.inbcu.com/ViewContent.aspx?filename=NPMR_CBS_2017-06-23_E.MP4$1483$1493","PSA")</f>
        <v>PSA</v>
      </c>
      <c r="E616" s="3" t="s">
        <v>197</v>
      </c>
      <c r="F616" s="3" t="s">
        <v>2565</v>
      </c>
      <c r="G616" s="3" t="s">
        <v>2566</v>
      </c>
    </row>
    <row r="617" spans="1:7">
      <c r="A617" s="6">
        <v>42909</v>
      </c>
      <c r="B617" s="3" t="s">
        <v>2053</v>
      </c>
      <c r="C617" s="3" t="s">
        <v>14</v>
      </c>
      <c r="D617" s="8" t="str">
        <f>HYPERLINK("http://npthd.inbcu.com/ViewContent.aspx?filename=NPMR_CBS_2017-06-23_E.MP4$1493$1513","Big Brother")</f>
        <v>Big Brother</v>
      </c>
      <c r="E617" s="3" t="s">
        <v>1805</v>
      </c>
      <c r="F617" s="3" t="s">
        <v>2566</v>
      </c>
      <c r="G617" s="3" t="s">
        <v>2567</v>
      </c>
    </row>
    <row r="618" spans="1:7">
      <c r="A618" s="6">
        <v>42909</v>
      </c>
      <c r="B618" s="3" t="s">
        <v>2053</v>
      </c>
      <c r="C618" s="3" t="s">
        <v>14</v>
      </c>
      <c r="D618" s="8" t="str">
        <f>HYPERLINK("http://npthd.inbcu.com/ViewContent.aspx?filename=NPMR_CBS_2017-06-23_E.MP4$1513$1533","Candy Crush")</f>
        <v>Candy Crush</v>
      </c>
      <c r="E618" s="3" t="s">
        <v>1805</v>
      </c>
      <c r="F618" s="3" t="s">
        <v>2567</v>
      </c>
      <c r="G618" s="3" t="s">
        <v>2568</v>
      </c>
    </row>
    <row r="619" spans="1:7">
      <c r="A619" s="6">
        <v>42909</v>
      </c>
      <c r="B619" s="3" t="s">
        <v>2053</v>
      </c>
      <c r="C619" s="3" t="s">
        <v>18</v>
      </c>
      <c r="D619" s="8" t="str">
        <f>HYPERLINK("http://npthd.inbcu.com/ViewContent.aspx?filename=NPMR_CBS_2017-06-23_E.MP4$1533$2185","MACGYVER: flashlight")</f>
        <v>MACGYVER: flashlight</v>
      </c>
      <c r="E619" s="3" t="s">
        <v>2569</v>
      </c>
      <c r="F619" s="3" t="s">
        <v>2568</v>
      </c>
      <c r="G619" s="3" t="s">
        <v>976</v>
      </c>
    </row>
    <row r="620" spans="1:7">
      <c r="A620" s="6">
        <v>42909</v>
      </c>
      <c r="B620" s="3" t="s">
        <v>2053</v>
      </c>
      <c r="C620" s="3" t="s">
        <v>21</v>
      </c>
      <c r="D620" s="8" t="str">
        <f>HYPERLINK("http://npthd.inbcu.com/ViewContent.aspx?filename=NPMR_CBS_2017-06-23_E.MP4$2185$2337","COMMERCIAL")</f>
        <v>COMMERCIAL</v>
      </c>
      <c r="E620" s="3" t="s">
        <v>128</v>
      </c>
      <c r="F620" s="3" t="s">
        <v>976</v>
      </c>
      <c r="G620" s="3" t="s">
        <v>2570</v>
      </c>
    </row>
    <row r="621" spans="1:7">
      <c r="A621" s="6">
        <v>42909</v>
      </c>
      <c r="B621" s="3" t="s">
        <v>2053</v>
      </c>
      <c r="C621" s="3" t="s">
        <v>14</v>
      </c>
      <c r="D621" s="8" t="str">
        <f>HYPERLINK("http://npthd.inbcu.com/ViewContent.aspx?filename=NPMR_CBS_2017-06-23_E.MP4$2337$2343","Kevin Can Wait")</f>
        <v>Kevin Can Wait</v>
      </c>
      <c r="E621" s="3" t="s">
        <v>15</v>
      </c>
      <c r="F621" s="3" t="s">
        <v>2570</v>
      </c>
      <c r="G621" s="3" t="s">
        <v>2571</v>
      </c>
    </row>
    <row r="622" spans="1:7">
      <c r="A622" s="6">
        <v>42909</v>
      </c>
      <c r="B622" s="3" t="s">
        <v>2053</v>
      </c>
      <c r="C622" s="3" t="s">
        <v>14</v>
      </c>
      <c r="D622" s="8" t="str">
        <f>HYPERLINK("http://npthd.inbcu.com/ViewContent.aspx?filename=NPMR_CBS_2017-06-23_E.MP4$2343$2373","Salvation")</f>
        <v>Salvation</v>
      </c>
      <c r="E622" s="3" t="s">
        <v>38</v>
      </c>
      <c r="F622" s="3" t="s">
        <v>2571</v>
      </c>
      <c r="G622" s="3" t="s">
        <v>2572</v>
      </c>
    </row>
    <row r="623" spans="1:7">
      <c r="A623" s="6">
        <v>42909</v>
      </c>
      <c r="B623" s="3" t="s">
        <v>2053</v>
      </c>
      <c r="C623" s="3" t="s">
        <v>32</v>
      </c>
      <c r="D623" s="8" t="str">
        <f>HYPERLINK("http://npthd.inbcu.com/ViewContent.aspx?filename=NPMR_CBS_2017-06-23_E.MP4$2373$2468","LOCAL")</f>
        <v>LOCAL</v>
      </c>
      <c r="E623" s="3" t="s">
        <v>2076</v>
      </c>
      <c r="F623" s="3" t="s">
        <v>2572</v>
      </c>
      <c r="G623" s="3" t="s">
        <v>2573</v>
      </c>
    </row>
    <row r="624" spans="1:7">
      <c r="A624" s="6">
        <v>42909</v>
      </c>
      <c r="B624" s="3" t="s">
        <v>2053</v>
      </c>
      <c r="C624" s="3" t="s">
        <v>18</v>
      </c>
      <c r="D624" s="8" t="str">
        <f>HYPERLINK("http://npthd.inbcu.com/ViewContent.aspx?filename=NPMR_CBS_2017-06-23_E.MP4$2468$2815","MACGYVER: flashlight")</f>
        <v>MACGYVER: flashlight</v>
      </c>
      <c r="E624" s="3" t="s">
        <v>713</v>
      </c>
      <c r="F624" s="3" t="s">
        <v>2573</v>
      </c>
      <c r="G624" s="3" t="s">
        <v>2574</v>
      </c>
    </row>
    <row r="625" spans="1:7">
      <c r="A625" s="6">
        <v>42909</v>
      </c>
      <c r="B625" s="3" t="s">
        <v>2053</v>
      </c>
      <c r="C625" s="3" t="s">
        <v>21</v>
      </c>
      <c r="D625" s="8" t="str">
        <f>HYPERLINK("http://npthd.inbcu.com/ViewContent.aspx?filename=NPMR_CBS_2017-06-23_E.MP4$2815$2967","COMMERCIAL")</f>
        <v>COMMERCIAL</v>
      </c>
      <c r="E625" s="3" t="s">
        <v>128</v>
      </c>
      <c r="F625" s="3" t="s">
        <v>2574</v>
      </c>
      <c r="G625" s="3" t="s">
        <v>1834</v>
      </c>
    </row>
    <row r="626" spans="1:7">
      <c r="A626" s="6">
        <v>42909</v>
      </c>
      <c r="B626" s="3" t="s">
        <v>2053</v>
      </c>
      <c r="C626" s="3" t="s">
        <v>32</v>
      </c>
      <c r="D626" s="8" t="str">
        <f>HYPERLINK("http://npthd.inbcu.com/ViewContent.aspx?filename=NPMR_CBS_2017-06-23_E.MP4$2967$3063","LOCAL")</f>
        <v>LOCAL</v>
      </c>
      <c r="E626" s="3" t="s">
        <v>2101</v>
      </c>
      <c r="F626" s="3" t="s">
        <v>1834</v>
      </c>
      <c r="G626" s="3" t="s">
        <v>2575</v>
      </c>
    </row>
    <row r="627" spans="1:7">
      <c r="A627" s="6">
        <v>42909</v>
      </c>
      <c r="B627" s="3" t="s">
        <v>2053</v>
      </c>
      <c r="C627" s="3" t="s">
        <v>18</v>
      </c>
      <c r="D627" s="8" t="str">
        <f>HYPERLINK("http://npthd.inbcu.com/ViewContent.aspx?filename=NPMR_CBS_2017-06-23_E.MP4$3063$3533","MACGYVER: flashlight")</f>
        <v>MACGYVER: flashlight</v>
      </c>
      <c r="E627" s="3" t="s">
        <v>2576</v>
      </c>
      <c r="F627" s="3" t="s">
        <v>2575</v>
      </c>
      <c r="G627" s="3" t="s">
        <v>2577</v>
      </c>
    </row>
    <row r="628" spans="1:7">
      <c r="A628" s="6">
        <v>42909</v>
      </c>
      <c r="B628" s="3" t="s">
        <v>2053</v>
      </c>
      <c r="C628" s="3" t="s">
        <v>21</v>
      </c>
      <c r="D628" s="8" t="str">
        <f>HYPERLINK("http://npthd.inbcu.com/ViewContent.aspx?filename=NPMR_CBS_2017-06-23_E.MP4$3533$3655","COMMERCIAL")</f>
        <v>COMMERCIAL</v>
      </c>
      <c r="E628" s="3" t="s">
        <v>252</v>
      </c>
      <c r="F628" s="3" t="s">
        <v>2577</v>
      </c>
      <c r="G628" s="3" t="s">
        <v>633</v>
      </c>
    </row>
    <row r="629" spans="1:7">
      <c r="A629" s="6">
        <v>42909</v>
      </c>
      <c r="B629" s="3" t="s">
        <v>2053</v>
      </c>
      <c r="C629" s="3" t="s">
        <v>14</v>
      </c>
      <c r="D629" s="8" t="str">
        <f>HYPERLINK("http://npthd.inbcu.com/ViewContent.aspx?filename=NPMR_CBS_2017-06-23_E.MP4$3655$3666","PGA on CBS")</f>
        <v>PGA on CBS</v>
      </c>
      <c r="E629" s="3" t="s">
        <v>1940</v>
      </c>
      <c r="F629" s="3" t="s">
        <v>633</v>
      </c>
      <c r="G629" s="3" t="s">
        <v>2578</v>
      </c>
    </row>
    <row r="630" spans="1:7">
      <c r="A630" s="6">
        <v>42909</v>
      </c>
      <c r="B630" s="3" t="s">
        <v>2053</v>
      </c>
      <c r="C630" s="3" t="s">
        <v>1618</v>
      </c>
      <c r="D630" s="8" t="str">
        <f>HYPERLINK("http://npthd.inbcu.com/ViewContent.aspx?filename=NPMR_CBS_2017-06-23_E.MP4$3666$3685","PSA")</f>
        <v>PSA</v>
      </c>
      <c r="E630" s="3" t="s">
        <v>670</v>
      </c>
      <c r="F630" s="3" t="s">
        <v>2578</v>
      </c>
      <c r="G630" s="3" t="s">
        <v>1783</v>
      </c>
    </row>
    <row r="631" spans="1:7">
      <c r="A631" s="6">
        <v>42909</v>
      </c>
      <c r="B631" s="3" t="s">
        <v>2053</v>
      </c>
      <c r="C631" s="3" t="s">
        <v>14</v>
      </c>
      <c r="D631" s="8" t="str">
        <f>HYPERLINK("http://npthd.inbcu.com/ViewContent.aspx?filename=NPMR_CBS_2017-06-23_E.MP4$3685$3707","Big Brother")</f>
        <v>Big Brother</v>
      </c>
      <c r="E631" s="3" t="s">
        <v>2124</v>
      </c>
      <c r="F631" s="3" t="s">
        <v>1783</v>
      </c>
      <c r="G631" s="3" t="s">
        <v>2579</v>
      </c>
    </row>
    <row r="632" spans="1:7">
      <c r="A632" s="6">
        <v>42909</v>
      </c>
      <c r="B632" s="3" t="s">
        <v>2053</v>
      </c>
      <c r="C632" s="3" t="s">
        <v>18</v>
      </c>
      <c r="D632" s="8" t="str">
        <f>HYPERLINK("http://npthd.inbcu.com/ViewContent.aspx?filename=NPMR_CBS_2017-06-23_E.MP4$3707$3717","MACGYVER: flashlight")</f>
        <v>MACGYVER: flashlight</v>
      </c>
      <c r="E632" s="3" t="s">
        <v>197</v>
      </c>
      <c r="F632" s="3" t="s">
        <v>2579</v>
      </c>
      <c r="G632" s="3" t="s">
        <v>242</v>
      </c>
    </row>
    <row r="633" spans="1:7">
      <c r="A633" s="6">
        <v>42909</v>
      </c>
      <c r="B633" s="3" t="s">
        <v>2053</v>
      </c>
      <c r="C633" s="3" t="s">
        <v>14</v>
      </c>
      <c r="D633" s="8" t="str">
        <f>HYPERLINK("http://npthd.inbcu.com/ViewContent.aspx?filename=NPMR_CBS_2017-06-23_E.MP4$3717$3722","Late Show with Stephen Colbert")</f>
        <v>Late Show with Stephen Colbert</v>
      </c>
      <c r="E633" s="3" t="s">
        <v>54</v>
      </c>
      <c r="F633" s="3" t="s">
        <v>242</v>
      </c>
      <c r="G633" s="3" t="s">
        <v>243</v>
      </c>
    </row>
    <row r="634" spans="1:7">
      <c r="A634" s="6">
        <v>42909</v>
      </c>
      <c r="B634" s="3" t="s">
        <v>2053</v>
      </c>
      <c r="C634" s="3" t="s">
        <v>18</v>
      </c>
      <c r="D634" s="8" t="str">
        <f>HYPERLINK("http://npthd.inbcu.com/ViewContent.aspx?filename=NPMR_CBS_2017-06-23_E.MP4$3722$4615","HAWAII 5-0: ka aelike")</f>
        <v>HAWAII 5-0: ka aelike</v>
      </c>
      <c r="E634" s="3" t="s">
        <v>2149</v>
      </c>
      <c r="F634" s="3" t="s">
        <v>243</v>
      </c>
      <c r="G634" s="3" t="s">
        <v>1137</v>
      </c>
    </row>
    <row r="635" spans="1:7">
      <c r="A635" s="6">
        <v>42909</v>
      </c>
      <c r="B635" s="3" t="s">
        <v>2053</v>
      </c>
      <c r="C635" s="3" t="s">
        <v>21</v>
      </c>
      <c r="D635" s="8" t="str">
        <f>HYPERLINK("http://npthd.inbcu.com/ViewContent.aspx?filename=NPMR_CBS_2017-06-23_E.MP4$4615$4767","COMMERCIAL")</f>
        <v>COMMERCIAL</v>
      </c>
      <c r="E635" s="3" t="s">
        <v>128</v>
      </c>
      <c r="F635" s="3" t="s">
        <v>1137</v>
      </c>
      <c r="G635" s="3" t="s">
        <v>728</v>
      </c>
    </row>
    <row r="636" spans="1:7">
      <c r="A636" s="6">
        <v>42909</v>
      </c>
      <c r="B636" s="3" t="s">
        <v>2053</v>
      </c>
      <c r="C636" s="3" t="s">
        <v>14</v>
      </c>
      <c r="D636" s="8" t="str">
        <f>HYPERLINK("http://npthd.inbcu.com/ViewContent.aspx?filename=NPMR_CBS_2017-06-23_E.MP4$4767$4787","Zoo")</f>
        <v>Zoo</v>
      </c>
      <c r="E636" s="3" t="s">
        <v>1805</v>
      </c>
      <c r="F636" s="3" t="s">
        <v>728</v>
      </c>
      <c r="G636" s="3" t="s">
        <v>2580</v>
      </c>
    </row>
    <row r="637" spans="1:7">
      <c r="A637" s="6">
        <v>42909</v>
      </c>
      <c r="B637" s="3" t="s">
        <v>2053</v>
      </c>
      <c r="C637" s="3" t="s">
        <v>18</v>
      </c>
      <c r="D637" s="8" t="str">
        <f>HYPERLINK("http://npthd.inbcu.com/ViewContent.aspx?filename=NPMR_CBS_2017-06-23_E.MP4$4787$5112","HAWAII 5-0: ka aelike")</f>
        <v>HAWAII 5-0: ka aelike</v>
      </c>
      <c r="E637" s="3" t="s">
        <v>609</v>
      </c>
      <c r="F637" s="3" t="s">
        <v>2580</v>
      </c>
      <c r="G637" s="3" t="s">
        <v>2469</v>
      </c>
    </row>
    <row r="638" spans="1:7">
      <c r="A638" s="6">
        <v>42909</v>
      </c>
      <c r="B638" s="3" t="s">
        <v>2053</v>
      </c>
      <c r="C638" s="3" t="s">
        <v>21</v>
      </c>
      <c r="D638" s="8" t="str">
        <f>HYPERLINK("http://npthd.inbcu.com/ViewContent.aspx?filename=NPMR_CBS_2017-06-23_E.MP4$5112$5325","COMMERCIAL")</f>
        <v>COMMERCIAL</v>
      </c>
      <c r="E638" s="3" t="s">
        <v>261</v>
      </c>
      <c r="F638" s="3" t="s">
        <v>2469</v>
      </c>
      <c r="G638" s="3" t="s">
        <v>2581</v>
      </c>
    </row>
    <row r="639" spans="1:7">
      <c r="A639" s="6">
        <v>42909</v>
      </c>
      <c r="B639" s="3" t="s">
        <v>2053</v>
      </c>
      <c r="C639" s="3" t="s">
        <v>14</v>
      </c>
      <c r="D639" s="8" t="str">
        <f>HYPERLINK("http://npthd.inbcu.com/ViewContent.aspx?filename=NPMR_CBS_2017-06-23_E.MP4$5325$5345","Big Brother")</f>
        <v>Big Brother</v>
      </c>
      <c r="E639" s="3" t="s">
        <v>1805</v>
      </c>
      <c r="F639" s="3" t="s">
        <v>2581</v>
      </c>
      <c r="G639" s="3" t="s">
        <v>2582</v>
      </c>
    </row>
    <row r="640" spans="1:7">
      <c r="A640" s="6">
        <v>42909</v>
      </c>
      <c r="B640" s="3" t="s">
        <v>2053</v>
      </c>
      <c r="C640" s="3" t="s">
        <v>14</v>
      </c>
      <c r="D640" s="8" t="str">
        <f>HYPERLINK("http://npthd.inbcu.com/ViewContent.aspx?filename=NPMR_CBS_2017-06-23_E.MP4$5345$5355","Salvation")</f>
        <v>Salvation</v>
      </c>
      <c r="E640" s="3" t="s">
        <v>197</v>
      </c>
      <c r="F640" s="3" t="s">
        <v>2582</v>
      </c>
      <c r="G640" s="3" t="s">
        <v>2583</v>
      </c>
    </row>
    <row r="641" spans="1:7">
      <c r="A641" s="6">
        <v>42909</v>
      </c>
      <c r="B641" s="3" t="s">
        <v>2053</v>
      </c>
      <c r="C641" s="3" t="s">
        <v>18</v>
      </c>
      <c r="D641" s="8" t="str">
        <f>HYPERLINK("http://npthd.inbcu.com/ViewContent.aspx?filename=NPMR_CBS_2017-06-23_E.MP4$5355$6022","HAWAII 5-0: ka aelike")</f>
        <v>HAWAII 5-0: ka aelike</v>
      </c>
      <c r="E641" s="3" t="s">
        <v>2584</v>
      </c>
      <c r="F641" s="3" t="s">
        <v>2583</v>
      </c>
      <c r="G641" s="3" t="s">
        <v>172</v>
      </c>
    </row>
    <row r="642" spans="1:7">
      <c r="A642" s="6">
        <v>42909</v>
      </c>
      <c r="B642" s="3" t="s">
        <v>2053</v>
      </c>
      <c r="C642" s="3" t="s">
        <v>21</v>
      </c>
      <c r="D642" s="8" t="str">
        <f>HYPERLINK("http://npthd.inbcu.com/ViewContent.aspx?filename=NPMR_CBS_2017-06-23_E.MP4$6022$6113","COMMERCIAL")</f>
        <v>COMMERCIAL</v>
      </c>
      <c r="E642" s="3" t="s">
        <v>77</v>
      </c>
      <c r="F642" s="3" t="s">
        <v>172</v>
      </c>
      <c r="G642" s="3" t="s">
        <v>2153</v>
      </c>
    </row>
    <row r="643" spans="1:7">
      <c r="A643" s="6">
        <v>42909</v>
      </c>
      <c r="B643" s="3" t="s">
        <v>2053</v>
      </c>
      <c r="C643" s="3" t="s">
        <v>32</v>
      </c>
      <c r="D643" s="8" t="str">
        <f>HYPERLINK("http://npthd.inbcu.com/ViewContent.aspx?filename=NPMR_CBS_2017-06-23_E.MP4$6113$6207","LOCAL")</f>
        <v>LOCAL</v>
      </c>
      <c r="E643" s="3" t="s">
        <v>1917</v>
      </c>
      <c r="F643" s="3" t="s">
        <v>2153</v>
      </c>
      <c r="G643" s="3" t="s">
        <v>2585</v>
      </c>
    </row>
    <row r="644" spans="1:7">
      <c r="A644" s="6">
        <v>42909</v>
      </c>
      <c r="B644" s="3" t="s">
        <v>2053</v>
      </c>
      <c r="C644" s="3" t="s">
        <v>18</v>
      </c>
      <c r="D644" s="8" t="str">
        <f>HYPERLINK("http://npthd.inbcu.com/ViewContent.aspx?filename=NPMR_CBS_2017-06-23_E.MP4$6207$6536","HAWAII 5-0: ka aelike")</f>
        <v>HAWAII 5-0: ka aelike</v>
      </c>
      <c r="E644" s="3" t="s">
        <v>2586</v>
      </c>
      <c r="F644" s="3" t="s">
        <v>2585</v>
      </c>
      <c r="G644" s="3" t="s">
        <v>174</v>
      </c>
    </row>
    <row r="645" spans="1:7">
      <c r="A645" s="6">
        <v>42909</v>
      </c>
      <c r="B645" s="3" t="s">
        <v>2053</v>
      </c>
      <c r="C645" s="3" t="s">
        <v>21</v>
      </c>
      <c r="D645" s="8" t="str">
        <f>HYPERLINK("http://npthd.inbcu.com/ViewContent.aspx?filename=NPMR_CBS_2017-06-23_E.MP4$6536$6658","COMMERCIAL")</f>
        <v>COMMERCIAL</v>
      </c>
      <c r="E645" s="3" t="s">
        <v>252</v>
      </c>
      <c r="F645" s="3" t="s">
        <v>174</v>
      </c>
      <c r="G645" s="3" t="s">
        <v>2587</v>
      </c>
    </row>
    <row r="646" spans="1:7">
      <c r="A646" s="6">
        <v>42909</v>
      </c>
      <c r="B646" s="3" t="s">
        <v>2053</v>
      </c>
      <c r="C646" s="3" t="s">
        <v>14</v>
      </c>
      <c r="D646" s="8" t="str">
        <f>HYPERLINK("http://npthd.inbcu.com/ViewContent.aspx?filename=NPMR_CBS_2017-06-23_E.MP4$6658$6689","Salvation")</f>
        <v>Salvation</v>
      </c>
      <c r="E646" s="3" t="s">
        <v>98</v>
      </c>
      <c r="F646" s="3" t="s">
        <v>2587</v>
      </c>
      <c r="G646" s="3" t="s">
        <v>2588</v>
      </c>
    </row>
    <row r="647" spans="1:7">
      <c r="A647" s="6">
        <v>42909</v>
      </c>
      <c r="B647" s="3" t="s">
        <v>2053</v>
      </c>
      <c r="C647" s="3" t="s">
        <v>32</v>
      </c>
      <c r="D647" s="8" t="str">
        <f>HYPERLINK("http://npthd.inbcu.com/ViewContent.aspx?filename=NPMR_CBS_2017-06-23_E.MP4$6689$6754","LOCAL")</f>
        <v>LOCAL</v>
      </c>
      <c r="E647" s="3" t="s">
        <v>580</v>
      </c>
      <c r="F647" s="3" t="s">
        <v>2588</v>
      </c>
      <c r="G647" s="3" t="s">
        <v>2589</v>
      </c>
    </row>
    <row r="648" spans="1:7">
      <c r="A648" s="6">
        <v>42909</v>
      </c>
      <c r="B648" s="3" t="s">
        <v>2053</v>
      </c>
      <c r="C648" s="3" t="s">
        <v>18</v>
      </c>
      <c r="D648" s="8" t="str">
        <f>HYPERLINK("http://npthd.inbcu.com/ViewContent.aspx?filename=NPMR_CBS_2017-06-23_E.MP4$6754$7127","HAWAII 5-0: ka aelike")</f>
        <v>HAWAII 5-0: ka aelike</v>
      </c>
      <c r="E648" s="3" t="s">
        <v>1829</v>
      </c>
      <c r="F648" s="3" t="s">
        <v>2589</v>
      </c>
      <c r="G648" s="3" t="s">
        <v>2161</v>
      </c>
    </row>
    <row r="649" spans="1:7">
      <c r="A649" s="6">
        <v>42909</v>
      </c>
      <c r="B649" s="3" t="s">
        <v>2053</v>
      </c>
      <c r="C649" s="3" t="s">
        <v>21</v>
      </c>
      <c r="D649" s="8" t="str">
        <f>HYPERLINK("http://npthd.inbcu.com/ViewContent.aspx?filename=NPMR_CBS_2017-06-23_E.MP4$7127$7280","COMMERCIAL")</f>
        <v>COMMERCIAL</v>
      </c>
      <c r="E649" s="3" t="s">
        <v>1735</v>
      </c>
      <c r="F649" s="3" t="s">
        <v>2161</v>
      </c>
      <c r="G649" s="3" t="s">
        <v>1366</v>
      </c>
    </row>
    <row r="650" spans="1:7">
      <c r="A650" s="6">
        <v>42909</v>
      </c>
      <c r="B650" s="3" t="s">
        <v>2053</v>
      </c>
      <c r="C650" s="3" t="s">
        <v>14</v>
      </c>
      <c r="D650" s="8" t="str">
        <f>HYPERLINK("http://npthd.inbcu.com/ViewContent.aspx?filename=NPMR_CBS_2017-06-23_E.MP4$7280$7291","PGA on CBS")</f>
        <v>PGA on CBS</v>
      </c>
      <c r="E650" s="3" t="s">
        <v>1940</v>
      </c>
      <c r="F650" s="3" t="s">
        <v>1366</v>
      </c>
      <c r="G650" s="3" t="s">
        <v>2542</v>
      </c>
    </row>
    <row r="651" spans="1:7">
      <c r="A651" s="6">
        <v>42909</v>
      </c>
      <c r="B651" s="3" t="s">
        <v>2053</v>
      </c>
      <c r="C651" s="3" t="s">
        <v>14</v>
      </c>
      <c r="D651" s="8" t="str">
        <f>HYPERLINK("http://npthd.inbcu.com/ViewContent.aspx?filename=NPMR_CBS_2017-06-23_E.MP4$7291$7312","Big Brother")</f>
        <v>Big Brother</v>
      </c>
      <c r="E651" s="3" t="s">
        <v>2067</v>
      </c>
      <c r="F651" s="3" t="s">
        <v>2542</v>
      </c>
      <c r="G651" s="3" t="s">
        <v>750</v>
      </c>
    </row>
    <row r="652" spans="1:7">
      <c r="A652" s="6">
        <v>42909</v>
      </c>
      <c r="B652" s="3" t="s">
        <v>2053</v>
      </c>
      <c r="C652" s="3" t="s">
        <v>18</v>
      </c>
      <c r="D652" s="8" t="str">
        <f>HYPERLINK("http://npthd.inbcu.com/ViewContent.aspx?filename=NPMR_CBS_2017-06-23_E.MP4$7312$7317","HAWAII 5-0: ka aelike")</f>
        <v>HAWAII 5-0: ka aelike</v>
      </c>
      <c r="E652" s="3" t="s">
        <v>54</v>
      </c>
      <c r="F652" s="3" t="s">
        <v>750</v>
      </c>
      <c r="G652" s="3" t="s">
        <v>394</v>
      </c>
    </row>
    <row r="653" spans="1:7">
      <c r="A653" s="6">
        <v>42909</v>
      </c>
      <c r="B653" s="3" t="s">
        <v>2053</v>
      </c>
      <c r="C653" s="3" t="s">
        <v>14</v>
      </c>
      <c r="D653" s="8" t="str">
        <f>HYPERLINK("http://npthd.inbcu.com/ViewContent.aspx?filename=NPMR_CBS_2017-06-23_E.MP4$7317$7322","Late Show with Stephen Colbert")</f>
        <v>Late Show with Stephen Colbert</v>
      </c>
      <c r="E653" s="3" t="s">
        <v>54</v>
      </c>
      <c r="F653" s="3" t="s">
        <v>394</v>
      </c>
      <c r="G653" s="3" t="s">
        <v>395</v>
      </c>
    </row>
    <row r="654" spans="1:7">
      <c r="A654" s="6">
        <v>42909</v>
      </c>
      <c r="B654" s="3" t="s">
        <v>2053</v>
      </c>
      <c r="C654" s="3" t="s">
        <v>18</v>
      </c>
      <c r="D654" s="8" t="str">
        <f>HYPERLINK("http://npthd.inbcu.com/ViewContent.aspx?filename=NPMR_CBS_2017-06-23_E.MP4$7322$7693","BLUE BLOODS: unbearable loss")</f>
        <v>BLUE BLOODS: unbearable loss</v>
      </c>
      <c r="E654" s="3" t="s">
        <v>1967</v>
      </c>
      <c r="F654" s="3" t="s">
        <v>395</v>
      </c>
      <c r="G654" s="3" t="s">
        <v>2590</v>
      </c>
    </row>
    <row r="655" spans="1:7">
      <c r="A655" s="6">
        <v>42909</v>
      </c>
      <c r="B655" s="3" t="s">
        <v>2053</v>
      </c>
      <c r="C655" s="3" t="s">
        <v>21</v>
      </c>
      <c r="D655" s="8" t="str">
        <f>HYPERLINK("http://npthd.inbcu.com/ViewContent.aspx?filename=NPMR_CBS_2017-06-23_E.MP4$7693$7908","COMMERCIAL")</f>
        <v>COMMERCIAL</v>
      </c>
      <c r="E655" s="3" t="s">
        <v>2591</v>
      </c>
      <c r="F655" s="3" t="s">
        <v>2590</v>
      </c>
      <c r="G655" s="3" t="s">
        <v>2592</v>
      </c>
    </row>
    <row r="656" spans="1:7">
      <c r="A656" s="6">
        <v>42909</v>
      </c>
      <c r="B656" s="3" t="s">
        <v>2053</v>
      </c>
      <c r="C656" s="3" t="s">
        <v>14</v>
      </c>
      <c r="D656" s="8" t="str">
        <f>HYPERLINK("http://npthd.inbcu.com/ViewContent.aspx?filename=NPMR_CBS_2017-06-23_E.MP4$7908$7918","60 Minutes")</f>
        <v>60 Minutes</v>
      </c>
      <c r="E656" s="3" t="s">
        <v>197</v>
      </c>
      <c r="F656" s="3" t="s">
        <v>2592</v>
      </c>
      <c r="G656" s="3" t="s">
        <v>2593</v>
      </c>
    </row>
    <row r="657" spans="1:7">
      <c r="A657" s="6">
        <v>42909</v>
      </c>
      <c r="B657" s="3" t="s">
        <v>2053</v>
      </c>
      <c r="C657" s="3" t="s">
        <v>14</v>
      </c>
      <c r="D657" s="8" t="str">
        <f>HYPERLINK("http://npthd.inbcu.com/ViewContent.aspx?filename=NPMR_CBS_2017-06-23_E.MP4$7918$7938","Big Brother")</f>
        <v>Big Brother</v>
      </c>
      <c r="E657" s="3" t="s">
        <v>1805</v>
      </c>
      <c r="F657" s="3" t="s">
        <v>2593</v>
      </c>
      <c r="G657" s="3" t="s">
        <v>2594</v>
      </c>
    </row>
    <row r="658" spans="1:7">
      <c r="A658" s="6">
        <v>42909</v>
      </c>
      <c r="B658" s="3" t="s">
        <v>2053</v>
      </c>
      <c r="C658" s="3" t="s">
        <v>14</v>
      </c>
      <c r="D658" s="8" t="str">
        <f>HYPERLINK("http://npthd.inbcu.com/ViewContent.aspx?filename=NPMR_CBS_2017-06-23_E.MP4$7938$7948","Salvation")</f>
        <v>Salvation</v>
      </c>
      <c r="E658" s="3" t="s">
        <v>197</v>
      </c>
      <c r="F658" s="3" t="s">
        <v>2594</v>
      </c>
      <c r="G658" s="3" t="s">
        <v>2595</v>
      </c>
    </row>
    <row r="659" spans="1:7">
      <c r="A659" s="6">
        <v>42909</v>
      </c>
      <c r="B659" s="3" t="s">
        <v>2053</v>
      </c>
      <c r="C659" s="3" t="s">
        <v>18</v>
      </c>
      <c r="D659" s="8" t="str">
        <f>HYPERLINK("http://npthd.inbcu.com/ViewContent.aspx?filename=NPMR_CBS_2017-06-23_E.MP4$7948$8407","BLUE BLOODS: unbearable loss")</f>
        <v>BLUE BLOODS: unbearable loss</v>
      </c>
      <c r="E659" s="3" t="s">
        <v>895</v>
      </c>
      <c r="F659" s="3" t="s">
        <v>2595</v>
      </c>
      <c r="G659" s="3" t="s">
        <v>2596</v>
      </c>
    </row>
    <row r="660" spans="1:7">
      <c r="A660" s="6">
        <v>42909</v>
      </c>
      <c r="B660" s="3" t="s">
        <v>2053</v>
      </c>
      <c r="C660" s="3" t="s">
        <v>21</v>
      </c>
      <c r="D660" s="8" t="str">
        <f>HYPERLINK("http://npthd.inbcu.com/ViewContent.aspx?filename=NPMR_CBS_2017-06-23_E.MP4$8407$8620","COMMERCIAL")</f>
        <v>COMMERCIAL</v>
      </c>
      <c r="E660" s="3" t="s">
        <v>261</v>
      </c>
      <c r="F660" s="3" t="s">
        <v>2596</v>
      </c>
      <c r="G660" s="3" t="s">
        <v>2037</v>
      </c>
    </row>
    <row r="661" spans="1:7">
      <c r="A661" s="6">
        <v>42909</v>
      </c>
      <c r="B661" s="3" t="s">
        <v>2053</v>
      </c>
      <c r="C661" s="3" t="s">
        <v>14</v>
      </c>
      <c r="D661" s="8" t="str">
        <f>HYPERLINK("http://npthd.inbcu.com/ViewContent.aspx?filename=NPMR_CBS_2017-06-23_E.MP4$8620$8630","48 Hours")</f>
        <v>48 Hours</v>
      </c>
      <c r="E661" s="3" t="s">
        <v>197</v>
      </c>
      <c r="F661" s="3" t="s">
        <v>2037</v>
      </c>
      <c r="G661" s="3" t="s">
        <v>2597</v>
      </c>
    </row>
    <row r="662" spans="1:7">
      <c r="A662" s="6">
        <v>42909</v>
      </c>
      <c r="B662" s="3" t="s">
        <v>2053</v>
      </c>
      <c r="C662" s="3" t="s">
        <v>14</v>
      </c>
      <c r="D662" s="8" t="str">
        <f>HYPERLINK("http://npthd.inbcu.com/ViewContent.aspx?filename=NPMR_CBS_2017-06-23_E.MP4$8630$8640","Bull")</f>
        <v>Bull</v>
      </c>
      <c r="E662" s="3" t="s">
        <v>197</v>
      </c>
      <c r="F662" s="3" t="s">
        <v>2597</v>
      </c>
      <c r="G662" s="3" t="s">
        <v>2598</v>
      </c>
    </row>
    <row r="663" spans="1:7">
      <c r="A663" s="6">
        <v>42909</v>
      </c>
      <c r="B663" s="3" t="s">
        <v>2053</v>
      </c>
      <c r="C663" s="3" t="s">
        <v>14</v>
      </c>
      <c r="D663" s="8" t="str">
        <f>HYPERLINK("http://npthd.inbcu.com/ViewContent.aspx?filename=NPMR_CBS_2017-06-23_E.MP4$8640$8660","Zoo")</f>
        <v>Zoo</v>
      </c>
      <c r="E663" s="3" t="s">
        <v>1805</v>
      </c>
      <c r="F663" s="3" t="s">
        <v>2598</v>
      </c>
      <c r="G663" s="3" t="s">
        <v>2599</v>
      </c>
    </row>
    <row r="664" spans="1:7">
      <c r="A664" s="6">
        <v>42909</v>
      </c>
      <c r="B664" s="3" t="s">
        <v>2053</v>
      </c>
      <c r="C664" s="3" t="s">
        <v>18</v>
      </c>
      <c r="D664" s="8" t="str">
        <f>HYPERLINK("http://npthd.inbcu.com/ViewContent.aspx?filename=NPMR_CBS_2017-06-23_E.MP4$8660$9088","BLUE BLOODS: unbearable loss")</f>
        <v>BLUE BLOODS: unbearable loss</v>
      </c>
      <c r="E664" s="3" t="s">
        <v>61</v>
      </c>
      <c r="F664" s="3" t="s">
        <v>2599</v>
      </c>
      <c r="G664" s="3" t="s">
        <v>2600</v>
      </c>
    </row>
    <row r="665" spans="1:7">
      <c r="A665" s="6">
        <v>42909</v>
      </c>
      <c r="B665" s="3" t="s">
        <v>2053</v>
      </c>
      <c r="C665" s="3" t="s">
        <v>21</v>
      </c>
      <c r="D665" s="8" t="str">
        <f>HYPERLINK("http://npthd.inbcu.com/ViewContent.aspx?filename=NPMR_CBS_2017-06-23_E.MP4$9088$9209","COMMERCIAL")</f>
        <v>COMMERCIAL</v>
      </c>
      <c r="E665" s="3" t="s">
        <v>175</v>
      </c>
      <c r="F665" s="3" t="s">
        <v>2600</v>
      </c>
      <c r="G665" s="3" t="s">
        <v>2601</v>
      </c>
    </row>
    <row r="666" spans="1:7">
      <c r="A666" s="6">
        <v>42909</v>
      </c>
      <c r="B666" s="3" t="s">
        <v>2053</v>
      </c>
      <c r="C666" s="3" t="s">
        <v>32</v>
      </c>
      <c r="D666" s="8" t="str">
        <f>HYPERLINK("http://npthd.inbcu.com/ViewContent.aspx?filename=NPMR_CBS_2017-06-23_E.MP4$9209$9349","LOCAL")</f>
        <v>LOCAL</v>
      </c>
      <c r="E666" s="3" t="s">
        <v>623</v>
      </c>
      <c r="F666" s="3" t="s">
        <v>2601</v>
      </c>
      <c r="G666" s="3" t="s">
        <v>2602</v>
      </c>
    </row>
    <row r="667" spans="1:7">
      <c r="A667" s="6">
        <v>42909</v>
      </c>
      <c r="B667" s="3" t="s">
        <v>2053</v>
      </c>
      <c r="C667" s="3" t="s">
        <v>18</v>
      </c>
      <c r="D667" s="8" t="str">
        <f>HYPERLINK("http://npthd.inbcu.com/ViewContent.aspx?filename=NPMR_CBS_2017-06-23_E.MP4$9349$9762","BLUE BLOODS: unbearable loss")</f>
        <v>BLUE BLOODS: unbearable loss</v>
      </c>
      <c r="E667" s="3" t="s">
        <v>2603</v>
      </c>
      <c r="F667" s="3" t="s">
        <v>2602</v>
      </c>
      <c r="G667" s="3" t="s">
        <v>2379</v>
      </c>
    </row>
    <row r="668" spans="1:7">
      <c r="A668" s="6">
        <v>42909</v>
      </c>
      <c r="B668" s="3" t="s">
        <v>2053</v>
      </c>
      <c r="C668" s="3" t="s">
        <v>21</v>
      </c>
      <c r="D668" s="8" t="str">
        <f>HYPERLINK("http://npthd.inbcu.com/ViewContent.aspx?filename=NPMR_CBS_2017-06-23_E.MP4$9762$9974","COMMERCIAL")</f>
        <v>COMMERCIAL</v>
      </c>
      <c r="E668" s="3" t="s">
        <v>891</v>
      </c>
      <c r="F668" s="3" t="s">
        <v>2379</v>
      </c>
      <c r="G668" s="3" t="s">
        <v>2604</v>
      </c>
    </row>
    <row r="669" spans="1:7">
      <c r="A669" s="6">
        <v>42909</v>
      </c>
      <c r="B669" s="3" t="s">
        <v>2053</v>
      </c>
      <c r="C669" s="3" t="s">
        <v>14</v>
      </c>
      <c r="D669" s="8" t="str">
        <f>HYPERLINK("http://npthd.inbcu.com/ViewContent.aspx?filename=NPMR_CBS_2017-06-23_E.MP4$9974$9985","Late Show with Stephen Colbert")</f>
        <v>Late Show with Stephen Colbert</v>
      </c>
      <c r="E669" s="3" t="s">
        <v>1940</v>
      </c>
      <c r="F669" s="3" t="s">
        <v>2604</v>
      </c>
      <c r="G669" s="3" t="s">
        <v>2605</v>
      </c>
    </row>
    <row r="670" spans="1:7">
      <c r="A670" s="6">
        <v>42909</v>
      </c>
      <c r="B670" s="3" t="s">
        <v>2053</v>
      </c>
      <c r="C670" s="3" t="s">
        <v>14</v>
      </c>
      <c r="D670" s="8" t="str">
        <f>HYPERLINK("http://npthd.inbcu.com/ViewContent.aspx?filename=NPMR_CBS_2017-06-23_E.MP4$9985$10025","Salvation")</f>
        <v>Salvation</v>
      </c>
      <c r="E670" s="3" t="s">
        <v>619</v>
      </c>
      <c r="F670" s="3" t="s">
        <v>2605</v>
      </c>
      <c r="G670" s="3" t="s">
        <v>1175</v>
      </c>
    </row>
    <row r="671" spans="1:7">
      <c r="A671" s="6">
        <v>42909</v>
      </c>
      <c r="B671" s="3" t="s">
        <v>2053</v>
      </c>
      <c r="C671" s="3" t="s">
        <v>32</v>
      </c>
      <c r="D671" s="8" t="str">
        <f>HYPERLINK("http://npthd.inbcu.com/ViewContent.aspx?filename=NPMR_CBS_2017-06-23_E.MP4$10025$10090","LOCAL")</f>
        <v>LOCAL</v>
      </c>
      <c r="E671" s="3" t="s">
        <v>580</v>
      </c>
      <c r="F671" s="3" t="s">
        <v>1175</v>
      </c>
      <c r="G671" s="3" t="s">
        <v>1032</v>
      </c>
    </row>
    <row r="672" spans="1:7">
      <c r="A672" s="6">
        <v>42909</v>
      </c>
      <c r="B672" s="3" t="s">
        <v>2053</v>
      </c>
      <c r="C672" s="3" t="s">
        <v>18</v>
      </c>
      <c r="D672" s="8" t="str">
        <f>HYPERLINK("http://npthd.inbcu.com/ViewContent.aspx?filename=NPMR_CBS_2017-06-23_E.MP4$10090$10802","BLUE BLOODS: unbearable loss")</f>
        <v>BLUE BLOODS: unbearable loss</v>
      </c>
      <c r="E672" s="3" t="s">
        <v>2457</v>
      </c>
      <c r="F672" s="3" t="s">
        <v>1032</v>
      </c>
      <c r="G672" s="3" t="s">
        <v>2606</v>
      </c>
    </row>
    <row r="673" spans="1:7">
      <c r="A673" s="6">
        <v>42909</v>
      </c>
      <c r="B673" s="3" t="s">
        <v>2053</v>
      </c>
      <c r="C673" s="3" t="s">
        <v>32</v>
      </c>
      <c r="D673" s="8" t="str">
        <f>HYPERLINK("http://npthd.inbcu.com/ViewContent.aspx?filename=NPMR_CBS_2017-06-23_E.MP4$10802$10814","LOCAL")</f>
        <v>LOCAL</v>
      </c>
      <c r="E673" s="3" t="s">
        <v>2057</v>
      </c>
      <c r="F673" s="3" t="s">
        <v>2606</v>
      </c>
      <c r="G673" s="3" t="s">
        <v>2607</v>
      </c>
    </row>
    <row r="674" spans="1:7">
      <c r="A674" s="6">
        <v>42909</v>
      </c>
      <c r="B674" s="3" t="s">
        <v>2053</v>
      </c>
      <c r="C674" s="3" t="s">
        <v>21</v>
      </c>
      <c r="D674" s="8" t="str">
        <f>HYPERLINK("http://npthd.inbcu.com/ViewContent.aspx?filename=NPMR_CBS_2017-06-23_E.MP4$10814$10873","COMMERCIAL")</f>
        <v>COMMERCIAL</v>
      </c>
      <c r="E674" s="3" t="s">
        <v>2608</v>
      </c>
      <c r="F674" s="3" t="s">
        <v>2607</v>
      </c>
      <c r="G674" s="3" t="s">
        <v>938</v>
      </c>
    </row>
    <row r="675" spans="1:7">
      <c r="A675" s="6">
        <v>42909</v>
      </c>
      <c r="B675" s="3" t="s">
        <v>2053</v>
      </c>
      <c r="C675" s="3" t="s">
        <v>14</v>
      </c>
      <c r="D675" s="8" t="str">
        <f>HYPERLINK("http://npthd.inbcu.com/ViewContent.aspx?filename=NPMR_CBS_2017-06-23_E.MP4$10873$10879","Late Show with Stephen Colbert")</f>
        <v>Late Show with Stephen Colbert</v>
      </c>
      <c r="E675" s="3" t="s">
        <v>15</v>
      </c>
      <c r="F675" s="3" t="s">
        <v>938</v>
      </c>
      <c r="G675" s="3" t="s">
        <v>773</v>
      </c>
    </row>
    <row r="676" spans="1:7">
      <c r="A676" s="6">
        <v>42909</v>
      </c>
      <c r="B676" s="3" t="s">
        <v>2053</v>
      </c>
      <c r="C676" s="3" t="s">
        <v>14</v>
      </c>
      <c r="D676" s="8" t="str">
        <f>HYPERLINK("http://npthd.inbcu.com/ViewContent.aspx?filename=NPMR_CBS_2017-06-23_E.MP4$10879$10900","Salvation")</f>
        <v>Salvation</v>
      </c>
      <c r="E676" s="3" t="s">
        <v>2067</v>
      </c>
      <c r="F676" s="3" t="s">
        <v>773</v>
      </c>
      <c r="G676" s="3" t="s">
        <v>2316</v>
      </c>
    </row>
    <row r="677" spans="1:7">
      <c r="A677" s="6">
        <v>42909</v>
      </c>
      <c r="B677" s="3" t="s">
        <v>2053</v>
      </c>
      <c r="C677" s="3" t="s">
        <v>18</v>
      </c>
      <c r="D677" s="8" t="str">
        <f>HYPERLINK("http://npthd.inbcu.com/ViewContent.aspx?filename=NPMR_CBS_2017-06-23_E.MP4$10900$10905","BLUE BLOODS: unbearable loss")</f>
        <v>BLUE BLOODS: unbearable loss</v>
      </c>
      <c r="E677" s="3" t="s">
        <v>54</v>
      </c>
      <c r="F677" s="3" t="s">
        <v>2316</v>
      </c>
      <c r="G677" s="3" t="s">
        <v>2317</v>
      </c>
    </row>
    <row r="678" spans="1:7">
      <c r="A678" s="6">
        <v>42909</v>
      </c>
      <c r="B678" s="3" t="s">
        <v>2053</v>
      </c>
      <c r="C678" s="3" t="s">
        <v>32</v>
      </c>
      <c r="D678" s="8" t="str">
        <f>HYPERLINK("http://npthd.inbcu.com/ViewContent.aspx?filename=NPMR_CBS_2017-06-23_E.MP4$10905$10917","LOCAL")</f>
        <v>LOCAL</v>
      </c>
      <c r="E678" s="3" t="s">
        <v>2057</v>
      </c>
      <c r="F678" s="3" t="s">
        <v>2317</v>
      </c>
      <c r="G678" s="3" t="s">
        <v>124</v>
      </c>
    </row>
    <row r="679" spans="1:7">
      <c r="A679" s="6">
        <v>42910</v>
      </c>
      <c r="B679" s="3" t="s">
        <v>2053</v>
      </c>
      <c r="C679" s="3" t="s">
        <v>18</v>
      </c>
      <c r="D679" s="8" t="str">
        <f>HYPERLINK("http://npthd.inbcu.com/ViewContent.aspx?filename=NPMR_CBS_2017-06-24_E.MP4$101$613","HAWAII 5-0: hoi mau na opua i awalua")</f>
        <v>HAWAII 5-0: hoi mau na opua i awalua</v>
      </c>
      <c r="E679" s="3" t="s">
        <v>1570</v>
      </c>
      <c r="F679" s="3" t="s">
        <v>16</v>
      </c>
      <c r="G679" s="3" t="s">
        <v>2266</v>
      </c>
    </row>
    <row r="680" spans="1:7">
      <c r="A680" s="6">
        <v>42910</v>
      </c>
      <c r="B680" s="3" t="s">
        <v>2053</v>
      </c>
      <c r="C680" s="3" t="s">
        <v>21</v>
      </c>
      <c r="D680" s="8" t="str">
        <f>HYPERLINK("http://npthd.inbcu.com/ViewContent.aspx?filename=NPMR_CBS_2017-06-24_E.MP4$613$735","COMMERCIAL")</f>
        <v>COMMERCIAL</v>
      </c>
      <c r="E680" s="3" t="s">
        <v>252</v>
      </c>
      <c r="F680" s="3" t="s">
        <v>2266</v>
      </c>
      <c r="G680" s="3" t="s">
        <v>2609</v>
      </c>
    </row>
    <row r="681" spans="1:7">
      <c r="A681" s="6">
        <v>42910</v>
      </c>
      <c r="B681" s="3" t="s">
        <v>2053</v>
      </c>
      <c r="C681" s="3" t="s">
        <v>14</v>
      </c>
      <c r="D681" s="8" t="str">
        <f>HYPERLINK("http://npthd.inbcu.com/ViewContent.aspx?filename=NPMR_CBS_2017-06-24_E.MP4$735$745","Golf on CBS")</f>
        <v>Golf on CBS</v>
      </c>
      <c r="E681" s="3" t="s">
        <v>197</v>
      </c>
      <c r="F681" s="3" t="s">
        <v>2609</v>
      </c>
      <c r="G681" s="3" t="s">
        <v>2610</v>
      </c>
    </row>
    <row r="682" spans="1:7">
      <c r="A682" s="6">
        <v>42910</v>
      </c>
      <c r="B682" s="3" t="s">
        <v>2053</v>
      </c>
      <c r="C682" s="3" t="s">
        <v>14</v>
      </c>
      <c r="D682" s="8" t="str">
        <f>HYPERLINK("http://npthd.inbcu.com/ViewContent.aspx?filename=NPMR_CBS_2017-06-24_E.MP4$745$755","60 Minutes")</f>
        <v>60 Minutes</v>
      </c>
      <c r="E682" s="3" t="s">
        <v>197</v>
      </c>
      <c r="F682" s="3" t="s">
        <v>2610</v>
      </c>
      <c r="G682" s="3" t="s">
        <v>1540</v>
      </c>
    </row>
    <row r="683" spans="1:7">
      <c r="A683" s="6">
        <v>42910</v>
      </c>
      <c r="B683" s="3" t="s">
        <v>2053</v>
      </c>
      <c r="C683" s="3" t="s">
        <v>14</v>
      </c>
      <c r="D683" s="8" t="str">
        <f>HYPERLINK("http://npthd.inbcu.com/ViewContent.aspx?filename=NPMR_CBS_2017-06-24_E.MP4$755$760","Salvation")</f>
        <v>Salvation</v>
      </c>
      <c r="E683" s="3" t="s">
        <v>54</v>
      </c>
      <c r="F683" s="3" t="s">
        <v>1540</v>
      </c>
      <c r="G683" s="3" t="s">
        <v>2611</v>
      </c>
    </row>
    <row r="684" spans="1:7">
      <c r="A684" s="6">
        <v>42910</v>
      </c>
      <c r="B684" s="3" t="s">
        <v>2053</v>
      </c>
      <c r="C684" s="3" t="s">
        <v>18</v>
      </c>
      <c r="D684" s="8" t="str">
        <f>HYPERLINK("http://npthd.inbcu.com/ViewContent.aspx?filename=NPMR_CBS_2017-06-24_E.MP4$760$1338","HAWAII 5-0: hoi mau na opua i awalua")</f>
        <v>HAWAII 5-0: hoi mau na opua i awalua</v>
      </c>
      <c r="E684" s="3" t="s">
        <v>2171</v>
      </c>
      <c r="F684" s="3" t="s">
        <v>2611</v>
      </c>
      <c r="G684" s="3" t="s">
        <v>2612</v>
      </c>
    </row>
    <row r="685" spans="1:7">
      <c r="A685" s="6">
        <v>42910</v>
      </c>
      <c r="B685" s="3" t="s">
        <v>2053</v>
      </c>
      <c r="C685" s="3" t="s">
        <v>21</v>
      </c>
      <c r="D685" s="8" t="str">
        <f>HYPERLINK("http://npthd.inbcu.com/ViewContent.aspx?filename=NPMR_CBS_2017-06-24_E.MP4$1338$1519","COMMERCIAL")</f>
        <v>COMMERCIAL</v>
      </c>
      <c r="E685" s="3" t="s">
        <v>108</v>
      </c>
      <c r="F685" s="3" t="s">
        <v>2612</v>
      </c>
      <c r="G685" s="3" t="s">
        <v>2613</v>
      </c>
    </row>
    <row r="686" spans="1:7">
      <c r="A686" s="6">
        <v>42910</v>
      </c>
      <c r="B686" s="3" t="s">
        <v>2053</v>
      </c>
      <c r="C686" s="3" t="s">
        <v>1618</v>
      </c>
      <c r="D686" s="8" t="str">
        <f>HYPERLINK("http://npthd.inbcu.com/ViewContent.aspx?filename=NPMR_CBS_2017-06-24_E.MP4$1519$1529","PSA")</f>
        <v>PSA</v>
      </c>
      <c r="E686" s="3" t="s">
        <v>197</v>
      </c>
      <c r="F686" s="3" t="s">
        <v>2613</v>
      </c>
      <c r="G686" s="3" t="s">
        <v>2614</v>
      </c>
    </row>
    <row r="687" spans="1:7">
      <c r="A687" s="6">
        <v>42910</v>
      </c>
      <c r="B687" s="3" t="s">
        <v>2053</v>
      </c>
      <c r="C687" s="3" t="s">
        <v>14</v>
      </c>
      <c r="D687" s="8" t="str">
        <f>HYPERLINK("http://npthd.inbcu.com/ViewContent.aspx?filename=NPMR_CBS_2017-06-24_E.MP4$1529$1549","Big Brother")</f>
        <v>Big Brother</v>
      </c>
      <c r="E687" s="3" t="s">
        <v>1805</v>
      </c>
      <c r="F687" s="3" t="s">
        <v>2614</v>
      </c>
      <c r="G687" s="3" t="s">
        <v>2615</v>
      </c>
    </row>
    <row r="688" spans="1:7">
      <c r="A688" s="6">
        <v>42910</v>
      </c>
      <c r="B688" s="3" t="s">
        <v>2053</v>
      </c>
      <c r="C688" s="3" t="s">
        <v>14</v>
      </c>
      <c r="D688" s="8" t="str">
        <f>HYPERLINK("http://npthd.inbcu.com/ViewContent.aspx?filename=NPMR_CBS_2017-06-24_E.MP4$1549$1569","Candy Crush")</f>
        <v>Candy Crush</v>
      </c>
      <c r="E688" s="3" t="s">
        <v>1805</v>
      </c>
      <c r="F688" s="3" t="s">
        <v>2615</v>
      </c>
      <c r="G688" s="3" t="s">
        <v>2616</v>
      </c>
    </row>
    <row r="689" spans="1:7">
      <c r="A689" s="6">
        <v>42910</v>
      </c>
      <c r="B689" s="3" t="s">
        <v>2053</v>
      </c>
      <c r="C689" s="3" t="s">
        <v>18</v>
      </c>
      <c r="D689" s="8" t="str">
        <f>HYPERLINK("http://npthd.inbcu.com/ViewContent.aspx?filename=NPMR_CBS_2017-06-24_E.MP4$1569$1926","HAWAII 5-0: hoi mau na opua i awalua")</f>
        <v>HAWAII 5-0: hoi mau na opua i awalua</v>
      </c>
      <c r="E689" s="3" t="s">
        <v>323</v>
      </c>
      <c r="F689" s="3" t="s">
        <v>2616</v>
      </c>
      <c r="G689" s="3" t="s">
        <v>1050</v>
      </c>
    </row>
    <row r="690" spans="1:7">
      <c r="A690" s="6">
        <v>42910</v>
      </c>
      <c r="B690" s="3" t="s">
        <v>2053</v>
      </c>
      <c r="C690" s="3" t="s">
        <v>21</v>
      </c>
      <c r="D690" s="8" t="str">
        <f>HYPERLINK("http://npthd.inbcu.com/ViewContent.aspx?filename=NPMR_CBS_2017-06-24_E.MP4$1926$2094","COMMERCIAL")</f>
        <v>COMMERCIAL</v>
      </c>
      <c r="E690" s="3" t="s">
        <v>650</v>
      </c>
      <c r="F690" s="3" t="s">
        <v>1050</v>
      </c>
      <c r="G690" s="3" t="s">
        <v>2617</v>
      </c>
    </row>
    <row r="691" spans="1:7">
      <c r="A691" s="6">
        <v>42910</v>
      </c>
      <c r="B691" s="3" t="s">
        <v>2053</v>
      </c>
      <c r="C691" s="3" t="s">
        <v>14</v>
      </c>
      <c r="D691" s="8" t="str">
        <f>HYPERLINK("http://npthd.inbcu.com/ViewContent.aspx?filename=NPMR_CBS_2017-06-24_E.MP4$2094$2104","Zoo")</f>
        <v>Zoo</v>
      </c>
      <c r="E691" s="3" t="s">
        <v>197</v>
      </c>
      <c r="F691" s="3" t="s">
        <v>2617</v>
      </c>
      <c r="G691" s="3" t="s">
        <v>866</v>
      </c>
    </row>
    <row r="692" spans="1:7">
      <c r="A692" s="6">
        <v>42910</v>
      </c>
      <c r="B692" s="3" t="s">
        <v>2053</v>
      </c>
      <c r="C692" s="3" t="s">
        <v>32</v>
      </c>
      <c r="D692" s="8" t="str">
        <f>HYPERLINK("http://npthd.inbcu.com/ViewContent.aspx?filename=NPMR_CBS_2017-06-24_E.MP4$2104$2169","LOCAL")</f>
        <v>LOCAL</v>
      </c>
      <c r="E692" s="3" t="s">
        <v>580</v>
      </c>
      <c r="F692" s="3" t="s">
        <v>866</v>
      </c>
      <c r="G692" s="3" t="s">
        <v>976</v>
      </c>
    </row>
    <row r="693" spans="1:7">
      <c r="A693" s="6">
        <v>42910</v>
      </c>
      <c r="B693" s="3" t="s">
        <v>2053</v>
      </c>
      <c r="C693" s="3" t="s">
        <v>18</v>
      </c>
      <c r="D693" s="8" t="str">
        <f>HYPERLINK("http://npthd.inbcu.com/ViewContent.aspx?filename=NPMR_CBS_2017-06-24_E.MP4$2169$2547","HAWAII 5-0: hoi mau na opua i awalua")</f>
        <v>HAWAII 5-0: hoi mau na opua i awalua</v>
      </c>
      <c r="E693" s="3" t="s">
        <v>2618</v>
      </c>
      <c r="F693" s="3" t="s">
        <v>976</v>
      </c>
      <c r="G693" s="3" t="s">
        <v>2619</v>
      </c>
    </row>
    <row r="694" spans="1:7">
      <c r="A694" s="6">
        <v>42910</v>
      </c>
      <c r="B694" s="3" t="s">
        <v>2053</v>
      </c>
      <c r="C694" s="3" t="s">
        <v>21</v>
      </c>
      <c r="D694" s="8" t="str">
        <f>HYPERLINK("http://npthd.inbcu.com/ViewContent.aspx?filename=NPMR_CBS_2017-06-24_E.MP4$2547$2699","COMMERCIAL")</f>
        <v>COMMERCIAL</v>
      </c>
      <c r="E694" s="3" t="s">
        <v>128</v>
      </c>
      <c r="F694" s="3" t="s">
        <v>2619</v>
      </c>
      <c r="G694" s="3" t="s">
        <v>2620</v>
      </c>
    </row>
    <row r="695" spans="1:7">
      <c r="A695" s="6">
        <v>42910</v>
      </c>
      <c r="B695" s="3" t="s">
        <v>2053</v>
      </c>
      <c r="C695" s="3" t="s">
        <v>14</v>
      </c>
      <c r="D695" s="8" t="str">
        <f>HYPERLINK("http://npthd.inbcu.com/ViewContent.aspx?filename=NPMR_CBS_2017-06-24_E.MP4$2699$2729","Salvation")</f>
        <v>Salvation</v>
      </c>
      <c r="E695" s="3" t="s">
        <v>38</v>
      </c>
      <c r="F695" s="3" t="s">
        <v>2620</v>
      </c>
      <c r="G695" s="3" t="s">
        <v>2621</v>
      </c>
    </row>
    <row r="696" spans="1:7">
      <c r="A696" s="6">
        <v>42910</v>
      </c>
      <c r="B696" s="3" t="s">
        <v>2053</v>
      </c>
      <c r="C696" s="3" t="s">
        <v>32</v>
      </c>
      <c r="D696" s="8" t="str">
        <f>HYPERLINK("http://npthd.inbcu.com/ViewContent.aspx?filename=NPMR_CBS_2017-06-24_E.MP4$2729$2794","LOCAL")</f>
        <v>LOCAL</v>
      </c>
      <c r="E696" s="3" t="s">
        <v>580</v>
      </c>
      <c r="F696" s="3" t="s">
        <v>2621</v>
      </c>
      <c r="G696" s="3" t="s">
        <v>2007</v>
      </c>
    </row>
    <row r="697" spans="1:7">
      <c r="A697" s="6">
        <v>42910</v>
      </c>
      <c r="B697" s="3" t="s">
        <v>2053</v>
      </c>
      <c r="C697" s="3" t="s">
        <v>18</v>
      </c>
      <c r="D697" s="8" t="str">
        <f>HYPERLINK("http://npthd.inbcu.com/ViewContent.aspx?filename=NPMR_CBS_2017-06-24_E.MP4$2794$3553","HAWAII 5-0: hoi mau na opua i awalua")</f>
        <v>HAWAII 5-0: hoi mau na opua i awalua</v>
      </c>
      <c r="E697" s="3" t="s">
        <v>2622</v>
      </c>
      <c r="F697" s="3" t="s">
        <v>2007</v>
      </c>
      <c r="G697" s="3" t="s">
        <v>2623</v>
      </c>
    </row>
    <row r="698" spans="1:7">
      <c r="A698" s="6">
        <v>42910</v>
      </c>
      <c r="B698" s="3" t="s">
        <v>2053</v>
      </c>
      <c r="C698" s="3" t="s">
        <v>21</v>
      </c>
      <c r="D698" s="8" t="str">
        <f>HYPERLINK("http://npthd.inbcu.com/ViewContent.aspx?filename=NPMR_CBS_2017-06-24_E.MP4$3553$3675","COMMERCIAL")</f>
        <v>COMMERCIAL</v>
      </c>
      <c r="E698" s="3" t="s">
        <v>252</v>
      </c>
      <c r="F698" s="3" t="s">
        <v>2623</v>
      </c>
      <c r="G698" s="3" t="s">
        <v>2407</v>
      </c>
    </row>
    <row r="699" spans="1:7">
      <c r="A699" s="6">
        <v>42910</v>
      </c>
      <c r="B699" s="3" t="s">
        <v>2053</v>
      </c>
      <c r="C699" s="3" t="s">
        <v>14</v>
      </c>
      <c r="D699" s="8" t="str">
        <f>HYPERLINK("http://npthd.inbcu.com/ViewContent.aspx?filename=NPMR_CBS_2017-06-24_E.MP4$3675$3695","Big Brother")</f>
        <v>Big Brother</v>
      </c>
      <c r="E699" s="3" t="s">
        <v>1805</v>
      </c>
      <c r="F699" s="3" t="s">
        <v>2407</v>
      </c>
      <c r="G699" s="3" t="s">
        <v>2624</v>
      </c>
    </row>
    <row r="700" spans="1:7">
      <c r="A700" s="6">
        <v>42910</v>
      </c>
      <c r="B700" s="3" t="s">
        <v>2053</v>
      </c>
      <c r="C700" s="3" t="s">
        <v>18</v>
      </c>
      <c r="D700" s="8" t="str">
        <f>HYPERLINK("http://npthd.inbcu.com/ViewContent.aspx?filename=NPMR_CBS_2017-06-24_E.MP4$3695$3700","HAWAII 5-0: hoi mau na opua i awalua")</f>
        <v>HAWAII 5-0: hoi mau na opua i awalua</v>
      </c>
      <c r="E700" s="3" t="s">
        <v>54</v>
      </c>
      <c r="F700" s="3" t="s">
        <v>2624</v>
      </c>
      <c r="G700" s="3" t="s">
        <v>2283</v>
      </c>
    </row>
    <row r="701" spans="1:7">
      <c r="A701" s="6">
        <v>42910</v>
      </c>
      <c r="B701" s="3" t="s">
        <v>2053</v>
      </c>
      <c r="C701" s="3" t="s">
        <v>14</v>
      </c>
      <c r="D701" s="8" t="str">
        <f>HYPERLINK("http://npthd.inbcu.com/ViewContent.aspx?filename=NPMR_CBS_2017-06-24_E.MP4$3700$3705","Late Show with Stephen Colbert")</f>
        <v>Late Show with Stephen Colbert</v>
      </c>
      <c r="E701" s="3" t="s">
        <v>54</v>
      </c>
      <c r="F701" s="3" t="s">
        <v>2283</v>
      </c>
      <c r="G701" s="3" t="s">
        <v>988</v>
      </c>
    </row>
    <row r="702" spans="1:7">
      <c r="A702" s="6">
        <v>42910</v>
      </c>
      <c r="B702" s="3" t="s">
        <v>2053</v>
      </c>
      <c r="C702" s="3" t="s">
        <v>18</v>
      </c>
      <c r="D702" s="8" t="str">
        <f>HYPERLINK("http://npthd.inbcu.com/ViewContent.aspx?filename=NPMR_CBS_2017-06-24_E.MP4$3705$3906","48 HOURS:")</f>
        <v>48 HOURS:</v>
      </c>
      <c r="E702" s="3" t="s">
        <v>137</v>
      </c>
      <c r="F702" s="3" t="s">
        <v>988</v>
      </c>
      <c r="G702" s="3" t="s">
        <v>2625</v>
      </c>
    </row>
    <row r="703" spans="1:7">
      <c r="A703" s="6">
        <v>42910</v>
      </c>
      <c r="B703" s="3" t="s">
        <v>2053</v>
      </c>
      <c r="C703" s="3" t="s">
        <v>21</v>
      </c>
      <c r="D703" s="8" t="str">
        <f>HYPERLINK("http://npthd.inbcu.com/ViewContent.aspx?filename=NPMR_CBS_2017-06-24_E.MP4$3906$3968","COMMERCIAL")</f>
        <v>COMMERCIAL</v>
      </c>
      <c r="E703" s="3" t="s">
        <v>257</v>
      </c>
      <c r="F703" s="3" t="s">
        <v>2625</v>
      </c>
      <c r="G703" s="3" t="s">
        <v>2626</v>
      </c>
    </row>
    <row r="704" spans="1:7">
      <c r="A704" s="6">
        <v>42910</v>
      </c>
      <c r="B704" s="3" t="s">
        <v>2053</v>
      </c>
      <c r="C704" s="3" t="s">
        <v>14</v>
      </c>
      <c r="D704" s="8" t="str">
        <f>HYPERLINK("http://npthd.inbcu.com/ViewContent.aspx?filename=NPMR_CBS_2017-06-24_E.MP4$3968$3978","Golf on CBS")</f>
        <v>Golf on CBS</v>
      </c>
      <c r="E704" s="3" t="s">
        <v>197</v>
      </c>
      <c r="F704" s="3" t="s">
        <v>2626</v>
      </c>
      <c r="G704" s="3" t="s">
        <v>2627</v>
      </c>
    </row>
    <row r="705" spans="1:7">
      <c r="A705" s="6">
        <v>42910</v>
      </c>
      <c r="B705" s="3" t="s">
        <v>2053</v>
      </c>
      <c r="C705" s="3" t="s">
        <v>14</v>
      </c>
      <c r="D705" s="8" t="str">
        <f>HYPERLINK("http://npthd.inbcu.com/ViewContent.aspx?filename=NPMR_CBS_2017-06-24_E.MP4$3978$3988","60 Minutes")</f>
        <v>60 Minutes</v>
      </c>
      <c r="E705" s="3" t="s">
        <v>197</v>
      </c>
      <c r="F705" s="3" t="s">
        <v>2627</v>
      </c>
      <c r="G705" s="3" t="s">
        <v>2628</v>
      </c>
    </row>
    <row r="706" spans="1:7">
      <c r="A706" s="6">
        <v>42910</v>
      </c>
      <c r="B706" s="3" t="s">
        <v>2053</v>
      </c>
      <c r="C706" s="3" t="s">
        <v>18</v>
      </c>
      <c r="D706" s="8" t="str">
        <f>HYPERLINK("http://npthd.inbcu.com/ViewContent.aspx?filename=NPMR_CBS_2017-06-24_E.MP4$3988$4476","48 HOURS:")</f>
        <v>48 HOURS:</v>
      </c>
      <c r="E706" s="3" t="s">
        <v>1546</v>
      </c>
      <c r="F706" s="3" t="s">
        <v>2628</v>
      </c>
      <c r="G706" s="3" t="s">
        <v>369</v>
      </c>
    </row>
    <row r="707" spans="1:7">
      <c r="A707" s="6">
        <v>42910</v>
      </c>
      <c r="B707" s="3" t="s">
        <v>2053</v>
      </c>
      <c r="C707" s="3" t="s">
        <v>21</v>
      </c>
      <c r="D707" s="8" t="str">
        <f>HYPERLINK("http://npthd.inbcu.com/ViewContent.aspx?filename=NPMR_CBS_2017-06-24_E.MP4$4476$4627","COMMERCIAL")</f>
        <v>COMMERCIAL</v>
      </c>
      <c r="E707" s="3" t="s">
        <v>91</v>
      </c>
      <c r="F707" s="3" t="s">
        <v>369</v>
      </c>
      <c r="G707" s="3" t="s">
        <v>2629</v>
      </c>
    </row>
    <row r="708" spans="1:7">
      <c r="A708" s="6">
        <v>42910</v>
      </c>
      <c r="B708" s="3" t="s">
        <v>2053</v>
      </c>
      <c r="C708" s="3" t="s">
        <v>14</v>
      </c>
      <c r="D708" s="8" t="str">
        <f>HYPERLINK("http://npthd.inbcu.com/ViewContent.aspx?filename=NPMR_CBS_2017-06-24_E.MP4$4627$4642","Big Brother")</f>
        <v>Big Brother</v>
      </c>
      <c r="E708" s="3" t="s">
        <v>30</v>
      </c>
      <c r="F708" s="3" t="s">
        <v>2629</v>
      </c>
      <c r="G708" s="3" t="s">
        <v>2630</v>
      </c>
    </row>
    <row r="709" spans="1:7">
      <c r="A709" s="6">
        <v>42910</v>
      </c>
      <c r="B709" s="3" t="s">
        <v>2053</v>
      </c>
      <c r="C709" s="3" t="s">
        <v>14</v>
      </c>
      <c r="D709" s="8" t="str">
        <f>HYPERLINK("http://npthd.inbcu.com/ViewContent.aspx?filename=NPMR_CBS_2017-06-24_E.MP4$4642$4657","Zoo")</f>
        <v>Zoo</v>
      </c>
      <c r="E709" s="3" t="s">
        <v>30</v>
      </c>
      <c r="F709" s="3" t="s">
        <v>2630</v>
      </c>
      <c r="G709" s="3" t="s">
        <v>2631</v>
      </c>
    </row>
    <row r="710" spans="1:7">
      <c r="A710" s="6">
        <v>42910</v>
      </c>
      <c r="B710" s="3" t="s">
        <v>2053</v>
      </c>
      <c r="C710" s="3" t="s">
        <v>18</v>
      </c>
      <c r="D710" s="8" t="str">
        <f>HYPERLINK("http://npthd.inbcu.com/ViewContent.aspx?filename=NPMR_CBS_2017-06-24_E.MP4$4657$5060","HAWAII 5-0: hoi mau na opua i awalua")</f>
        <v>HAWAII 5-0: hoi mau na opua i awalua</v>
      </c>
      <c r="E710" s="3" t="s">
        <v>737</v>
      </c>
      <c r="F710" s="3" t="s">
        <v>2631</v>
      </c>
      <c r="G710" s="3" t="s">
        <v>2632</v>
      </c>
    </row>
    <row r="711" spans="1:7">
      <c r="A711" s="6">
        <v>42910</v>
      </c>
      <c r="B711" s="3" t="s">
        <v>2053</v>
      </c>
      <c r="C711" s="3" t="s">
        <v>21</v>
      </c>
      <c r="D711" s="8" t="str">
        <f>HYPERLINK("http://npthd.inbcu.com/ViewContent.aspx?filename=NPMR_CBS_2017-06-24_E.MP4$5060$5242","COMMERCIAL")</f>
        <v>COMMERCIAL</v>
      </c>
      <c r="E711" s="3" t="s">
        <v>275</v>
      </c>
      <c r="F711" s="3" t="s">
        <v>2632</v>
      </c>
      <c r="G711" s="3" t="s">
        <v>2633</v>
      </c>
    </row>
    <row r="712" spans="1:7">
      <c r="A712" s="6">
        <v>42910</v>
      </c>
      <c r="B712" s="3" t="s">
        <v>2053</v>
      </c>
      <c r="C712" s="3" t="s">
        <v>14</v>
      </c>
      <c r="D712" s="8" t="str">
        <f>HYPERLINK("http://npthd.inbcu.com/ViewContent.aspx?filename=NPMR_CBS_2017-06-24_E.MP4$5242$5252","Late Show with Stephen Colbert")</f>
        <v>Late Show with Stephen Colbert</v>
      </c>
      <c r="E712" s="3" t="s">
        <v>197</v>
      </c>
      <c r="F712" s="3" t="s">
        <v>2633</v>
      </c>
      <c r="G712" s="3" t="s">
        <v>1568</v>
      </c>
    </row>
    <row r="713" spans="1:7">
      <c r="A713" s="6">
        <v>42910</v>
      </c>
      <c r="B713" s="3" t="s">
        <v>2053</v>
      </c>
      <c r="C713" s="3" t="s">
        <v>14</v>
      </c>
      <c r="D713" s="8" t="str">
        <f>HYPERLINK("http://npthd.inbcu.com/ViewContent.aspx?filename=NPMR_CBS_2017-06-24_E.MP4$5252$5256","Zoo")</f>
        <v>Zoo</v>
      </c>
      <c r="E713" s="3" t="s">
        <v>84</v>
      </c>
      <c r="F713" s="3" t="s">
        <v>1568</v>
      </c>
      <c r="G713" s="3" t="s">
        <v>2634</v>
      </c>
    </row>
    <row r="714" spans="1:7">
      <c r="A714" s="6">
        <v>42910</v>
      </c>
      <c r="B714" s="3" t="s">
        <v>2053</v>
      </c>
      <c r="C714" s="3" t="s">
        <v>32</v>
      </c>
      <c r="D714" s="8" t="str">
        <f>HYPERLINK("http://npthd.inbcu.com/ViewContent.aspx?filename=NPMR_CBS_2017-06-24_E.MP4$5256$5321","LOCAL")</f>
        <v>LOCAL</v>
      </c>
      <c r="E714" s="3" t="s">
        <v>580</v>
      </c>
      <c r="F714" s="3" t="s">
        <v>2634</v>
      </c>
      <c r="G714" s="3" t="s">
        <v>2635</v>
      </c>
    </row>
    <row r="715" spans="1:7">
      <c r="A715" s="6">
        <v>42910</v>
      </c>
      <c r="B715" s="3" t="s">
        <v>2053</v>
      </c>
      <c r="C715" s="3" t="s">
        <v>18</v>
      </c>
      <c r="D715" s="8" t="str">
        <f>HYPERLINK("http://npthd.inbcu.com/ViewContent.aspx?filename=NPMR_CBS_2017-06-24_E.MP4$5321$5719","HAWAII 5-0: hoi mau na opua i awalua")</f>
        <v>HAWAII 5-0: hoi mau na opua i awalua</v>
      </c>
      <c r="E715" s="3" t="s">
        <v>2636</v>
      </c>
      <c r="F715" s="3" t="s">
        <v>2635</v>
      </c>
      <c r="G715" s="3" t="s">
        <v>2637</v>
      </c>
    </row>
    <row r="716" spans="1:7">
      <c r="A716" s="6">
        <v>42910</v>
      </c>
      <c r="B716" s="3" t="s">
        <v>2053</v>
      </c>
      <c r="C716" s="3" t="s">
        <v>21</v>
      </c>
      <c r="D716" s="8" t="str">
        <f>HYPERLINK("http://npthd.inbcu.com/ViewContent.aspx?filename=NPMR_CBS_2017-06-24_E.MP4$5719$5872","COMMERCIAL")</f>
        <v>COMMERCIAL</v>
      </c>
      <c r="E716" s="3" t="s">
        <v>1735</v>
      </c>
      <c r="F716" s="3" t="s">
        <v>2637</v>
      </c>
      <c r="G716" s="3" t="s">
        <v>2638</v>
      </c>
    </row>
    <row r="717" spans="1:7">
      <c r="A717" s="6">
        <v>42910</v>
      </c>
      <c r="B717" s="3" t="s">
        <v>2053</v>
      </c>
      <c r="C717" s="3" t="s">
        <v>14</v>
      </c>
      <c r="D717" s="8" t="str">
        <f>HYPERLINK("http://npthd.inbcu.com/ViewContent.aspx?filename=NPMR_CBS_2017-06-24_E.MP4$5872$5882","48 Hours")</f>
        <v>48 Hours</v>
      </c>
      <c r="E717" s="3" t="s">
        <v>197</v>
      </c>
      <c r="F717" s="3" t="s">
        <v>2638</v>
      </c>
      <c r="G717" s="3" t="s">
        <v>2639</v>
      </c>
    </row>
    <row r="718" spans="1:7">
      <c r="A718" s="6">
        <v>42910</v>
      </c>
      <c r="B718" s="3" t="s">
        <v>2053</v>
      </c>
      <c r="C718" s="3" t="s">
        <v>14</v>
      </c>
      <c r="D718" s="8" t="str">
        <f>HYPERLINK("http://npthd.inbcu.com/ViewContent.aspx?filename=NPMR_CBS_2017-06-24_E.MP4$5882$5922","Salvation")</f>
        <v>Salvation</v>
      </c>
      <c r="E718" s="3" t="s">
        <v>619</v>
      </c>
      <c r="F718" s="3" t="s">
        <v>2639</v>
      </c>
      <c r="G718" s="3" t="s">
        <v>2640</v>
      </c>
    </row>
    <row r="719" spans="1:7">
      <c r="A719" s="6">
        <v>42910</v>
      </c>
      <c r="B719" s="3" t="s">
        <v>2053</v>
      </c>
      <c r="C719" s="3" t="s">
        <v>18</v>
      </c>
      <c r="D719" s="8" t="str">
        <f>HYPERLINK("http://npthd.inbcu.com/ViewContent.aspx?filename=NPMR_CBS_2017-06-24_E.MP4$5922$6398","HAWAII 5-0: hoi mau na opua i awalua")</f>
        <v>HAWAII 5-0: hoi mau na opua i awalua</v>
      </c>
      <c r="E719" s="3" t="s">
        <v>2308</v>
      </c>
      <c r="F719" s="3" t="s">
        <v>2640</v>
      </c>
      <c r="G719" s="3" t="s">
        <v>2641</v>
      </c>
    </row>
    <row r="720" spans="1:7">
      <c r="A720" s="6">
        <v>42910</v>
      </c>
      <c r="B720" s="3" t="s">
        <v>2053</v>
      </c>
      <c r="C720" s="3" t="s">
        <v>21</v>
      </c>
      <c r="D720" s="8" t="str">
        <f>HYPERLINK("http://npthd.inbcu.com/ViewContent.aspx?filename=NPMR_CBS_2017-06-24_E.MP4$6398$6552","COMMERCIAL")</f>
        <v>COMMERCIAL</v>
      </c>
      <c r="E720" s="3" t="s">
        <v>2185</v>
      </c>
      <c r="F720" s="3" t="s">
        <v>2641</v>
      </c>
      <c r="G720" s="3" t="s">
        <v>2642</v>
      </c>
    </row>
    <row r="721" spans="1:7">
      <c r="A721" s="6">
        <v>42910</v>
      </c>
      <c r="B721" s="3" t="s">
        <v>2053</v>
      </c>
      <c r="C721" s="3" t="s">
        <v>18</v>
      </c>
      <c r="D721" s="8" t="str">
        <f>HYPERLINK("http://npthd.inbcu.com/ViewContent.aspx?filename=NPMR_CBS_2017-06-24_E.MP4$6552$7140","48 HOURS:")</f>
        <v>48 HOURS:</v>
      </c>
      <c r="E721" s="3" t="s">
        <v>2643</v>
      </c>
      <c r="F721" s="3" t="s">
        <v>2642</v>
      </c>
      <c r="G721" s="3" t="s">
        <v>2644</v>
      </c>
    </row>
    <row r="722" spans="1:7">
      <c r="A722" s="6">
        <v>42910</v>
      </c>
      <c r="B722" s="3" t="s">
        <v>2053</v>
      </c>
      <c r="C722" s="3" t="s">
        <v>14</v>
      </c>
      <c r="D722" s="8" t="str">
        <f>HYPERLINK("http://npthd.inbcu.com/ViewContent.aspx?filename=NPMR_CBS_2017-06-24_E.MP4$7140$7161","48 Hours")</f>
        <v>48 Hours</v>
      </c>
      <c r="E722" s="3" t="s">
        <v>2067</v>
      </c>
      <c r="F722" s="3" t="s">
        <v>2644</v>
      </c>
      <c r="G722" s="3" t="s">
        <v>2645</v>
      </c>
    </row>
    <row r="723" spans="1:7">
      <c r="A723" s="6">
        <v>42910</v>
      </c>
      <c r="B723" s="3" t="s">
        <v>2053</v>
      </c>
      <c r="C723" s="3" t="s">
        <v>14</v>
      </c>
      <c r="D723" s="8" t="str">
        <f>HYPERLINK("http://npthd.inbcu.com/ViewContent.aspx?filename=NPMR_CBS_2017-06-24_E.MP4$7161$7170","CBS News")</f>
        <v>CBS News</v>
      </c>
      <c r="E723" s="3" t="s">
        <v>2074</v>
      </c>
      <c r="F723" s="3" t="s">
        <v>2645</v>
      </c>
      <c r="G723" s="3" t="s">
        <v>2541</v>
      </c>
    </row>
    <row r="724" spans="1:7">
      <c r="A724" s="6">
        <v>42910</v>
      </c>
      <c r="B724" s="3" t="s">
        <v>2053</v>
      </c>
      <c r="C724" s="3" t="s">
        <v>14</v>
      </c>
      <c r="D724" s="8" t="str">
        <f>HYPERLINK("http://npthd.inbcu.com/ViewContent.aspx?filename=NPMR_CBS_2017-06-24_E.MP4$7170$7175","Zoo")</f>
        <v>Zoo</v>
      </c>
      <c r="E724" s="3" t="s">
        <v>54</v>
      </c>
      <c r="F724" s="3" t="s">
        <v>2541</v>
      </c>
      <c r="G724" s="3" t="s">
        <v>2646</v>
      </c>
    </row>
    <row r="725" spans="1:7">
      <c r="A725" s="6">
        <v>42910</v>
      </c>
      <c r="B725" s="3" t="s">
        <v>2053</v>
      </c>
      <c r="C725" s="3" t="s">
        <v>32</v>
      </c>
      <c r="D725" s="8" t="str">
        <f>HYPERLINK("http://npthd.inbcu.com/ViewContent.aspx?filename=NPMR_CBS_2017-06-24_E.MP4$7175$7300","LOCAL")</f>
        <v>LOCAL</v>
      </c>
      <c r="E725" s="3" t="s">
        <v>2216</v>
      </c>
      <c r="F725" s="3" t="s">
        <v>2646</v>
      </c>
      <c r="G725" s="3" t="s">
        <v>1008</v>
      </c>
    </row>
    <row r="726" spans="1:7">
      <c r="A726" s="6">
        <v>42910</v>
      </c>
      <c r="B726" s="3" t="s">
        <v>2053</v>
      </c>
      <c r="C726" s="3" t="s">
        <v>14</v>
      </c>
      <c r="D726" s="8" t="str">
        <f>HYPERLINK("http://npthd.inbcu.com/ViewContent.aspx?filename=NPMR_CBS_2017-06-24_E.MP4$7300$7305","Late Show with Stephen Colbert")</f>
        <v>Late Show with Stephen Colbert</v>
      </c>
      <c r="E726" s="3" t="s">
        <v>54</v>
      </c>
      <c r="F726" s="3" t="s">
        <v>1008</v>
      </c>
      <c r="G726" s="3" t="s">
        <v>1009</v>
      </c>
    </row>
    <row r="727" spans="1:7">
      <c r="A727" s="6">
        <v>42910</v>
      </c>
      <c r="B727" s="3" t="s">
        <v>2053</v>
      </c>
      <c r="C727" s="3" t="s">
        <v>18</v>
      </c>
      <c r="D727" s="8" t="str">
        <f>HYPERLINK("http://npthd.inbcu.com/ViewContent.aspx?filename=NPMR_CBS_2017-06-24_E.MP4$7305$7577","48 HOURS:")</f>
        <v>48 HOURS:</v>
      </c>
      <c r="E727" s="3" t="s">
        <v>381</v>
      </c>
      <c r="F727" s="3" t="s">
        <v>1009</v>
      </c>
      <c r="G727" s="3" t="s">
        <v>2647</v>
      </c>
    </row>
    <row r="728" spans="1:7">
      <c r="A728" s="6">
        <v>42910</v>
      </c>
      <c r="B728" s="3" t="s">
        <v>2053</v>
      </c>
      <c r="C728" s="3" t="s">
        <v>21</v>
      </c>
      <c r="D728" s="8" t="str">
        <f>HYPERLINK("http://npthd.inbcu.com/ViewContent.aspx?filename=NPMR_CBS_2017-06-24_E.MP4$7577$7638","COMMERCIAL")</f>
        <v>COMMERCIAL</v>
      </c>
      <c r="E728" s="3" t="s">
        <v>33</v>
      </c>
      <c r="F728" s="3" t="s">
        <v>2647</v>
      </c>
      <c r="G728" s="3" t="s">
        <v>2648</v>
      </c>
    </row>
    <row r="729" spans="1:7">
      <c r="A729" s="6">
        <v>42910</v>
      </c>
      <c r="B729" s="3" t="s">
        <v>2053</v>
      </c>
      <c r="C729" s="3" t="s">
        <v>14</v>
      </c>
      <c r="D729" s="8" t="str">
        <f>HYPERLINK("http://npthd.inbcu.com/ViewContent.aspx?filename=NPMR_CBS_2017-06-24_E.MP4$7638$7649","Golf on CBS")</f>
        <v>Golf on CBS</v>
      </c>
      <c r="E729" s="3" t="s">
        <v>1940</v>
      </c>
      <c r="F729" s="3" t="s">
        <v>2648</v>
      </c>
      <c r="G729" s="3" t="s">
        <v>2649</v>
      </c>
    </row>
    <row r="730" spans="1:7">
      <c r="A730" s="6">
        <v>42910</v>
      </c>
      <c r="B730" s="3" t="s">
        <v>2053</v>
      </c>
      <c r="C730" s="3" t="s">
        <v>14</v>
      </c>
      <c r="D730" s="8" t="str">
        <f>HYPERLINK("http://npthd.inbcu.com/ViewContent.aspx?filename=NPMR_CBS_2017-06-24_E.MP4$7649$7659","Zoo")</f>
        <v>Zoo</v>
      </c>
      <c r="E730" s="3" t="s">
        <v>197</v>
      </c>
      <c r="F730" s="3" t="s">
        <v>2649</v>
      </c>
      <c r="G730" s="3" t="s">
        <v>2650</v>
      </c>
    </row>
    <row r="731" spans="1:7">
      <c r="A731" s="6">
        <v>42910</v>
      </c>
      <c r="B731" s="3" t="s">
        <v>2053</v>
      </c>
      <c r="C731" s="3" t="s">
        <v>18</v>
      </c>
      <c r="D731" s="8" t="str">
        <f>HYPERLINK("http://npthd.inbcu.com/ViewContent.aspx?filename=NPMR_CBS_2017-06-24_E.MP4$7659$8268","48 HOURS:")</f>
        <v>48 HOURS:</v>
      </c>
      <c r="E731" s="3" t="s">
        <v>2507</v>
      </c>
      <c r="F731" s="3" t="s">
        <v>2650</v>
      </c>
      <c r="G731" s="3" t="s">
        <v>2651</v>
      </c>
    </row>
    <row r="732" spans="1:7">
      <c r="A732" s="6">
        <v>42910</v>
      </c>
      <c r="B732" s="3" t="s">
        <v>2053</v>
      </c>
      <c r="C732" s="3" t="s">
        <v>21</v>
      </c>
      <c r="D732" s="8" t="str">
        <f>HYPERLINK("http://npthd.inbcu.com/ViewContent.aspx?filename=NPMR_CBS_2017-06-24_E.MP4$8268$8421","COMMERCIAL")</f>
        <v>COMMERCIAL</v>
      </c>
      <c r="E732" s="3" t="s">
        <v>1735</v>
      </c>
      <c r="F732" s="3" t="s">
        <v>2651</v>
      </c>
      <c r="G732" s="3" t="s">
        <v>2652</v>
      </c>
    </row>
    <row r="733" spans="1:7">
      <c r="A733" s="6">
        <v>42910</v>
      </c>
      <c r="B733" s="3" t="s">
        <v>2053</v>
      </c>
      <c r="C733" s="3" t="s">
        <v>18</v>
      </c>
      <c r="D733" s="8" t="str">
        <f>HYPERLINK("http://npthd.inbcu.com/ViewContent.aspx?filename=NPMR_CBS_2017-06-24_E.MP4$8421$8960","HAWAII 5-0: hoi mau na opua i awalua")</f>
        <v>HAWAII 5-0: hoi mau na opua i awalua</v>
      </c>
      <c r="E733" s="3" t="s">
        <v>1054</v>
      </c>
      <c r="F733" s="3" t="s">
        <v>2652</v>
      </c>
      <c r="G733" s="3" t="s">
        <v>2653</v>
      </c>
    </row>
    <row r="734" spans="1:7">
      <c r="A734" s="6">
        <v>42910</v>
      </c>
      <c r="B734" s="3" t="s">
        <v>2053</v>
      </c>
      <c r="C734" s="3" t="s">
        <v>21</v>
      </c>
      <c r="D734" s="8" t="str">
        <f>HYPERLINK("http://npthd.inbcu.com/ViewContent.aspx?filename=NPMR_CBS_2017-06-24_E.MP4$8960$9144","COMMERCIAL")</f>
        <v>COMMERCIAL</v>
      </c>
      <c r="E734" s="3" t="s">
        <v>420</v>
      </c>
      <c r="F734" s="3" t="s">
        <v>2653</v>
      </c>
      <c r="G734" s="3" t="s">
        <v>2654</v>
      </c>
    </row>
    <row r="735" spans="1:7">
      <c r="A735" s="6">
        <v>42910</v>
      </c>
      <c r="B735" s="3" t="s">
        <v>2053</v>
      </c>
      <c r="C735" s="3" t="s">
        <v>14</v>
      </c>
      <c r="D735" s="8" t="str">
        <f>HYPERLINK("http://npthd.inbcu.com/ViewContent.aspx?filename=NPMR_CBS_2017-06-24_E.MP4$9144$9154","60 Minutes")</f>
        <v>60 Minutes</v>
      </c>
      <c r="E735" s="3" t="s">
        <v>197</v>
      </c>
      <c r="F735" s="3" t="s">
        <v>2654</v>
      </c>
      <c r="G735" s="3" t="s">
        <v>2655</v>
      </c>
    </row>
    <row r="736" spans="1:7">
      <c r="A736" s="6">
        <v>42910</v>
      </c>
      <c r="B736" s="3" t="s">
        <v>2053</v>
      </c>
      <c r="C736" s="3" t="s">
        <v>14</v>
      </c>
      <c r="D736" s="8" t="str">
        <f>HYPERLINK("http://npthd.inbcu.com/ViewContent.aspx?filename=NPMR_CBS_2017-06-24_E.MP4$9154$9158","Bull")</f>
        <v>Bull</v>
      </c>
      <c r="E736" s="3" t="s">
        <v>84</v>
      </c>
      <c r="F736" s="3" t="s">
        <v>2655</v>
      </c>
      <c r="G736" s="3" t="s">
        <v>2436</v>
      </c>
    </row>
    <row r="737" spans="1:7">
      <c r="A737" s="6">
        <v>42910</v>
      </c>
      <c r="B737" s="3" t="s">
        <v>2053</v>
      </c>
      <c r="C737" s="3" t="s">
        <v>32</v>
      </c>
      <c r="D737" s="8" t="str">
        <f>HYPERLINK("http://npthd.inbcu.com/ViewContent.aspx?filename=NPMR_CBS_2017-06-24_E.MP4$9158$9269","LOCAL")</f>
        <v>LOCAL</v>
      </c>
      <c r="E737" s="3" t="s">
        <v>2656</v>
      </c>
      <c r="F737" s="3" t="s">
        <v>2436</v>
      </c>
      <c r="G737" s="3" t="s">
        <v>2657</v>
      </c>
    </row>
    <row r="738" spans="1:7">
      <c r="A738" s="6">
        <v>42910</v>
      </c>
      <c r="B738" s="3" t="s">
        <v>2053</v>
      </c>
      <c r="C738" s="3" t="s">
        <v>18</v>
      </c>
      <c r="D738" s="8" t="str">
        <f>HYPERLINK("http://npthd.inbcu.com/ViewContent.aspx?filename=NPMR_CBS_2017-06-24_E.MP4$9269$9687","48 HOURS:")</f>
        <v>48 HOURS:</v>
      </c>
      <c r="E738" s="3" t="s">
        <v>1743</v>
      </c>
      <c r="F738" s="3" t="s">
        <v>2657</v>
      </c>
      <c r="G738" s="3" t="s">
        <v>2658</v>
      </c>
    </row>
    <row r="739" spans="1:7">
      <c r="A739" s="6">
        <v>42910</v>
      </c>
      <c r="B739" s="3" t="s">
        <v>2053</v>
      </c>
      <c r="C739" s="3" t="s">
        <v>21</v>
      </c>
      <c r="D739" s="8" t="str">
        <f>HYPERLINK("http://npthd.inbcu.com/ViewContent.aspx?filename=NPMR_CBS_2017-06-24_E.MP4$9687$9840","COMMERCIAL")</f>
        <v>COMMERCIAL</v>
      </c>
      <c r="E739" s="3" t="s">
        <v>1735</v>
      </c>
      <c r="F739" s="3" t="s">
        <v>2658</v>
      </c>
      <c r="G739" s="3" t="s">
        <v>2046</v>
      </c>
    </row>
    <row r="740" spans="1:7">
      <c r="A740" s="6">
        <v>42910</v>
      </c>
      <c r="B740" s="3" t="s">
        <v>2053</v>
      </c>
      <c r="C740" s="3" t="s">
        <v>14</v>
      </c>
      <c r="D740" s="8" t="str">
        <f>HYPERLINK("http://npthd.inbcu.com/ViewContent.aspx?filename=NPMR_CBS_2017-06-24_E.MP4$9840$9870","Salvation")</f>
        <v>Salvation</v>
      </c>
      <c r="E740" s="3" t="s">
        <v>38</v>
      </c>
      <c r="F740" s="3" t="s">
        <v>2046</v>
      </c>
      <c r="G740" s="3" t="s">
        <v>2659</v>
      </c>
    </row>
    <row r="741" spans="1:7">
      <c r="A741" s="6">
        <v>42910</v>
      </c>
      <c r="B741" s="3" t="s">
        <v>2053</v>
      </c>
      <c r="C741" s="3" t="s">
        <v>14</v>
      </c>
      <c r="D741" s="8" t="str">
        <f>HYPERLINK("http://npthd.inbcu.com/ViewContent.aspx?filename=NPMR_CBS_2017-06-24_E.MP4$9870$9876","CBS Sunday Morning")</f>
        <v>CBS Sunday Morning</v>
      </c>
      <c r="E741" s="3" t="s">
        <v>15</v>
      </c>
      <c r="F741" s="3" t="s">
        <v>2659</v>
      </c>
      <c r="G741" s="3" t="s">
        <v>2660</v>
      </c>
    </row>
    <row r="742" spans="1:7">
      <c r="A742" s="6">
        <v>42910</v>
      </c>
      <c r="B742" s="3" t="s">
        <v>2053</v>
      </c>
      <c r="C742" s="3" t="s">
        <v>32</v>
      </c>
      <c r="D742" s="8" t="str">
        <f>HYPERLINK("http://npthd.inbcu.com/ViewContent.aspx?filename=NPMR_CBS_2017-06-24_E.MP4$9876$9970","LOCAL")</f>
        <v>LOCAL</v>
      </c>
      <c r="E742" s="3" t="s">
        <v>1917</v>
      </c>
      <c r="F742" s="3" t="s">
        <v>2660</v>
      </c>
      <c r="G742" s="3" t="s">
        <v>2661</v>
      </c>
    </row>
    <row r="743" spans="1:7">
      <c r="A743" s="6">
        <v>42910</v>
      </c>
      <c r="B743" s="3" t="s">
        <v>2053</v>
      </c>
      <c r="C743" s="3" t="s">
        <v>18</v>
      </c>
      <c r="D743" s="8" t="str">
        <f>HYPERLINK("http://npthd.inbcu.com/ViewContent.aspx?filename=NPMR_CBS_2017-06-24_E.MP4$9970$10364","48 HOURS:")</f>
        <v>48 HOURS:</v>
      </c>
      <c r="E743" s="3" t="s">
        <v>2662</v>
      </c>
      <c r="F743" s="3" t="s">
        <v>2661</v>
      </c>
      <c r="G743" s="3" t="s">
        <v>2663</v>
      </c>
    </row>
    <row r="744" spans="1:7">
      <c r="A744" s="6">
        <v>42910</v>
      </c>
      <c r="B744" s="3" t="s">
        <v>2053</v>
      </c>
      <c r="C744" s="3" t="s">
        <v>32</v>
      </c>
      <c r="D744" s="8" t="str">
        <f>HYPERLINK("http://npthd.inbcu.com/ViewContent.aspx?filename=NPMR_CBS_2017-06-24_E.MP4$10364$10375","LOCAL")</f>
        <v>LOCAL</v>
      </c>
      <c r="E744" s="3" t="s">
        <v>1940</v>
      </c>
      <c r="F744" s="3" t="s">
        <v>2663</v>
      </c>
      <c r="G744" s="3" t="s">
        <v>2664</v>
      </c>
    </row>
    <row r="745" spans="1:7">
      <c r="A745" s="6">
        <v>42910</v>
      </c>
      <c r="B745" s="3" t="s">
        <v>2053</v>
      </c>
      <c r="C745" s="3" t="s">
        <v>21</v>
      </c>
      <c r="D745" s="8" t="str">
        <f>HYPERLINK("http://npthd.inbcu.com/ViewContent.aspx?filename=NPMR_CBS_2017-06-24_E.MP4$10375$10526","COMMERCIAL")</f>
        <v>COMMERCIAL</v>
      </c>
      <c r="E745" s="3" t="s">
        <v>91</v>
      </c>
      <c r="F745" s="3" t="s">
        <v>2664</v>
      </c>
      <c r="G745" s="3" t="s">
        <v>2665</v>
      </c>
    </row>
    <row r="746" spans="1:7">
      <c r="A746" s="6">
        <v>42910</v>
      </c>
      <c r="B746" s="3" t="s">
        <v>2053</v>
      </c>
      <c r="C746" s="3" t="s">
        <v>14</v>
      </c>
      <c r="D746" s="8" t="str">
        <f>HYPERLINK("http://npthd.inbcu.com/ViewContent.aspx?filename=NPMR_CBS_2017-06-24_E.MP4$10526$10531","Late Show with Stephen Colbert")</f>
        <v>Late Show with Stephen Colbert</v>
      </c>
      <c r="E746" s="3" t="s">
        <v>54</v>
      </c>
      <c r="F746" s="3" t="s">
        <v>2665</v>
      </c>
      <c r="G746" s="3" t="s">
        <v>2666</v>
      </c>
    </row>
    <row r="747" spans="1:7">
      <c r="A747" s="6">
        <v>42910</v>
      </c>
      <c r="B747" s="3" t="s">
        <v>2053</v>
      </c>
      <c r="C747" s="3" t="s">
        <v>18</v>
      </c>
      <c r="D747" s="8" t="str">
        <f>HYPERLINK("http://npthd.inbcu.com/ViewContent.aspx?filename=NPMR_CBS_2017-06-24_E.MP4$10531$10856","48 HOURS:")</f>
        <v>48 HOURS:</v>
      </c>
      <c r="E747" s="3" t="s">
        <v>609</v>
      </c>
      <c r="F747" s="3" t="s">
        <v>2666</v>
      </c>
      <c r="G747" s="3" t="s">
        <v>310</v>
      </c>
    </row>
    <row r="748" spans="1:7">
      <c r="A748" s="6">
        <v>42910</v>
      </c>
      <c r="B748" s="3" t="s">
        <v>2053</v>
      </c>
      <c r="C748" s="3" t="s">
        <v>14</v>
      </c>
      <c r="D748" s="8" t="str">
        <f>HYPERLINK("http://npthd.inbcu.com/ViewContent.aspx?filename=NPMR_CBS_2017-06-24_E.MP4$10856$10889","48 Hours")</f>
        <v>48 Hours</v>
      </c>
      <c r="E748" s="3" t="s">
        <v>2667</v>
      </c>
      <c r="F748" s="3" t="s">
        <v>310</v>
      </c>
      <c r="G748" s="3" t="s">
        <v>2317</v>
      </c>
    </row>
    <row r="749" spans="1:7">
      <c r="A749" s="6">
        <v>42910</v>
      </c>
      <c r="B749" s="3" t="s">
        <v>2053</v>
      </c>
      <c r="C749" s="3" t="s">
        <v>32</v>
      </c>
      <c r="D749" s="8" t="str">
        <f>HYPERLINK("http://npthd.inbcu.com/ViewContent.aspx?filename=NPMR_CBS_2017-06-24_E.MP4$10889$10901","LOCAL")</f>
        <v>LOCAL</v>
      </c>
      <c r="E749" s="3" t="s">
        <v>2057</v>
      </c>
      <c r="F749" s="3" t="s">
        <v>2317</v>
      </c>
      <c r="G749" s="3" t="s">
        <v>124</v>
      </c>
    </row>
    <row r="750" spans="1:7">
      <c r="A750" s="6">
        <v>42911</v>
      </c>
      <c r="B750" s="3" t="s">
        <v>2053</v>
      </c>
      <c r="C750" s="3" t="s">
        <v>18</v>
      </c>
      <c r="D750" s="8" t="str">
        <f>HYPERLINK("http://npthd.inbcu.com/ViewContent.aspx?filename=NPMR_CBS_2017-06-25_E.MP4$91$201","60 MINUTES:")</f>
        <v>60 MINUTES:</v>
      </c>
      <c r="E750" s="3" t="s">
        <v>558</v>
      </c>
      <c r="F750" s="3" t="s">
        <v>311</v>
      </c>
      <c r="G750" s="3" t="s">
        <v>2668</v>
      </c>
    </row>
    <row r="751" spans="1:7">
      <c r="A751" s="6">
        <v>42911</v>
      </c>
      <c r="B751" s="3" t="s">
        <v>2053</v>
      </c>
      <c r="C751" s="3" t="s">
        <v>21</v>
      </c>
      <c r="D751" s="8" t="str">
        <f>HYPERLINK("http://npthd.inbcu.com/ViewContent.aspx?filename=NPMR_CBS_2017-06-25_E.MP4$201$381","COMMERCIAL")</f>
        <v>COMMERCIAL</v>
      </c>
      <c r="E751" s="3" t="s">
        <v>22</v>
      </c>
      <c r="F751" s="3" t="s">
        <v>2668</v>
      </c>
      <c r="G751" s="3" t="s">
        <v>2669</v>
      </c>
    </row>
    <row r="752" spans="1:7">
      <c r="A752" s="6">
        <v>42911</v>
      </c>
      <c r="B752" s="3" t="s">
        <v>2053</v>
      </c>
      <c r="C752" s="3" t="s">
        <v>14</v>
      </c>
      <c r="D752" s="8" t="str">
        <f>HYPERLINK("http://npthd.inbcu.com/ViewContent.aspx?filename=NPMR_CBS_2017-06-25_E.MP4$381$403","CBS All Access")</f>
        <v>CBS All Access</v>
      </c>
      <c r="E752" s="3" t="s">
        <v>2124</v>
      </c>
      <c r="F752" s="3" t="s">
        <v>2669</v>
      </c>
      <c r="G752" s="3" t="s">
        <v>2670</v>
      </c>
    </row>
    <row r="753" spans="1:7">
      <c r="A753" s="6">
        <v>42911</v>
      </c>
      <c r="B753" s="3" t="s">
        <v>2053</v>
      </c>
      <c r="C753" s="3" t="s">
        <v>14</v>
      </c>
      <c r="D753" s="8" t="str">
        <f>HYPERLINK("http://npthd.inbcu.com/ViewContent.aspx?filename=NPMR_CBS_2017-06-25_E.MP4$403$423","Zoo")</f>
        <v>Zoo</v>
      </c>
      <c r="E753" s="3" t="s">
        <v>1805</v>
      </c>
      <c r="F753" s="3" t="s">
        <v>2670</v>
      </c>
      <c r="G753" s="3" t="s">
        <v>2671</v>
      </c>
    </row>
    <row r="754" spans="1:7">
      <c r="A754" s="6">
        <v>42911</v>
      </c>
      <c r="B754" s="3" t="s">
        <v>2053</v>
      </c>
      <c r="C754" s="3" t="s">
        <v>18</v>
      </c>
      <c r="D754" s="8" t="str">
        <f>HYPERLINK("http://npthd.inbcu.com/ViewContent.aspx?filename=NPMR_CBS_2017-06-25_E.MP4$423$1243","60 MINUTES:")</f>
        <v>60 MINUTES:</v>
      </c>
      <c r="E754" s="3" t="s">
        <v>2672</v>
      </c>
      <c r="F754" s="3" t="s">
        <v>2671</v>
      </c>
      <c r="G754" s="3" t="s">
        <v>2673</v>
      </c>
    </row>
    <row r="755" spans="1:7">
      <c r="A755" s="6">
        <v>42911</v>
      </c>
      <c r="B755" s="3" t="s">
        <v>2053</v>
      </c>
      <c r="C755" s="3" t="s">
        <v>21</v>
      </c>
      <c r="D755" s="8" t="str">
        <f>HYPERLINK("http://npthd.inbcu.com/ViewContent.aspx?filename=NPMR_CBS_2017-06-25_E.MP4$1243$1423","COMMERCIAL")</f>
        <v>COMMERCIAL</v>
      </c>
      <c r="E755" s="3" t="s">
        <v>22</v>
      </c>
      <c r="F755" s="3" t="s">
        <v>2673</v>
      </c>
      <c r="G755" s="3" t="s">
        <v>2247</v>
      </c>
    </row>
    <row r="756" spans="1:7">
      <c r="A756" s="6">
        <v>42911</v>
      </c>
      <c r="B756" s="3" t="s">
        <v>2053</v>
      </c>
      <c r="C756" s="3" t="s">
        <v>14</v>
      </c>
      <c r="D756" s="8" t="str">
        <f>HYPERLINK("http://npthd.inbcu.com/ViewContent.aspx?filename=NPMR_CBS_2017-06-25_E.MP4$1423$1434","CBS This Morning")</f>
        <v>CBS This Morning</v>
      </c>
      <c r="E756" s="3" t="s">
        <v>1940</v>
      </c>
      <c r="F756" s="3" t="s">
        <v>2247</v>
      </c>
      <c r="G756" s="3" t="s">
        <v>2674</v>
      </c>
    </row>
    <row r="757" spans="1:7">
      <c r="A757" s="6">
        <v>42911</v>
      </c>
      <c r="B757" s="3" t="s">
        <v>2053</v>
      </c>
      <c r="C757" s="3" t="s">
        <v>14</v>
      </c>
      <c r="D757" s="8" t="str">
        <f>HYPERLINK("http://npthd.inbcu.com/ViewContent.aspx?filename=NPMR_CBS_2017-06-25_E.MP4$1434$1453","Bull")</f>
        <v>Bull</v>
      </c>
      <c r="E757" s="3" t="s">
        <v>670</v>
      </c>
      <c r="F757" s="3" t="s">
        <v>2674</v>
      </c>
      <c r="G757" s="3" t="s">
        <v>2675</v>
      </c>
    </row>
    <row r="758" spans="1:7">
      <c r="A758" s="6">
        <v>42911</v>
      </c>
      <c r="B758" s="3" t="s">
        <v>2053</v>
      </c>
      <c r="C758" s="3" t="s">
        <v>14</v>
      </c>
      <c r="D758" s="8" t="str">
        <f>HYPERLINK("http://npthd.inbcu.com/ViewContent.aspx?filename=NPMR_CBS_2017-06-25_E.MP4$1453$1459","Salvation")</f>
        <v>Salvation</v>
      </c>
      <c r="E758" s="3" t="s">
        <v>15</v>
      </c>
      <c r="F758" s="3" t="s">
        <v>2675</v>
      </c>
      <c r="G758" s="3" t="s">
        <v>2676</v>
      </c>
    </row>
    <row r="759" spans="1:7">
      <c r="A759" s="6">
        <v>42911</v>
      </c>
      <c r="B759" s="3" t="s">
        <v>2053</v>
      </c>
      <c r="C759" s="3" t="s">
        <v>18</v>
      </c>
      <c r="D759" s="8" t="str">
        <f>HYPERLINK("http://npthd.inbcu.com/ViewContent.aspx?filename=NPMR_CBS_2017-06-25_E.MP4$1459$2227","60 MINUTES:")</f>
        <v>60 MINUTES:</v>
      </c>
      <c r="E759" s="3" t="s">
        <v>2677</v>
      </c>
      <c r="F759" s="3" t="s">
        <v>2676</v>
      </c>
      <c r="G759" s="3" t="s">
        <v>2678</v>
      </c>
    </row>
    <row r="760" spans="1:7">
      <c r="A760" s="6">
        <v>42911</v>
      </c>
      <c r="B760" s="3" t="s">
        <v>2053</v>
      </c>
      <c r="C760" s="3" t="s">
        <v>21</v>
      </c>
      <c r="D760" s="8" t="str">
        <f>HYPERLINK("http://npthd.inbcu.com/ViewContent.aspx?filename=NPMR_CBS_2017-06-25_E.MP4$2227$2408","COMMERCIAL")</f>
        <v>COMMERCIAL</v>
      </c>
      <c r="E760" s="3" t="s">
        <v>108</v>
      </c>
      <c r="F760" s="3" t="s">
        <v>2678</v>
      </c>
      <c r="G760" s="3" t="s">
        <v>2679</v>
      </c>
    </row>
    <row r="761" spans="1:7">
      <c r="A761" s="6">
        <v>42911</v>
      </c>
      <c r="B761" s="3" t="s">
        <v>2053</v>
      </c>
      <c r="C761" s="3" t="s">
        <v>14</v>
      </c>
      <c r="D761" s="8" t="str">
        <f>HYPERLINK("http://npthd.inbcu.com/ViewContent.aspx?filename=NPMR_CBS_2017-06-25_E.MP4$2408$2419","Late Show with Stephen Colbert")</f>
        <v>Late Show with Stephen Colbert</v>
      </c>
      <c r="E761" s="3" t="s">
        <v>1940</v>
      </c>
      <c r="F761" s="3" t="s">
        <v>2679</v>
      </c>
      <c r="G761" s="3" t="s">
        <v>2680</v>
      </c>
    </row>
    <row r="762" spans="1:7">
      <c r="A762" s="6">
        <v>42911</v>
      </c>
      <c r="B762" s="3" t="s">
        <v>2053</v>
      </c>
      <c r="C762" s="3" t="s">
        <v>18</v>
      </c>
      <c r="D762" s="8" t="str">
        <f>HYPERLINK("http://npthd.inbcu.com/ViewContent.aspx?filename=NPMR_CBS_2017-06-25_E.MP4$2419$3322","60 MINUTES:")</f>
        <v>60 MINUTES:</v>
      </c>
      <c r="E762" s="3" t="s">
        <v>2681</v>
      </c>
      <c r="F762" s="3" t="s">
        <v>2680</v>
      </c>
      <c r="G762" s="3" t="s">
        <v>2682</v>
      </c>
    </row>
    <row r="763" spans="1:7">
      <c r="A763" s="6">
        <v>42911</v>
      </c>
      <c r="B763" s="3" t="s">
        <v>2053</v>
      </c>
      <c r="C763" s="3" t="s">
        <v>21</v>
      </c>
      <c r="D763" s="8" t="str">
        <f>HYPERLINK("http://npthd.inbcu.com/ViewContent.aspx?filename=NPMR_CBS_2017-06-25_E.MP4$3322$3414","COMMERCIAL")</f>
        <v>COMMERCIAL</v>
      </c>
      <c r="E763" s="3" t="s">
        <v>267</v>
      </c>
      <c r="F763" s="3" t="s">
        <v>2682</v>
      </c>
      <c r="G763" s="3" t="s">
        <v>2683</v>
      </c>
    </row>
    <row r="764" spans="1:7">
      <c r="A764" s="6">
        <v>42911</v>
      </c>
      <c r="B764" s="3" t="s">
        <v>2053</v>
      </c>
      <c r="C764" s="3" t="s">
        <v>14</v>
      </c>
      <c r="D764" s="8" t="str">
        <f>HYPERLINK("http://npthd.inbcu.com/ViewContent.aspx?filename=NPMR_CBS_2017-06-25_E.MP4$3414$3426","Kevin Can Wait")</f>
        <v>Kevin Can Wait</v>
      </c>
      <c r="E764" s="3" t="s">
        <v>2057</v>
      </c>
      <c r="F764" s="3" t="s">
        <v>2683</v>
      </c>
      <c r="G764" s="3" t="s">
        <v>2684</v>
      </c>
    </row>
    <row r="765" spans="1:7">
      <c r="A765" s="6">
        <v>42911</v>
      </c>
      <c r="B765" s="3" t="s">
        <v>2053</v>
      </c>
      <c r="C765" s="3" t="s">
        <v>14</v>
      </c>
      <c r="D765" s="8" t="str">
        <f>HYPERLINK("http://npthd.inbcu.com/ViewContent.aspx?filename=NPMR_CBS_2017-06-25_E.MP4$3426$3456","Salvation")</f>
        <v>Salvation</v>
      </c>
      <c r="E765" s="3" t="s">
        <v>38</v>
      </c>
      <c r="F765" s="3" t="s">
        <v>2684</v>
      </c>
      <c r="G765" s="3" t="s">
        <v>2685</v>
      </c>
    </row>
    <row r="766" spans="1:7">
      <c r="A766" s="6">
        <v>42911</v>
      </c>
      <c r="B766" s="3" t="s">
        <v>2053</v>
      </c>
      <c r="C766" s="3" t="s">
        <v>14</v>
      </c>
      <c r="D766" s="8" t="str">
        <f>HYPERLINK("http://npthd.inbcu.com/ViewContent.aspx?filename=NPMR_CBS_2017-06-25_E.MP4$3456$3461","Zoo")</f>
        <v>Zoo</v>
      </c>
      <c r="E766" s="3" t="s">
        <v>54</v>
      </c>
      <c r="F766" s="3" t="s">
        <v>2685</v>
      </c>
      <c r="G766" s="3" t="s">
        <v>2686</v>
      </c>
    </row>
    <row r="767" spans="1:7">
      <c r="A767" s="6">
        <v>42911</v>
      </c>
      <c r="B767" s="3" t="s">
        <v>2053</v>
      </c>
      <c r="C767" s="3" t="s">
        <v>32</v>
      </c>
      <c r="D767" s="8" t="str">
        <f>HYPERLINK("http://npthd.inbcu.com/ViewContent.aspx?filename=NPMR_CBS_2017-06-25_E.MP4$3461$3526","LOCAL")</f>
        <v>LOCAL</v>
      </c>
      <c r="E767" s="3" t="s">
        <v>580</v>
      </c>
      <c r="F767" s="3" t="s">
        <v>2686</v>
      </c>
      <c r="G767" s="3" t="s">
        <v>2687</v>
      </c>
    </row>
    <row r="768" spans="1:7">
      <c r="A768" s="6">
        <v>42911</v>
      </c>
      <c r="B768" s="3" t="s">
        <v>2053</v>
      </c>
      <c r="C768" s="3" t="s">
        <v>18</v>
      </c>
      <c r="D768" s="8" t="str">
        <f>HYPERLINK("http://npthd.inbcu.com/ViewContent.aspx?filename=NPMR_CBS_2017-06-25_E.MP4$3526$3537","60 MINUTES:")</f>
        <v>60 MINUTES:</v>
      </c>
      <c r="E768" s="3" t="s">
        <v>1940</v>
      </c>
      <c r="F768" s="3" t="s">
        <v>2687</v>
      </c>
      <c r="G768" s="3" t="s">
        <v>2688</v>
      </c>
    </row>
    <row r="769" spans="1:7">
      <c r="A769" s="6">
        <v>42911</v>
      </c>
      <c r="B769" s="3" t="s">
        <v>2053</v>
      </c>
      <c r="C769" s="3" t="s">
        <v>21</v>
      </c>
      <c r="D769" s="8" t="str">
        <f>HYPERLINK("http://npthd.inbcu.com/ViewContent.aspx?filename=NPMR_CBS_2017-06-25_E.MP4$3537$3629","COMMERCIAL")</f>
        <v>COMMERCIAL</v>
      </c>
      <c r="E769" s="3" t="s">
        <v>267</v>
      </c>
      <c r="F769" s="3" t="s">
        <v>2688</v>
      </c>
      <c r="G769" s="3" t="s">
        <v>2689</v>
      </c>
    </row>
    <row r="770" spans="1:7">
      <c r="A770" s="6">
        <v>42911</v>
      </c>
      <c r="B770" s="3" t="s">
        <v>2053</v>
      </c>
      <c r="C770" s="3" t="s">
        <v>14</v>
      </c>
      <c r="D770" s="8" t="str">
        <f>HYPERLINK("http://npthd.inbcu.com/ViewContent.aspx?filename=NPMR_CBS_2017-06-25_E.MP4$3629$3649","CBS This Morning")</f>
        <v>CBS This Morning</v>
      </c>
      <c r="E770" s="3" t="s">
        <v>1805</v>
      </c>
      <c r="F770" s="3" t="s">
        <v>2689</v>
      </c>
      <c r="G770" s="3" t="s">
        <v>2690</v>
      </c>
    </row>
    <row r="771" spans="1:7">
      <c r="A771" s="6">
        <v>42911</v>
      </c>
      <c r="B771" s="3" t="s">
        <v>2053</v>
      </c>
      <c r="C771" s="3" t="s">
        <v>14</v>
      </c>
      <c r="D771" s="8" t="str">
        <f>HYPERLINK("http://npthd.inbcu.com/ViewContent.aspx?filename=NPMR_CBS_2017-06-25_E.MP4$3649$3671","Bull")</f>
        <v>Bull</v>
      </c>
      <c r="E771" s="3" t="s">
        <v>2124</v>
      </c>
      <c r="F771" s="3" t="s">
        <v>2690</v>
      </c>
      <c r="G771" s="3" t="s">
        <v>2691</v>
      </c>
    </row>
    <row r="772" spans="1:7">
      <c r="A772" s="6">
        <v>42911</v>
      </c>
      <c r="B772" s="3" t="s">
        <v>2053</v>
      </c>
      <c r="C772" s="3" t="s">
        <v>14</v>
      </c>
      <c r="D772" s="8" t="str">
        <f>HYPERLINK("http://npthd.inbcu.com/ViewContent.aspx?filename=NPMR_CBS_2017-06-25_E.MP4$3671$3691","Zoo")</f>
        <v>Zoo</v>
      </c>
      <c r="E772" s="3" t="s">
        <v>1805</v>
      </c>
      <c r="F772" s="3" t="s">
        <v>2691</v>
      </c>
      <c r="G772" s="3" t="s">
        <v>16</v>
      </c>
    </row>
    <row r="773" spans="1:7">
      <c r="A773" s="6">
        <v>42911</v>
      </c>
      <c r="B773" s="3" t="s">
        <v>2053</v>
      </c>
      <c r="C773" s="3" t="s">
        <v>14</v>
      </c>
      <c r="D773" s="8" t="str">
        <f>HYPERLINK("http://npthd.inbcu.com/ViewContent.aspx?filename=NPMR_CBS_2017-06-25_E.MP4$3691$3696","Late Show with Stephen Colbert")</f>
        <v>Late Show with Stephen Colbert</v>
      </c>
      <c r="E773" s="3" t="s">
        <v>54</v>
      </c>
      <c r="F773" s="3" t="s">
        <v>16</v>
      </c>
      <c r="G773" s="3" t="s">
        <v>125</v>
      </c>
    </row>
    <row r="774" spans="1:7">
      <c r="A774" s="6">
        <v>42911</v>
      </c>
      <c r="B774" s="3" t="s">
        <v>2053</v>
      </c>
      <c r="C774" s="3" t="s">
        <v>18</v>
      </c>
      <c r="D774" s="8" t="str">
        <f>HYPERLINK("http://npthd.inbcu.com/ViewContent.aspx?filename=NPMR_CBS_2017-06-25_E.MP4$3696$4334","NCIS: LA: tidings we bring")</f>
        <v>NCIS: LA: tidings we bring</v>
      </c>
      <c r="E774" s="3" t="s">
        <v>2692</v>
      </c>
      <c r="F774" s="3" t="s">
        <v>125</v>
      </c>
      <c r="G774" s="3" t="s">
        <v>2693</v>
      </c>
    </row>
    <row r="775" spans="1:7">
      <c r="A775" s="6">
        <v>42911</v>
      </c>
      <c r="B775" s="3" t="s">
        <v>2053</v>
      </c>
      <c r="C775" s="3" t="s">
        <v>21</v>
      </c>
      <c r="D775" s="8" t="str">
        <f>HYPERLINK("http://npthd.inbcu.com/ViewContent.aspx?filename=NPMR_CBS_2017-06-25_E.MP4$4334$4486","COMMERCIAL")</f>
        <v>COMMERCIAL</v>
      </c>
      <c r="E775" s="3" t="s">
        <v>128</v>
      </c>
      <c r="F775" s="3" t="s">
        <v>2693</v>
      </c>
      <c r="G775" s="3" t="s">
        <v>2694</v>
      </c>
    </row>
    <row r="776" spans="1:7">
      <c r="A776" s="6">
        <v>42911</v>
      </c>
      <c r="B776" s="3" t="s">
        <v>2053</v>
      </c>
      <c r="C776" s="3" t="s">
        <v>14</v>
      </c>
      <c r="D776" s="8" t="str">
        <f>HYPERLINK("http://npthd.inbcu.com/ViewContent.aspx?filename=NPMR_CBS_2017-06-25_E.MP4$4486$4505","Big Brother")</f>
        <v>Big Brother</v>
      </c>
      <c r="E776" s="3" t="s">
        <v>670</v>
      </c>
      <c r="F776" s="3" t="s">
        <v>2694</v>
      </c>
      <c r="G776" s="3" t="s">
        <v>2695</v>
      </c>
    </row>
    <row r="777" spans="1:7">
      <c r="A777" s="6">
        <v>42911</v>
      </c>
      <c r="B777" s="3" t="s">
        <v>2053</v>
      </c>
      <c r="C777" s="3" t="s">
        <v>18</v>
      </c>
      <c r="D777" s="8" t="str">
        <f>HYPERLINK("http://npthd.inbcu.com/ViewContent.aspx?filename=NPMR_CBS_2017-06-25_E.MP4$4505$4982","NCIS: LA: tidings we bring")</f>
        <v>NCIS: LA: tidings we bring</v>
      </c>
      <c r="E777" s="3" t="s">
        <v>345</v>
      </c>
      <c r="F777" s="3" t="s">
        <v>2695</v>
      </c>
      <c r="G777" s="3" t="s">
        <v>2696</v>
      </c>
    </row>
    <row r="778" spans="1:7">
      <c r="A778" s="6">
        <v>42911</v>
      </c>
      <c r="B778" s="3" t="s">
        <v>2053</v>
      </c>
      <c r="C778" s="3" t="s">
        <v>21</v>
      </c>
      <c r="D778" s="8" t="str">
        <f>HYPERLINK("http://npthd.inbcu.com/ViewContent.aspx?filename=NPMR_CBS_2017-06-25_E.MP4$4982$5165","COMMERCIAL")</f>
        <v>COMMERCIAL</v>
      </c>
      <c r="E778" s="3" t="s">
        <v>154</v>
      </c>
      <c r="F778" s="3" t="s">
        <v>2696</v>
      </c>
      <c r="G778" s="3" t="s">
        <v>2697</v>
      </c>
    </row>
    <row r="779" spans="1:7">
      <c r="A779" s="6">
        <v>42911</v>
      </c>
      <c r="B779" s="3" t="s">
        <v>2053</v>
      </c>
      <c r="C779" s="3" t="s">
        <v>1618</v>
      </c>
      <c r="D779" s="8" t="str">
        <f>HYPERLINK("http://npthd.inbcu.com/ViewContent.aspx?filename=NPMR_CBS_2017-06-25_E.MP4$5165$5175","PSA")</f>
        <v>PSA</v>
      </c>
      <c r="E779" s="3" t="s">
        <v>197</v>
      </c>
      <c r="F779" s="3" t="s">
        <v>2697</v>
      </c>
      <c r="G779" s="3" t="s">
        <v>2698</v>
      </c>
    </row>
    <row r="780" spans="1:7">
      <c r="A780" s="6">
        <v>42911</v>
      </c>
      <c r="B780" s="3" t="s">
        <v>2053</v>
      </c>
      <c r="C780" s="3" t="s">
        <v>14</v>
      </c>
      <c r="D780" s="8" t="str">
        <f>HYPERLINK("http://npthd.inbcu.com/ViewContent.aspx?filename=NPMR_CBS_2017-06-25_E.MP4$5175$5190","Zoo")</f>
        <v>Zoo</v>
      </c>
      <c r="E780" s="3" t="s">
        <v>30</v>
      </c>
      <c r="F780" s="3" t="s">
        <v>2698</v>
      </c>
      <c r="G780" s="3" t="s">
        <v>2699</v>
      </c>
    </row>
    <row r="781" spans="1:7">
      <c r="A781" s="6">
        <v>42911</v>
      </c>
      <c r="B781" s="3" t="s">
        <v>2053</v>
      </c>
      <c r="C781" s="3" t="s">
        <v>14</v>
      </c>
      <c r="D781" s="8" t="str">
        <f>HYPERLINK("http://npthd.inbcu.com/ViewContent.aspx?filename=NPMR_CBS_2017-06-25_E.MP4$5190$5205","Candy Crush")</f>
        <v>Candy Crush</v>
      </c>
      <c r="E781" s="3" t="s">
        <v>30</v>
      </c>
      <c r="F781" s="3" t="s">
        <v>2699</v>
      </c>
      <c r="G781" s="3" t="s">
        <v>2700</v>
      </c>
    </row>
    <row r="782" spans="1:7">
      <c r="A782" s="6">
        <v>42911</v>
      </c>
      <c r="B782" s="3" t="s">
        <v>2053</v>
      </c>
      <c r="C782" s="3" t="s">
        <v>18</v>
      </c>
      <c r="D782" s="8" t="str">
        <f>HYPERLINK("http://npthd.inbcu.com/ViewContent.aspx?filename=NPMR_CBS_2017-06-25_E.MP4$5205$5585","NCIS: LA: tidings we bring")</f>
        <v>NCIS: LA: tidings we bring</v>
      </c>
      <c r="E782" s="3" t="s">
        <v>1034</v>
      </c>
      <c r="F782" s="3" t="s">
        <v>2700</v>
      </c>
      <c r="G782" s="3" t="s">
        <v>2701</v>
      </c>
    </row>
    <row r="783" spans="1:7">
      <c r="A783" s="6">
        <v>42911</v>
      </c>
      <c r="B783" s="3" t="s">
        <v>2053</v>
      </c>
      <c r="C783" s="3" t="s">
        <v>21</v>
      </c>
      <c r="D783" s="8" t="str">
        <f>HYPERLINK("http://npthd.inbcu.com/ViewContent.aspx?filename=NPMR_CBS_2017-06-25_E.MP4$5585$5791","COMMERCIAL")</f>
        <v>COMMERCIAL</v>
      </c>
      <c r="E783" s="3" t="s">
        <v>2702</v>
      </c>
      <c r="F783" s="3" t="s">
        <v>2701</v>
      </c>
      <c r="G783" s="3" t="s">
        <v>2703</v>
      </c>
    </row>
    <row r="784" spans="1:7">
      <c r="A784" s="6">
        <v>42911</v>
      </c>
      <c r="B784" s="3" t="s">
        <v>2053</v>
      </c>
      <c r="C784" s="3" t="s">
        <v>32</v>
      </c>
      <c r="D784" s="8" t="str">
        <f>HYPERLINK("http://npthd.inbcu.com/ViewContent.aspx?filename=NPMR_CBS_2017-06-25_E.MP4$5791$5826","LOCAL")</f>
        <v>LOCAL</v>
      </c>
      <c r="E784" s="3" t="s">
        <v>1394</v>
      </c>
      <c r="F784" s="3" t="s">
        <v>2703</v>
      </c>
      <c r="G784" s="3" t="s">
        <v>2704</v>
      </c>
    </row>
    <row r="785" spans="1:7">
      <c r="A785" s="6">
        <v>42911</v>
      </c>
      <c r="B785" s="3" t="s">
        <v>2053</v>
      </c>
      <c r="C785" s="3" t="s">
        <v>18</v>
      </c>
      <c r="D785" s="8" t="str">
        <f>HYPERLINK("http://npthd.inbcu.com/ViewContent.aspx?filename=NPMR_CBS_2017-06-25_E.MP4$5826$6249","NCIS: LA: tidings we bring")</f>
        <v>NCIS: LA: tidings we bring</v>
      </c>
      <c r="E785" s="3" t="s">
        <v>598</v>
      </c>
      <c r="F785" s="3" t="s">
        <v>2704</v>
      </c>
      <c r="G785" s="3" t="s">
        <v>2705</v>
      </c>
    </row>
    <row r="786" spans="1:7">
      <c r="A786" s="6">
        <v>42911</v>
      </c>
      <c r="B786" s="3" t="s">
        <v>2053</v>
      </c>
      <c r="C786" s="3" t="s">
        <v>21</v>
      </c>
      <c r="D786" s="8" t="str">
        <f>HYPERLINK("http://npthd.inbcu.com/ViewContent.aspx?filename=NPMR_CBS_2017-06-25_E.MP4$6249$6400","COMMERCIAL")</f>
        <v>COMMERCIAL</v>
      </c>
      <c r="E786" s="3" t="s">
        <v>91</v>
      </c>
      <c r="F786" s="3" t="s">
        <v>2705</v>
      </c>
      <c r="G786" s="3" t="s">
        <v>2706</v>
      </c>
    </row>
    <row r="787" spans="1:7">
      <c r="A787" s="6">
        <v>42911</v>
      </c>
      <c r="B787" s="3" t="s">
        <v>2053</v>
      </c>
      <c r="C787" s="3" t="s">
        <v>14</v>
      </c>
      <c r="D787" s="8" t="str">
        <f>HYPERLINK("http://npthd.inbcu.com/ViewContent.aspx?filename=NPMR_CBS_2017-06-25_E.MP4$6400$6430","Salvation")</f>
        <v>Salvation</v>
      </c>
      <c r="E787" s="3" t="s">
        <v>38</v>
      </c>
      <c r="F787" s="3" t="s">
        <v>2706</v>
      </c>
      <c r="G787" s="3" t="s">
        <v>2707</v>
      </c>
    </row>
    <row r="788" spans="1:7">
      <c r="A788" s="6">
        <v>42911</v>
      </c>
      <c r="B788" s="3" t="s">
        <v>2053</v>
      </c>
      <c r="C788" s="3" t="s">
        <v>32</v>
      </c>
      <c r="D788" s="8" t="str">
        <f>HYPERLINK("http://npthd.inbcu.com/ViewContent.aspx?filename=NPMR_CBS_2017-06-25_E.MP4$6430$6525","LOCAL")</f>
        <v>LOCAL</v>
      </c>
      <c r="E788" s="3" t="s">
        <v>2076</v>
      </c>
      <c r="F788" s="3" t="s">
        <v>2707</v>
      </c>
      <c r="G788" s="3" t="s">
        <v>2708</v>
      </c>
    </row>
    <row r="789" spans="1:7">
      <c r="A789" s="6">
        <v>42911</v>
      </c>
      <c r="B789" s="3" t="s">
        <v>2053</v>
      </c>
      <c r="C789" s="3" t="s">
        <v>18</v>
      </c>
      <c r="D789" s="8" t="str">
        <f>HYPERLINK("http://npthd.inbcu.com/ViewContent.aspx?filename=NPMR_CBS_2017-06-25_E.MP4$6525$7114","NCIS: LA: tidings we bring")</f>
        <v>NCIS: LA: tidings we bring</v>
      </c>
      <c r="E789" s="3" t="s">
        <v>2709</v>
      </c>
      <c r="F789" s="3" t="s">
        <v>2708</v>
      </c>
      <c r="G789" s="3" t="s">
        <v>2522</v>
      </c>
    </row>
    <row r="790" spans="1:7">
      <c r="A790" s="6">
        <v>42911</v>
      </c>
      <c r="B790" s="3" t="s">
        <v>2053</v>
      </c>
      <c r="C790" s="3" t="s">
        <v>21</v>
      </c>
      <c r="D790" s="8" t="str">
        <f>HYPERLINK("http://npthd.inbcu.com/ViewContent.aspx?filename=NPMR_CBS_2017-06-25_E.MP4$7114$7265","COMMERCIAL")</f>
        <v>COMMERCIAL</v>
      </c>
      <c r="E790" s="3" t="s">
        <v>91</v>
      </c>
      <c r="F790" s="3" t="s">
        <v>2522</v>
      </c>
      <c r="G790" s="3" t="s">
        <v>2407</v>
      </c>
    </row>
    <row r="791" spans="1:7">
      <c r="A791" s="6">
        <v>42911</v>
      </c>
      <c r="B791" s="3" t="s">
        <v>2053</v>
      </c>
      <c r="C791" s="3" t="s">
        <v>14</v>
      </c>
      <c r="D791" s="8" t="str">
        <f>HYPERLINK("http://npthd.inbcu.com/ViewContent.aspx?filename=NPMR_CBS_2017-06-25_E.MP4$7265$7286","Bull")</f>
        <v>Bull</v>
      </c>
      <c r="E791" s="3" t="s">
        <v>2067</v>
      </c>
      <c r="F791" s="3" t="s">
        <v>2407</v>
      </c>
      <c r="G791" s="3" t="s">
        <v>2196</v>
      </c>
    </row>
    <row r="792" spans="1:7">
      <c r="A792" s="6">
        <v>42911</v>
      </c>
      <c r="B792" s="3" t="s">
        <v>2053</v>
      </c>
      <c r="C792" s="3" t="s">
        <v>18</v>
      </c>
      <c r="D792" s="8" t="str">
        <f>HYPERLINK("http://npthd.inbcu.com/ViewContent.aspx?filename=NPMR_CBS_2017-06-25_E.MP4$7286$7291","NCIS: LA: tidings we bring")</f>
        <v>NCIS: LA: tidings we bring</v>
      </c>
      <c r="E792" s="3" t="s">
        <v>54</v>
      </c>
      <c r="F792" s="3" t="s">
        <v>2196</v>
      </c>
      <c r="G792" s="3" t="s">
        <v>242</v>
      </c>
    </row>
    <row r="793" spans="1:7">
      <c r="A793" s="6">
        <v>42911</v>
      </c>
      <c r="B793" s="3" t="s">
        <v>2053</v>
      </c>
      <c r="C793" s="3" t="s">
        <v>14</v>
      </c>
      <c r="D793" s="8" t="str">
        <f>HYPERLINK("http://npthd.inbcu.com/ViewContent.aspx?filename=NPMR_CBS_2017-06-25_E.MP4$7291$7296","Salvation")</f>
        <v>Salvation</v>
      </c>
      <c r="E793" s="3" t="s">
        <v>54</v>
      </c>
      <c r="F793" s="3" t="s">
        <v>242</v>
      </c>
      <c r="G793" s="3" t="s">
        <v>243</v>
      </c>
    </row>
    <row r="794" spans="1:7">
      <c r="A794" s="6">
        <v>42911</v>
      </c>
      <c r="B794" s="3" t="s">
        <v>2053</v>
      </c>
      <c r="C794" s="3" t="s">
        <v>18</v>
      </c>
      <c r="D794" s="8" t="str">
        <f>HYPERLINK("http://npthd.inbcu.com/ViewContent.aspx?filename=NPMR_CBS_2017-06-25_E.MP4$7296$8207","MADAM SECRETARY: the dissent memo")</f>
        <v>MADAM SECRETARY: the dissent memo</v>
      </c>
      <c r="E794" s="3" t="s">
        <v>2710</v>
      </c>
      <c r="F794" s="3" t="s">
        <v>243</v>
      </c>
      <c r="G794" s="3" t="s">
        <v>2711</v>
      </c>
    </row>
    <row r="795" spans="1:7">
      <c r="A795" s="6">
        <v>42911</v>
      </c>
      <c r="B795" s="3" t="s">
        <v>2053</v>
      </c>
      <c r="C795" s="3" t="s">
        <v>21</v>
      </c>
      <c r="D795" s="8" t="str">
        <f>HYPERLINK("http://npthd.inbcu.com/ViewContent.aspx?filename=NPMR_CBS_2017-06-25_E.MP4$8207$8329","COMMERCIAL")</f>
        <v>COMMERCIAL</v>
      </c>
      <c r="E795" s="3" t="s">
        <v>252</v>
      </c>
      <c r="F795" s="3" t="s">
        <v>2711</v>
      </c>
      <c r="G795" s="3" t="s">
        <v>2712</v>
      </c>
    </row>
    <row r="796" spans="1:7">
      <c r="A796" s="6">
        <v>42911</v>
      </c>
      <c r="B796" s="3" t="s">
        <v>2053</v>
      </c>
      <c r="C796" s="3" t="s">
        <v>14</v>
      </c>
      <c r="D796" s="8" t="str">
        <f>HYPERLINK("http://npthd.inbcu.com/ViewContent.aspx?filename=NPMR_CBS_2017-06-25_E.MP4$8329$8339","Talk, The")</f>
        <v>Talk, The</v>
      </c>
      <c r="E796" s="3" t="s">
        <v>197</v>
      </c>
      <c r="F796" s="3" t="s">
        <v>2712</v>
      </c>
      <c r="G796" s="3" t="s">
        <v>2713</v>
      </c>
    </row>
    <row r="797" spans="1:7">
      <c r="A797" s="6">
        <v>42911</v>
      </c>
      <c r="B797" s="3" t="s">
        <v>2053</v>
      </c>
      <c r="C797" s="3" t="s">
        <v>14</v>
      </c>
      <c r="D797" s="8" t="str">
        <f>HYPERLINK("http://npthd.inbcu.com/ViewContent.aspx?filename=NPMR_CBS_2017-06-25_E.MP4$8339$8349","Late Show with Stephen Colbert")</f>
        <v>Late Show with Stephen Colbert</v>
      </c>
      <c r="E797" s="3" t="s">
        <v>197</v>
      </c>
      <c r="F797" s="3" t="s">
        <v>2713</v>
      </c>
      <c r="G797" s="3" t="s">
        <v>2714</v>
      </c>
    </row>
    <row r="798" spans="1:7">
      <c r="A798" s="6">
        <v>42911</v>
      </c>
      <c r="B798" s="3" t="s">
        <v>2053</v>
      </c>
      <c r="C798" s="3" t="s">
        <v>18</v>
      </c>
      <c r="D798" s="8" t="str">
        <f>HYPERLINK("http://npthd.inbcu.com/ViewContent.aspx?filename=NPMR_CBS_2017-06-25_E.MP4$8349$8835","MADAM SECRETARY: the dissent memo")</f>
        <v>MADAM SECRETARY: the dissent memo</v>
      </c>
      <c r="E798" s="3" t="s">
        <v>588</v>
      </c>
      <c r="F798" s="3" t="s">
        <v>2714</v>
      </c>
      <c r="G798" s="3" t="s">
        <v>2715</v>
      </c>
    </row>
    <row r="799" spans="1:7">
      <c r="A799" s="6">
        <v>42911</v>
      </c>
      <c r="B799" s="3" t="s">
        <v>2053</v>
      </c>
      <c r="C799" s="3" t="s">
        <v>21</v>
      </c>
      <c r="D799" s="8" t="str">
        <f>HYPERLINK("http://npthd.inbcu.com/ViewContent.aspx?filename=NPMR_CBS_2017-06-25_E.MP4$8835$9017","COMMERCIAL")</f>
        <v>COMMERCIAL</v>
      </c>
      <c r="E799" s="3" t="s">
        <v>275</v>
      </c>
      <c r="F799" s="3" t="s">
        <v>2715</v>
      </c>
      <c r="G799" s="3" t="s">
        <v>2716</v>
      </c>
    </row>
    <row r="800" spans="1:7">
      <c r="A800" s="6">
        <v>42911</v>
      </c>
      <c r="B800" s="3" t="s">
        <v>2053</v>
      </c>
      <c r="C800" s="3" t="s">
        <v>14</v>
      </c>
      <c r="D800" s="8" t="str">
        <f>HYPERLINK("http://npthd.inbcu.com/ViewContent.aspx?filename=NPMR_CBS_2017-06-25_E.MP4$9017$9027","Big Brother")</f>
        <v>Big Brother</v>
      </c>
      <c r="E800" s="3" t="s">
        <v>197</v>
      </c>
      <c r="F800" s="3" t="s">
        <v>2716</v>
      </c>
      <c r="G800" s="3" t="s">
        <v>2717</v>
      </c>
    </row>
    <row r="801" spans="1:7">
      <c r="A801" s="6">
        <v>42911</v>
      </c>
      <c r="B801" s="3" t="s">
        <v>2053</v>
      </c>
      <c r="C801" s="3" t="s">
        <v>14</v>
      </c>
      <c r="D801" s="8" t="str">
        <f>HYPERLINK("http://npthd.inbcu.com/ViewContent.aspx?filename=NPMR_CBS_2017-06-25_E.MP4$9027$9048","Zoo")</f>
        <v>Zoo</v>
      </c>
      <c r="E801" s="3" t="s">
        <v>2067</v>
      </c>
      <c r="F801" s="3" t="s">
        <v>2717</v>
      </c>
      <c r="G801" s="3" t="s">
        <v>2718</v>
      </c>
    </row>
    <row r="802" spans="1:7">
      <c r="A802" s="6">
        <v>42911</v>
      </c>
      <c r="B802" s="3" t="s">
        <v>2053</v>
      </c>
      <c r="C802" s="3" t="s">
        <v>18</v>
      </c>
      <c r="D802" s="8" t="str">
        <f>HYPERLINK("http://npthd.inbcu.com/ViewContent.aspx?filename=NPMR_CBS_2017-06-25_E.MP4$9048$9475","MADAM SECRETARY: the dissent memo")</f>
        <v>MADAM SECRETARY: the dissent memo</v>
      </c>
      <c r="E802" s="3" t="s">
        <v>1709</v>
      </c>
      <c r="F802" s="3" t="s">
        <v>2718</v>
      </c>
      <c r="G802" s="3" t="s">
        <v>2719</v>
      </c>
    </row>
    <row r="803" spans="1:7">
      <c r="A803" s="6">
        <v>42911</v>
      </c>
      <c r="B803" s="3" t="s">
        <v>2053</v>
      </c>
      <c r="C803" s="3" t="s">
        <v>21</v>
      </c>
      <c r="D803" s="8" t="str">
        <f>HYPERLINK("http://npthd.inbcu.com/ViewContent.aspx?filename=NPMR_CBS_2017-06-25_E.MP4$9475$9596","COMMERCIAL")</f>
        <v>COMMERCIAL</v>
      </c>
      <c r="E803" s="3" t="s">
        <v>175</v>
      </c>
      <c r="F803" s="3" t="s">
        <v>2719</v>
      </c>
      <c r="G803" s="3" t="s">
        <v>172</v>
      </c>
    </row>
    <row r="804" spans="1:7">
      <c r="A804" s="6">
        <v>42911</v>
      </c>
      <c r="B804" s="3" t="s">
        <v>2053</v>
      </c>
      <c r="C804" s="3" t="s">
        <v>14</v>
      </c>
      <c r="D804" s="8" t="str">
        <f>HYPERLINK("http://npthd.inbcu.com/ViewContent.aspx?filename=NPMR_CBS_2017-06-25_E.MP4$9596$9606","CBS This Morning")</f>
        <v>CBS This Morning</v>
      </c>
      <c r="E804" s="3" t="s">
        <v>197</v>
      </c>
      <c r="F804" s="3" t="s">
        <v>172</v>
      </c>
      <c r="G804" s="3" t="s">
        <v>2720</v>
      </c>
    </row>
    <row r="805" spans="1:7">
      <c r="A805" s="6">
        <v>42911</v>
      </c>
      <c r="B805" s="3" t="s">
        <v>2053</v>
      </c>
      <c r="C805" s="3" t="s">
        <v>32</v>
      </c>
      <c r="D805" s="8" t="str">
        <f>HYPERLINK("http://npthd.inbcu.com/ViewContent.aspx?filename=NPMR_CBS_2017-06-25_E.MP4$9606$9701","LOCAL")</f>
        <v>LOCAL</v>
      </c>
      <c r="E805" s="3" t="s">
        <v>2076</v>
      </c>
      <c r="F805" s="3" t="s">
        <v>2720</v>
      </c>
      <c r="G805" s="3" t="s">
        <v>739</v>
      </c>
    </row>
    <row r="806" spans="1:7">
      <c r="A806" s="6">
        <v>42911</v>
      </c>
      <c r="B806" s="3" t="s">
        <v>2053</v>
      </c>
      <c r="C806" s="3" t="s">
        <v>18</v>
      </c>
      <c r="D806" s="8" t="str">
        <f>HYPERLINK("http://npthd.inbcu.com/ViewContent.aspx?filename=NPMR_CBS_2017-06-25_E.MP4$9701$10089","MADAM SECRETARY: the dissent memo")</f>
        <v>MADAM SECRETARY: the dissent memo</v>
      </c>
      <c r="E806" s="3" t="s">
        <v>1135</v>
      </c>
      <c r="F806" s="3" t="s">
        <v>739</v>
      </c>
      <c r="G806" s="3" t="s">
        <v>2721</v>
      </c>
    </row>
    <row r="807" spans="1:7">
      <c r="A807" s="6">
        <v>42911</v>
      </c>
      <c r="B807" s="3" t="s">
        <v>2053</v>
      </c>
      <c r="C807" s="3" t="s">
        <v>21</v>
      </c>
      <c r="D807" s="8" t="str">
        <f>HYPERLINK("http://npthd.inbcu.com/ViewContent.aspx?filename=NPMR_CBS_2017-06-25_E.MP4$10089$10212","COMMERCIAL")</f>
        <v>COMMERCIAL</v>
      </c>
      <c r="E807" s="3" t="s">
        <v>2722</v>
      </c>
      <c r="F807" s="3" t="s">
        <v>2721</v>
      </c>
      <c r="G807" s="3" t="s">
        <v>2723</v>
      </c>
    </row>
    <row r="808" spans="1:7">
      <c r="A808" s="6">
        <v>42911</v>
      </c>
      <c r="B808" s="3" t="s">
        <v>2053</v>
      </c>
      <c r="C808" s="3" t="s">
        <v>14</v>
      </c>
      <c r="D808" s="8" t="str">
        <f>HYPERLINK("http://npthd.inbcu.com/ViewContent.aspx?filename=NPMR_CBS_2017-06-25_E.MP4$10212$10228","CBS All Access")</f>
        <v>CBS All Access</v>
      </c>
      <c r="E808" s="3" t="s">
        <v>64</v>
      </c>
      <c r="F808" s="3" t="s">
        <v>2723</v>
      </c>
      <c r="G808" s="3" t="s">
        <v>2724</v>
      </c>
    </row>
    <row r="809" spans="1:7">
      <c r="A809" s="6">
        <v>42911</v>
      </c>
      <c r="B809" s="3" t="s">
        <v>2053</v>
      </c>
      <c r="C809" s="3" t="s">
        <v>14</v>
      </c>
      <c r="D809" s="8" t="str">
        <f>HYPERLINK("http://npthd.inbcu.com/ViewContent.aspx?filename=NPMR_CBS_2017-06-25_E.MP4$10228$10243","Salvation")</f>
        <v>Salvation</v>
      </c>
      <c r="E809" s="3" t="s">
        <v>30</v>
      </c>
      <c r="F809" s="3" t="s">
        <v>2724</v>
      </c>
      <c r="G809" s="3" t="s">
        <v>1227</v>
      </c>
    </row>
    <row r="810" spans="1:7">
      <c r="A810" s="6">
        <v>42911</v>
      </c>
      <c r="B810" s="3" t="s">
        <v>2053</v>
      </c>
      <c r="C810" s="3" t="s">
        <v>32</v>
      </c>
      <c r="D810" s="8" t="str">
        <f>HYPERLINK("http://npthd.inbcu.com/ViewContent.aspx?filename=NPMR_CBS_2017-06-25_E.MP4$10243$10338","LOCAL")</f>
        <v>LOCAL</v>
      </c>
      <c r="E810" s="3" t="s">
        <v>2076</v>
      </c>
      <c r="F810" s="3" t="s">
        <v>1227</v>
      </c>
      <c r="G810" s="3" t="s">
        <v>1578</v>
      </c>
    </row>
    <row r="811" spans="1:7">
      <c r="A811" s="6">
        <v>42911</v>
      </c>
      <c r="B811" s="3" t="s">
        <v>2053</v>
      </c>
      <c r="C811" s="3" t="s">
        <v>18</v>
      </c>
      <c r="D811" s="8" t="str">
        <f>HYPERLINK("http://npthd.inbcu.com/ViewContent.aspx?filename=NPMR_CBS_2017-06-25_E.MP4$10338$10702","MADAM SECRETARY: the dissent memo")</f>
        <v>MADAM SECRETARY: the dissent memo</v>
      </c>
      <c r="E811" s="3" t="s">
        <v>626</v>
      </c>
      <c r="F811" s="3" t="s">
        <v>1578</v>
      </c>
      <c r="G811" s="3" t="s">
        <v>2725</v>
      </c>
    </row>
    <row r="812" spans="1:7">
      <c r="A812" s="6">
        <v>42911</v>
      </c>
      <c r="B812" s="3" t="s">
        <v>2053</v>
      </c>
      <c r="C812" s="3" t="s">
        <v>21</v>
      </c>
      <c r="D812" s="8" t="str">
        <f>HYPERLINK("http://npthd.inbcu.com/ViewContent.aspx?filename=NPMR_CBS_2017-06-25_E.MP4$10702$10853","COMMERCIAL")</f>
        <v>COMMERCIAL</v>
      </c>
      <c r="E812" s="3" t="s">
        <v>91</v>
      </c>
      <c r="F812" s="3" t="s">
        <v>2725</v>
      </c>
      <c r="G812" s="3" t="s">
        <v>1234</v>
      </c>
    </row>
    <row r="813" spans="1:7">
      <c r="A813" s="6">
        <v>42911</v>
      </c>
      <c r="B813" s="3" t="s">
        <v>2053</v>
      </c>
      <c r="C813" s="3" t="s">
        <v>14</v>
      </c>
      <c r="D813" s="8" t="str">
        <f>HYPERLINK("http://npthd.inbcu.com/ViewContent.aspx?filename=NPMR_CBS_2017-06-25_E.MP4$10853$10864","Candy Crush")</f>
        <v>Candy Crush</v>
      </c>
      <c r="E813" s="3" t="s">
        <v>1940</v>
      </c>
      <c r="F813" s="3" t="s">
        <v>1234</v>
      </c>
      <c r="G813" s="3" t="s">
        <v>2299</v>
      </c>
    </row>
    <row r="814" spans="1:7">
      <c r="A814" s="6">
        <v>42911</v>
      </c>
      <c r="B814" s="3" t="s">
        <v>2053</v>
      </c>
      <c r="C814" s="3" t="s">
        <v>14</v>
      </c>
      <c r="D814" s="8" t="str">
        <f>HYPERLINK("http://npthd.inbcu.com/ViewContent.aspx?filename=NPMR_CBS_2017-06-25_E.MP4$10864$10886","Bull")</f>
        <v>Bull</v>
      </c>
      <c r="E814" s="3" t="s">
        <v>2124</v>
      </c>
      <c r="F814" s="3" t="s">
        <v>2299</v>
      </c>
      <c r="G814" s="3" t="s">
        <v>750</v>
      </c>
    </row>
    <row r="815" spans="1:7">
      <c r="A815" s="6">
        <v>42911</v>
      </c>
      <c r="B815" s="3" t="s">
        <v>2053</v>
      </c>
      <c r="C815" s="3" t="s">
        <v>18</v>
      </c>
      <c r="D815" s="8" t="str">
        <f>HYPERLINK("http://npthd.inbcu.com/ViewContent.aspx?filename=NPMR_CBS_2017-06-25_E.MP4$10886$10891","MADAM SECRETARY: the dissent memo")</f>
        <v>MADAM SECRETARY: the dissent memo</v>
      </c>
      <c r="E815" s="3" t="s">
        <v>54</v>
      </c>
      <c r="F815" s="3" t="s">
        <v>750</v>
      </c>
      <c r="G815" s="3" t="s">
        <v>394</v>
      </c>
    </row>
    <row r="816" spans="1:7">
      <c r="A816" s="6">
        <v>42911</v>
      </c>
      <c r="B816" s="3" t="s">
        <v>2053</v>
      </c>
      <c r="C816" s="3" t="s">
        <v>14</v>
      </c>
      <c r="D816" s="8" t="str">
        <f>HYPERLINK("http://npthd.inbcu.com/ViewContent.aspx?filename=NPMR_CBS_2017-06-25_E.MP4$10891$10896","Late Show with Stephen Colbert")</f>
        <v>Late Show with Stephen Colbert</v>
      </c>
      <c r="E816" s="3" t="s">
        <v>54</v>
      </c>
      <c r="F816" s="3" t="s">
        <v>394</v>
      </c>
      <c r="G816" s="3" t="s">
        <v>395</v>
      </c>
    </row>
    <row r="817" spans="1:7">
      <c r="A817" s="6">
        <v>42911</v>
      </c>
      <c r="B817" s="3" t="s">
        <v>2053</v>
      </c>
      <c r="C817" s="3" t="s">
        <v>18</v>
      </c>
      <c r="D817" s="8" t="str">
        <f>HYPERLINK("http://npthd.inbcu.com/ViewContent.aspx?filename=NPMR_CBS_2017-06-25_E.MP4$10896$11207","CODE BLACK: ave maria")</f>
        <v>CODE BLACK: ave maria</v>
      </c>
      <c r="E817" s="3" t="s">
        <v>2726</v>
      </c>
      <c r="F817" s="3" t="s">
        <v>395</v>
      </c>
      <c r="G817" s="3" t="s">
        <v>2727</v>
      </c>
    </row>
    <row r="818" spans="1:7">
      <c r="A818" s="6">
        <v>42911</v>
      </c>
      <c r="B818" s="3" t="s">
        <v>2053</v>
      </c>
      <c r="C818" s="3" t="s">
        <v>21</v>
      </c>
      <c r="D818" s="8" t="str">
        <f>HYPERLINK("http://npthd.inbcu.com/ViewContent.aspx?filename=NPMR_CBS_2017-06-25_E.MP4$11207$11359","COMMERCIAL")</f>
        <v>COMMERCIAL</v>
      </c>
      <c r="E818" s="3" t="s">
        <v>128</v>
      </c>
      <c r="F818" s="3" t="s">
        <v>2727</v>
      </c>
      <c r="G818" s="3" t="s">
        <v>2728</v>
      </c>
    </row>
    <row r="819" spans="1:7">
      <c r="A819" s="6">
        <v>42911</v>
      </c>
      <c r="B819" s="3" t="s">
        <v>2053</v>
      </c>
      <c r="C819" s="3" t="s">
        <v>14</v>
      </c>
      <c r="D819" s="8" t="str">
        <f>HYPERLINK("http://npthd.inbcu.com/ViewContent.aspx?filename=NPMR_CBS_2017-06-25_E.MP4$11359$11378","CBS All Access")</f>
        <v>CBS All Access</v>
      </c>
      <c r="E819" s="3" t="s">
        <v>670</v>
      </c>
      <c r="F819" s="3" t="s">
        <v>2728</v>
      </c>
      <c r="G819" s="3" t="s">
        <v>2729</v>
      </c>
    </row>
    <row r="820" spans="1:7">
      <c r="A820" s="6">
        <v>42911</v>
      </c>
      <c r="B820" s="3" t="s">
        <v>2053</v>
      </c>
      <c r="C820" s="3" t="s">
        <v>18</v>
      </c>
      <c r="D820" s="8" t="str">
        <f>HYPERLINK("http://npthd.inbcu.com/ViewContent.aspx?filename=NPMR_CBS_2017-06-25_E.MP4$11378$12053","CODE BLACK: ave maria")</f>
        <v>CODE BLACK: ave maria</v>
      </c>
      <c r="E820" s="3" t="s">
        <v>2730</v>
      </c>
      <c r="F820" s="3" t="s">
        <v>2729</v>
      </c>
      <c r="G820" s="3" t="s">
        <v>2731</v>
      </c>
    </row>
    <row r="821" spans="1:7">
      <c r="A821" s="6">
        <v>42911</v>
      </c>
      <c r="B821" s="3" t="s">
        <v>2053</v>
      </c>
      <c r="C821" s="3" t="s">
        <v>21</v>
      </c>
      <c r="D821" s="8" t="str">
        <f>HYPERLINK("http://npthd.inbcu.com/ViewContent.aspx?filename=NPMR_CBS_2017-06-25_E.MP4$12053$12234","COMMERCIAL")</f>
        <v>COMMERCIAL</v>
      </c>
      <c r="E821" s="3" t="s">
        <v>108</v>
      </c>
      <c r="F821" s="3" t="s">
        <v>2731</v>
      </c>
      <c r="G821" s="3" t="s">
        <v>2599</v>
      </c>
    </row>
    <row r="822" spans="1:7">
      <c r="A822" s="6">
        <v>42911</v>
      </c>
      <c r="B822" s="3" t="s">
        <v>2053</v>
      </c>
      <c r="C822" s="3" t="s">
        <v>14</v>
      </c>
      <c r="D822" s="8" t="str">
        <f>HYPERLINK("http://npthd.inbcu.com/ViewContent.aspx?filename=NPMR_CBS_2017-06-25_E.MP4$12234$12255","Zoo")</f>
        <v>Zoo</v>
      </c>
      <c r="E822" s="3" t="s">
        <v>2067</v>
      </c>
      <c r="F822" s="3" t="s">
        <v>2599</v>
      </c>
      <c r="G822" s="3" t="s">
        <v>2732</v>
      </c>
    </row>
    <row r="823" spans="1:7">
      <c r="A823" s="6">
        <v>42911</v>
      </c>
      <c r="B823" s="3" t="s">
        <v>2053</v>
      </c>
      <c r="C823" s="3" t="s">
        <v>18</v>
      </c>
      <c r="D823" s="8" t="str">
        <f>HYPERLINK("http://npthd.inbcu.com/ViewContent.aspx?filename=NPMR_CBS_2017-06-25_E.MP4$12255$12802","CODE BLACK: ave maria")</f>
        <v>CODE BLACK: ave maria</v>
      </c>
      <c r="E823" s="3" t="s">
        <v>2733</v>
      </c>
      <c r="F823" s="3" t="s">
        <v>2732</v>
      </c>
      <c r="G823" s="3" t="s">
        <v>2734</v>
      </c>
    </row>
    <row r="824" spans="1:7">
      <c r="A824" s="6">
        <v>42911</v>
      </c>
      <c r="B824" s="3" t="s">
        <v>2053</v>
      </c>
      <c r="C824" s="3" t="s">
        <v>21</v>
      </c>
      <c r="D824" s="8" t="str">
        <f>HYPERLINK("http://npthd.inbcu.com/ViewContent.aspx?filename=NPMR_CBS_2017-06-25_E.MP4$12802$12953","COMMERCIAL")</f>
        <v>COMMERCIAL</v>
      </c>
      <c r="E824" s="3" t="s">
        <v>91</v>
      </c>
      <c r="F824" s="3" t="s">
        <v>2734</v>
      </c>
      <c r="G824" s="3" t="s">
        <v>2735</v>
      </c>
    </row>
    <row r="825" spans="1:7">
      <c r="A825" s="6">
        <v>42911</v>
      </c>
      <c r="B825" s="3" t="s">
        <v>2053</v>
      </c>
      <c r="C825" s="3" t="s">
        <v>14</v>
      </c>
      <c r="D825" s="8" t="str">
        <f>HYPERLINK("http://npthd.inbcu.com/ViewContent.aspx?filename=NPMR_CBS_2017-06-25_E.MP4$12953$12973","Salvation")</f>
        <v>Salvation</v>
      </c>
      <c r="E825" s="3" t="s">
        <v>1805</v>
      </c>
      <c r="F825" s="3" t="s">
        <v>2735</v>
      </c>
      <c r="G825" s="3" t="s">
        <v>2736</v>
      </c>
    </row>
    <row r="826" spans="1:7">
      <c r="A826" s="6">
        <v>42911</v>
      </c>
      <c r="B826" s="3" t="s">
        <v>2053</v>
      </c>
      <c r="C826" s="3" t="s">
        <v>32</v>
      </c>
      <c r="D826" s="8" t="str">
        <f>HYPERLINK("http://npthd.inbcu.com/ViewContent.aspx?filename=NPMR_CBS_2017-06-25_E.MP4$12973$13083","LOCAL")</f>
        <v>LOCAL</v>
      </c>
      <c r="E826" s="3" t="s">
        <v>558</v>
      </c>
      <c r="F826" s="3" t="s">
        <v>2736</v>
      </c>
      <c r="G826" s="3" t="s">
        <v>2737</v>
      </c>
    </row>
    <row r="827" spans="1:7">
      <c r="A827" s="6">
        <v>42911</v>
      </c>
      <c r="B827" s="3" t="s">
        <v>2053</v>
      </c>
      <c r="C827" s="3" t="s">
        <v>18</v>
      </c>
      <c r="D827" s="8" t="str">
        <f>HYPERLINK("http://npthd.inbcu.com/ViewContent.aspx?filename=NPMR_CBS_2017-06-25_E.MP4$13083$13535","CODE BLACK: ave maria")</f>
        <v>CODE BLACK: ave maria</v>
      </c>
      <c r="E827" s="3" t="s">
        <v>194</v>
      </c>
      <c r="F827" s="3" t="s">
        <v>2737</v>
      </c>
      <c r="G827" s="3" t="s">
        <v>2309</v>
      </c>
    </row>
    <row r="828" spans="1:7">
      <c r="A828" s="6">
        <v>42911</v>
      </c>
      <c r="B828" s="3" t="s">
        <v>2053</v>
      </c>
      <c r="C828" s="3" t="s">
        <v>21</v>
      </c>
      <c r="D828" s="8" t="str">
        <f>HYPERLINK("http://npthd.inbcu.com/ViewContent.aspx?filename=NPMR_CBS_2017-06-25_E.MP4$13535$13715","COMMERCIAL")</f>
        <v>COMMERCIAL</v>
      </c>
      <c r="E828" s="3" t="s">
        <v>22</v>
      </c>
      <c r="F828" s="3" t="s">
        <v>2309</v>
      </c>
      <c r="G828" s="3" t="s">
        <v>2738</v>
      </c>
    </row>
    <row r="829" spans="1:7">
      <c r="A829" s="6">
        <v>42911</v>
      </c>
      <c r="B829" s="3" t="s">
        <v>2053</v>
      </c>
      <c r="C829" s="3" t="s">
        <v>14</v>
      </c>
      <c r="D829" s="8" t="str">
        <f>HYPERLINK("http://npthd.inbcu.com/ViewContent.aspx?filename=NPMR_CBS_2017-06-25_E.MP4$13715$13737","Big Brother")</f>
        <v>Big Brother</v>
      </c>
      <c r="E829" s="3" t="s">
        <v>2124</v>
      </c>
      <c r="F829" s="3" t="s">
        <v>2738</v>
      </c>
      <c r="G829" s="3" t="s">
        <v>2739</v>
      </c>
    </row>
    <row r="830" spans="1:7">
      <c r="A830" s="6">
        <v>42911</v>
      </c>
      <c r="B830" s="3" t="s">
        <v>2053</v>
      </c>
      <c r="C830" s="3" t="s">
        <v>32</v>
      </c>
      <c r="D830" s="8" t="str">
        <f>HYPERLINK("http://npthd.inbcu.com/ViewContent.aspx?filename=NPMR_CBS_2017-06-25_E.MP4$13737$13832","LOCAL")</f>
        <v>LOCAL</v>
      </c>
      <c r="E830" s="3" t="s">
        <v>2076</v>
      </c>
      <c r="F830" s="3" t="s">
        <v>2739</v>
      </c>
      <c r="G830" s="3" t="s">
        <v>2740</v>
      </c>
    </row>
    <row r="831" spans="1:7">
      <c r="A831" s="6">
        <v>42911</v>
      </c>
      <c r="B831" s="3" t="s">
        <v>2053</v>
      </c>
      <c r="C831" s="3" t="s">
        <v>18</v>
      </c>
      <c r="D831" s="8" t="str">
        <f>HYPERLINK("http://npthd.inbcu.com/ViewContent.aspx?filename=NPMR_CBS_2017-06-25_E.MP4$13832$14374","CODE BLACK: ave maria")</f>
        <v>CODE BLACK: ave maria</v>
      </c>
      <c r="E831" s="3" t="s">
        <v>2741</v>
      </c>
      <c r="F831" s="3" t="s">
        <v>2740</v>
      </c>
      <c r="G831" s="3" t="s">
        <v>2385</v>
      </c>
    </row>
    <row r="832" spans="1:7">
      <c r="A832" s="6">
        <v>42911</v>
      </c>
      <c r="B832" s="3" t="s">
        <v>2053</v>
      </c>
      <c r="C832" s="3" t="s">
        <v>32</v>
      </c>
      <c r="D832" s="8" t="str">
        <f>HYPERLINK("http://npthd.inbcu.com/ViewContent.aspx?filename=NPMR_CBS_2017-06-25_E.MP4$14374$14386","LOCAL")</f>
        <v>LOCAL</v>
      </c>
      <c r="E832" s="3" t="s">
        <v>2057</v>
      </c>
      <c r="F832" s="3" t="s">
        <v>2385</v>
      </c>
      <c r="G832" s="3" t="s">
        <v>2386</v>
      </c>
    </row>
    <row r="833" spans="1:7">
      <c r="A833" s="6">
        <v>42911</v>
      </c>
      <c r="B833" s="3" t="s">
        <v>2053</v>
      </c>
      <c r="C833" s="3" t="s">
        <v>21</v>
      </c>
      <c r="D833" s="8" t="str">
        <f>HYPERLINK("http://npthd.inbcu.com/ViewContent.aspx?filename=NPMR_CBS_2017-06-25_E.MP4$14386$14446","COMMERCIAL")</f>
        <v>COMMERCIAL</v>
      </c>
      <c r="E833" s="3" t="s">
        <v>66</v>
      </c>
      <c r="F833" s="3" t="s">
        <v>2386</v>
      </c>
      <c r="G833" s="3" t="s">
        <v>310</v>
      </c>
    </row>
    <row r="834" spans="1:7">
      <c r="A834" s="6">
        <v>42911</v>
      </c>
      <c r="B834" s="3" t="s">
        <v>2053</v>
      </c>
      <c r="C834" s="3" t="s">
        <v>14</v>
      </c>
      <c r="D834" s="8" t="str">
        <f>HYPERLINK("http://npthd.inbcu.com/ViewContent.aspx?filename=NPMR_CBS_2017-06-25_E.MP4$14446$14451","Late Show with Stephen Colbert")</f>
        <v>Late Show with Stephen Colbert</v>
      </c>
      <c r="E834" s="3" t="s">
        <v>54</v>
      </c>
      <c r="F834" s="3" t="s">
        <v>310</v>
      </c>
      <c r="G834" s="3" t="s">
        <v>2387</v>
      </c>
    </row>
    <row r="835" spans="1:7">
      <c r="A835" s="6">
        <v>42911</v>
      </c>
      <c r="B835" s="3" t="s">
        <v>2053</v>
      </c>
      <c r="C835" s="3" t="s">
        <v>14</v>
      </c>
      <c r="D835" s="8" t="str">
        <f>HYPERLINK("http://npthd.inbcu.com/ViewContent.aspx?filename=NPMR_CBS_2017-06-25_E.MP4$14451$14473","Bull")</f>
        <v>Bull</v>
      </c>
      <c r="E835" s="3" t="s">
        <v>2124</v>
      </c>
      <c r="F835" s="3" t="s">
        <v>2387</v>
      </c>
      <c r="G835" s="3" t="s">
        <v>2388</v>
      </c>
    </row>
    <row r="836" spans="1:7">
      <c r="A836" s="6">
        <v>42911</v>
      </c>
      <c r="B836" s="3" t="s">
        <v>2053</v>
      </c>
      <c r="C836" s="3" t="s">
        <v>18</v>
      </c>
      <c r="D836" s="8" t="str">
        <f>HYPERLINK("http://npthd.inbcu.com/ViewContent.aspx?filename=NPMR_CBS_2017-06-25_E.MP4$14473$14479","CODE BLACK: ave maria")</f>
        <v>CODE BLACK: ave maria</v>
      </c>
      <c r="E836" s="3" t="s">
        <v>15</v>
      </c>
      <c r="F836" s="3" t="s">
        <v>2388</v>
      </c>
      <c r="G836" s="3" t="s">
        <v>2317</v>
      </c>
    </row>
    <row r="837" spans="1:7">
      <c r="A837" s="6">
        <v>42911</v>
      </c>
      <c r="B837" s="3" t="s">
        <v>2053</v>
      </c>
      <c r="C837" s="3" t="s">
        <v>32</v>
      </c>
      <c r="D837" s="8" t="str">
        <f>HYPERLINK("http://npthd.inbcu.com/ViewContent.aspx?filename=NPMR_CBS_2017-06-25_E.MP4$14479$14491","LOCAL")</f>
        <v>LOCAL</v>
      </c>
      <c r="E837" s="3" t="s">
        <v>2057</v>
      </c>
      <c r="F837" s="3" t="s">
        <v>2317</v>
      </c>
      <c r="G837" s="3" t="s">
        <v>124</v>
      </c>
    </row>
    <row r="838" spans="1:7">
      <c r="A838" s="6">
        <v>42912</v>
      </c>
      <c r="B838" s="3" t="s">
        <v>2053</v>
      </c>
      <c r="C838" s="3" t="s">
        <v>18</v>
      </c>
      <c r="D838" s="8" t="str">
        <f>HYPERLINK("http://npthd.inbcu.com/ViewContent.aspx?filename=NPMR_CBS_2017-06-26_E.MP4$110$435","KEVIN CAN WAIT: the power of positive drinking")</f>
        <v>KEVIN CAN WAIT: the power of positive drinking</v>
      </c>
      <c r="E838" s="3" t="s">
        <v>609</v>
      </c>
      <c r="F838" s="3" t="s">
        <v>16</v>
      </c>
      <c r="G838" s="3" t="s">
        <v>2742</v>
      </c>
    </row>
    <row r="839" spans="1:7">
      <c r="A839" s="6">
        <v>42912</v>
      </c>
      <c r="B839" s="3" t="s">
        <v>2053</v>
      </c>
      <c r="C839" s="3" t="s">
        <v>21</v>
      </c>
      <c r="D839" s="8" t="str">
        <f>HYPERLINK("http://npthd.inbcu.com/ViewContent.aspx?filename=NPMR_CBS_2017-06-26_E.MP4$435$543","COMMERCIAL")</f>
        <v>COMMERCIAL</v>
      </c>
      <c r="E839" s="3" t="s">
        <v>2743</v>
      </c>
      <c r="F839" s="3" t="s">
        <v>2742</v>
      </c>
      <c r="G839" s="3" t="s">
        <v>2744</v>
      </c>
    </row>
    <row r="840" spans="1:7">
      <c r="A840" s="6">
        <v>42912</v>
      </c>
      <c r="B840" s="3" t="s">
        <v>2053</v>
      </c>
      <c r="C840" s="3" t="s">
        <v>14</v>
      </c>
      <c r="D840" s="8" t="str">
        <f>HYPERLINK("http://npthd.inbcu.com/ViewContent.aspx?filename=NPMR_CBS_2017-06-26_E.MP4$543$558","Big Brother")</f>
        <v>Big Brother</v>
      </c>
      <c r="E840" s="3" t="s">
        <v>30</v>
      </c>
      <c r="F840" s="3" t="s">
        <v>2744</v>
      </c>
      <c r="G840" s="3" t="s">
        <v>2745</v>
      </c>
    </row>
    <row r="841" spans="1:7">
      <c r="A841" s="6">
        <v>42912</v>
      </c>
      <c r="B841" s="3" t="s">
        <v>2053</v>
      </c>
      <c r="C841" s="3" t="s">
        <v>18</v>
      </c>
      <c r="D841" s="8" t="str">
        <f>HYPERLINK("http://npthd.inbcu.com/ViewContent.aspx?filename=NPMR_CBS_2017-06-26_E.MP4$558$952","KEVIN CAN WAIT: the power of positive drinking")</f>
        <v>KEVIN CAN WAIT: the power of positive drinking</v>
      </c>
      <c r="E841" s="3" t="s">
        <v>2662</v>
      </c>
      <c r="F841" s="3" t="s">
        <v>2745</v>
      </c>
      <c r="G841" s="3" t="s">
        <v>2746</v>
      </c>
    </row>
    <row r="842" spans="1:7">
      <c r="A842" s="6">
        <v>42912</v>
      </c>
      <c r="B842" s="3" t="s">
        <v>2053</v>
      </c>
      <c r="C842" s="3" t="s">
        <v>21</v>
      </c>
      <c r="D842" s="8" t="str">
        <f>HYPERLINK("http://npthd.inbcu.com/ViewContent.aspx?filename=NPMR_CBS_2017-06-26_E.MP4$952$1101","COMMERCIAL")</f>
        <v>COMMERCIAL</v>
      </c>
      <c r="E842" s="3" t="s">
        <v>952</v>
      </c>
      <c r="F842" s="3" t="s">
        <v>2746</v>
      </c>
      <c r="G842" s="3" t="s">
        <v>2747</v>
      </c>
    </row>
    <row r="843" spans="1:7">
      <c r="A843" s="6">
        <v>42912</v>
      </c>
      <c r="B843" s="3" t="s">
        <v>2053</v>
      </c>
      <c r="C843" s="3" t="s">
        <v>1618</v>
      </c>
      <c r="D843" s="8" t="str">
        <f>HYPERLINK("http://npthd.inbcu.com/ViewContent.aspx?filename=NPMR_CBS_2017-06-26_E.MP4$1101$1113","PSA")</f>
        <v>PSA</v>
      </c>
      <c r="E843" s="3" t="s">
        <v>2057</v>
      </c>
      <c r="F843" s="3" t="s">
        <v>2747</v>
      </c>
      <c r="G843" s="3" t="s">
        <v>2748</v>
      </c>
    </row>
    <row r="844" spans="1:7">
      <c r="A844" s="6">
        <v>42912</v>
      </c>
      <c r="B844" s="3" t="s">
        <v>2053</v>
      </c>
      <c r="C844" s="3" t="s">
        <v>14</v>
      </c>
      <c r="D844" s="8" t="str">
        <f>HYPERLINK("http://npthd.inbcu.com/ViewContent.aspx?filename=NPMR_CBS_2017-06-26_E.MP4$1113$1123","Zoo")</f>
        <v>Zoo</v>
      </c>
      <c r="E844" s="3" t="s">
        <v>197</v>
      </c>
      <c r="F844" s="3" t="s">
        <v>2748</v>
      </c>
      <c r="G844" s="3" t="s">
        <v>2749</v>
      </c>
    </row>
    <row r="845" spans="1:7">
      <c r="A845" s="6">
        <v>42912</v>
      </c>
      <c r="B845" s="3" t="s">
        <v>2053</v>
      </c>
      <c r="C845" s="3" t="s">
        <v>32</v>
      </c>
      <c r="D845" s="8" t="str">
        <f>HYPERLINK("http://npthd.inbcu.com/ViewContent.aspx?filename=NPMR_CBS_2017-06-26_E.MP4$1123$1188","LOCAL")</f>
        <v>LOCAL</v>
      </c>
      <c r="E845" s="3" t="s">
        <v>580</v>
      </c>
      <c r="F845" s="3" t="s">
        <v>2749</v>
      </c>
      <c r="G845" s="3" t="s">
        <v>2750</v>
      </c>
    </row>
    <row r="846" spans="1:7">
      <c r="A846" s="6">
        <v>42912</v>
      </c>
      <c r="B846" s="3" t="s">
        <v>2053</v>
      </c>
      <c r="C846" s="3" t="s">
        <v>18</v>
      </c>
      <c r="D846" s="8" t="str">
        <f>HYPERLINK("http://npthd.inbcu.com/ViewContent.aspx?filename=NPMR_CBS_2017-06-26_E.MP4$1188$1681","KEVIN CAN WAIT: the power of positive drinking")</f>
        <v>KEVIN CAN WAIT: the power of positive drinking</v>
      </c>
      <c r="E846" s="3" t="s">
        <v>2751</v>
      </c>
      <c r="F846" s="3" t="s">
        <v>2750</v>
      </c>
      <c r="G846" s="3" t="s">
        <v>2752</v>
      </c>
    </row>
    <row r="847" spans="1:7">
      <c r="A847" s="6">
        <v>42912</v>
      </c>
      <c r="B847" s="3" t="s">
        <v>2053</v>
      </c>
      <c r="C847" s="3" t="s">
        <v>21</v>
      </c>
      <c r="D847" s="8" t="str">
        <f>HYPERLINK("http://npthd.inbcu.com/ViewContent.aspx?filename=NPMR_CBS_2017-06-26_E.MP4$1681$1834","COMMERCIAL")</f>
        <v>COMMERCIAL</v>
      </c>
      <c r="E847" s="3" t="s">
        <v>1735</v>
      </c>
      <c r="F847" s="3" t="s">
        <v>2752</v>
      </c>
      <c r="G847" s="3" t="s">
        <v>2753</v>
      </c>
    </row>
    <row r="848" spans="1:7">
      <c r="A848" s="6">
        <v>42912</v>
      </c>
      <c r="B848" s="3" t="s">
        <v>2053</v>
      </c>
      <c r="C848" s="3" t="s">
        <v>14</v>
      </c>
      <c r="D848" s="8" t="str">
        <f>HYPERLINK("http://npthd.inbcu.com/ViewContent.aspx?filename=NPMR_CBS_2017-06-26_E.MP4$1834$1844","Candy Crush")</f>
        <v>Candy Crush</v>
      </c>
      <c r="E848" s="3" t="s">
        <v>197</v>
      </c>
      <c r="F848" s="3" t="s">
        <v>2753</v>
      </c>
      <c r="G848" s="3" t="s">
        <v>2754</v>
      </c>
    </row>
    <row r="849" spans="1:7">
      <c r="A849" s="6">
        <v>42912</v>
      </c>
      <c r="B849" s="3" t="s">
        <v>2053</v>
      </c>
      <c r="C849" s="3" t="s">
        <v>18</v>
      </c>
      <c r="D849" s="8" t="str">
        <f>HYPERLINK("http://npthd.inbcu.com/ViewContent.aspx?filename=NPMR_CBS_2017-06-26_E.MP4$1844$1885","KEVIN CAN WAIT: the power of positive drinking")</f>
        <v>KEVIN CAN WAIT: the power of positive drinking</v>
      </c>
      <c r="E849" s="3" t="s">
        <v>2755</v>
      </c>
      <c r="F849" s="3" t="s">
        <v>2754</v>
      </c>
      <c r="G849" s="3" t="s">
        <v>2138</v>
      </c>
    </row>
    <row r="850" spans="1:7">
      <c r="A850" s="6">
        <v>42912</v>
      </c>
      <c r="B850" s="3" t="s">
        <v>2053</v>
      </c>
      <c r="C850" s="3" t="s">
        <v>14</v>
      </c>
      <c r="D850" s="8" t="str">
        <f>HYPERLINK("http://npthd.inbcu.com/ViewContent.aspx?filename=NPMR_CBS_2017-06-26_E.MP4$1885$1906","Salvation")</f>
        <v>Salvation</v>
      </c>
      <c r="E850" s="3" t="s">
        <v>2067</v>
      </c>
      <c r="F850" s="3" t="s">
        <v>2138</v>
      </c>
      <c r="G850" s="3" t="s">
        <v>2756</v>
      </c>
    </row>
    <row r="851" spans="1:7">
      <c r="A851" s="6">
        <v>42912</v>
      </c>
      <c r="B851" s="3" t="s">
        <v>2053</v>
      </c>
      <c r="C851" s="3" t="s">
        <v>18</v>
      </c>
      <c r="D851" s="8" t="str">
        <f>HYPERLINK("http://npthd.inbcu.com/ViewContent.aspx?filename=NPMR_CBS_2017-06-26_E.MP4$1906$1911","KEVIN CAN WAIT: the power of positive drinking")</f>
        <v>KEVIN CAN WAIT: the power of positive drinking</v>
      </c>
      <c r="E851" s="3" t="s">
        <v>54</v>
      </c>
      <c r="F851" s="3" t="s">
        <v>2756</v>
      </c>
      <c r="G851" s="3" t="s">
        <v>2757</v>
      </c>
    </row>
    <row r="852" spans="1:7">
      <c r="A852" s="6">
        <v>42912</v>
      </c>
      <c r="B852" s="3" t="s">
        <v>2053</v>
      </c>
      <c r="C852" s="3" t="s">
        <v>14</v>
      </c>
      <c r="D852" s="8" t="str">
        <f>HYPERLINK("http://npthd.inbcu.com/ViewContent.aspx?filename=NPMR_CBS_2017-06-26_E.MP4$1911$1916","Candy Crush")</f>
        <v>Candy Crush</v>
      </c>
      <c r="E852" s="3" t="s">
        <v>54</v>
      </c>
      <c r="F852" s="3" t="s">
        <v>2757</v>
      </c>
      <c r="G852" s="3" t="s">
        <v>514</v>
      </c>
    </row>
    <row r="853" spans="1:7">
      <c r="A853" s="6">
        <v>42912</v>
      </c>
      <c r="B853" s="3" t="s">
        <v>2053</v>
      </c>
      <c r="C853" s="3" t="s">
        <v>18</v>
      </c>
      <c r="D853" s="8" t="str">
        <f>HYPERLINK("http://npthd.inbcu.com/ViewContent.aspx?filename=NPMR_CBS_2017-06-26_E.MP4$1916$2369","MAN WITH A PLAN: a dinner gone wrong")</f>
        <v>MAN WITH A PLAN: a dinner gone wrong</v>
      </c>
      <c r="E853" s="3" t="s">
        <v>1758</v>
      </c>
      <c r="F853" s="3" t="s">
        <v>514</v>
      </c>
      <c r="G853" s="3" t="s">
        <v>2758</v>
      </c>
    </row>
    <row r="854" spans="1:7">
      <c r="A854" s="6">
        <v>42912</v>
      </c>
      <c r="B854" s="3" t="s">
        <v>2053</v>
      </c>
      <c r="C854" s="3" t="s">
        <v>21</v>
      </c>
      <c r="D854" s="8" t="str">
        <f>HYPERLINK("http://npthd.inbcu.com/ViewContent.aspx?filename=NPMR_CBS_2017-06-26_E.MP4$2369$2492","COMMERCIAL")</f>
        <v>COMMERCIAL</v>
      </c>
      <c r="E854" s="3" t="s">
        <v>2722</v>
      </c>
      <c r="F854" s="3" t="s">
        <v>2758</v>
      </c>
      <c r="G854" s="3" t="s">
        <v>2759</v>
      </c>
    </row>
    <row r="855" spans="1:7">
      <c r="A855" s="6">
        <v>42912</v>
      </c>
      <c r="B855" s="3" t="s">
        <v>2053</v>
      </c>
      <c r="C855" s="3" t="s">
        <v>14</v>
      </c>
      <c r="D855" s="8" t="str">
        <f>HYPERLINK("http://npthd.inbcu.com/ViewContent.aspx?filename=NPMR_CBS_2017-06-26_E.MP4$2492$2512","Big Brother")</f>
        <v>Big Brother</v>
      </c>
      <c r="E855" s="3" t="s">
        <v>1805</v>
      </c>
      <c r="F855" s="3" t="s">
        <v>2759</v>
      </c>
      <c r="G855" s="3" t="s">
        <v>2760</v>
      </c>
    </row>
    <row r="856" spans="1:7">
      <c r="A856" s="6">
        <v>42912</v>
      </c>
      <c r="B856" s="3" t="s">
        <v>2053</v>
      </c>
      <c r="C856" s="3" t="s">
        <v>14</v>
      </c>
      <c r="D856" s="8" t="str">
        <f>HYPERLINK("http://npthd.inbcu.com/ViewContent.aspx?filename=NPMR_CBS_2017-06-26_E.MP4$2512$2517","Zoo")</f>
        <v>Zoo</v>
      </c>
      <c r="E856" s="3" t="s">
        <v>54</v>
      </c>
      <c r="F856" s="3" t="s">
        <v>2760</v>
      </c>
      <c r="G856" s="3" t="s">
        <v>1486</v>
      </c>
    </row>
    <row r="857" spans="1:7">
      <c r="A857" s="6">
        <v>42912</v>
      </c>
      <c r="B857" s="3" t="s">
        <v>2053</v>
      </c>
      <c r="C857" s="3" t="s">
        <v>18</v>
      </c>
      <c r="D857" s="8" t="str">
        <f>HYPERLINK("http://npthd.inbcu.com/ViewContent.aspx?filename=NPMR_CBS_2017-06-26_E.MP4$2517$2906","MAN WITH A PLAN: a dinner gone wrong")</f>
        <v>MAN WITH A PLAN: a dinner gone wrong</v>
      </c>
      <c r="E857" s="3" t="s">
        <v>867</v>
      </c>
      <c r="F857" s="3" t="s">
        <v>1486</v>
      </c>
      <c r="G857" s="3" t="s">
        <v>2761</v>
      </c>
    </row>
    <row r="858" spans="1:7">
      <c r="A858" s="6">
        <v>42912</v>
      </c>
      <c r="B858" s="3" t="s">
        <v>2053</v>
      </c>
      <c r="C858" s="3" t="s">
        <v>21</v>
      </c>
      <c r="D858" s="8" t="str">
        <f>HYPERLINK("http://npthd.inbcu.com/ViewContent.aspx?filename=NPMR_CBS_2017-06-26_E.MP4$2906$3086","COMMERCIAL")</f>
        <v>COMMERCIAL</v>
      </c>
      <c r="E858" s="3" t="s">
        <v>22</v>
      </c>
      <c r="F858" s="3" t="s">
        <v>2761</v>
      </c>
      <c r="G858" s="3" t="s">
        <v>2762</v>
      </c>
    </row>
    <row r="859" spans="1:7">
      <c r="A859" s="6">
        <v>42912</v>
      </c>
      <c r="B859" s="3" t="s">
        <v>2053</v>
      </c>
      <c r="C859" s="3" t="s">
        <v>14</v>
      </c>
      <c r="D859" s="8" t="str">
        <f>HYPERLINK("http://npthd.inbcu.com/ViewContent.aspx?filename=NPMR_CBS_2017-06-26_E.MP4$3086$3097","Late Show with Stephen Colbert")</f>
        <v>Late Show with Stephen Colbert</v>
      </c>
      <c r="E859" s="3" t="s">
        <v>1940</v>
      </c>
      <c r="F859" s="3" t="s">
        <v>2762</v>
      </c>
      <c r="G859" s="3" t="s">
        <v>2763</v>
      </c>
    </row>
    <row r="860" spans="1:7">
      <c r="A860" s="6">
        <v>42912</v>
      </c>
      <c r="B860" s="3" t="s">
        <v>2053</v>
      </c>
      <c r="C860" s="3" t="s">
        <v>32</v>
      </c>
      <c r="D860" s="8" t="str">
        <f>HYPERLINK("http://npthd.inbcu.com/ViewContent.aspx?filename=NPMR_CBS_2017-06-26_E.MP4$3097$3162","LOCAL")</f>
        <v>LOCAL</v>
      </c>
      <c r="E860" s="3" t="s">
        <v>580</v>
      </c>
      <c r="F860" s="3" t="s">
        <v>2763</v>
      </c>
      <c r="G860" s="3" t="s">
        <v>2764</v>
      </c>
    </row>
    <row r="861" spans="1:7">
      <c r="A861" s="6">
        <v>42912</v>
      </c>
      <c r="B861" s="3" t="s">
        <v>2053</v>
      </c>
      <c r="C861" s="3" t="s">
        <v>18</v>
      </c>
      <c r="D861" s="8" t="str">
        <f>HYPERLINK("http://npthd.inbcu.com/ViewContent.aspx?filename=NPMR_CBS_2017-06-26_E.MP4$3162$3423","MAN WITH A PLAN: a dinner gone wrong")</f>
        <v>MAN WITH A PLAN: a dinner gone wrong</v>
      </c>
      <c r="E861" s="3" t="s">
        <v>614</v>
      </c>
      <c r="F861" s="3" t="s">
        <v>2764</v>
      </c>
      <c r="G861" s="3" t="s">
        <v>2765</v>
      </c>
    </row>
    <row r="862" spans="1:7">
      <c r="A862" s="6">
        <v>42912</v>
      </c>
      <c r="B862" s="3" t="s">
        <v>2053</v>
      </c>
      <c r="C862" s="3" t="s">
        <v>21</v>
      </c>
      <c r="D862" s="8" t="str">
        <f>HYPERLINK("http://npthd.inbcu.com/ViewContent.aspx?filename=NPMR_CBS_2017-06-26_E.MP4$3423$3590","COMMERCIAL")</f>
        <v>COMMERCIAL</v>
      </c>
      <c r="E862" s="3" t="s">
        <v>1217</v>
      </c>
      <c r="F862" s="3" t="s">
        <v>2765</v>
      </c>
      <c r="G862" s="3" t="s">
        <v>2766</v>
      </c>
    </row>
    <row r="863" spans="1:7">
      <c r="A863" s="6">
        <v>42912</v>
      </c>
      <c r="B863" s="3" t="s">
        <v>2053</v>
      </c>
      <c r="C863" s="3" t="s">
        <v>14</v>
      </c>
      <c r="D863" s="8" t="str">
        <f>HYPERLINK("http://npthd.inbcu.com/ViewContent.aspx?filename=NPMR_CBS_2017-06-26_E.MP4$3590$3609","Zoo")</f>
        <v>Zoo</v>
      </c>
      <c r="E863" s="3" t="s">
        <v>670</v>
      </c>
      <c r="F863" s="3" t="s">
        <v>2766</v>
      </c>
      <c r="G863" s="3" t="s">
        <v>2767</v>
      </c>
    </row>
    <row r="864" spans="1:7">
      <c r="A864" s="6">
        <v>42912</v>
      </c>
      <c r="B864" s="3" t="s">
        <v>2053</v>
      </c>
      <c r="C864" s="3" t="s">
        <v>18</v>
      </c>
      <c r="D864" s="8" t="str">
        <f>HYPERLINK("http://npthd.inbcu.com/ViewContent.aspx?filename=NPMR_CBS_2017-06-26_E.MP4$3609$3684","MAN WITH A PLAN: a dinner gone wrong")</f>
        <v>MAN WITH A PLAN: a dinner gone wrong</v>
      </c>
      <c r="E864" s="3" t="s">
        <v>531</v>
      </c>
      <c r="F864" s="3" t="s">
        <v>2767</v>
      </c>
      <c r="G864" s="3" t="s">
        <v>2407</v>
      </c>
    </row>
    <row r="865" spans="1:7">
      <c r="A865" s="6">
        <v>42912</v>
      </c>
      <c r="B865" s="3" t="s">
        <v>2053</v>
      </c>
      <c r="C865" s="3" t="s">
        <v>14</v>
      </c>
      <c r="D865" s="8" t="str">
        <f>HYPERLINK("http://npthd.inbcu.com/ViewContent.aspx?filename=NPMR_CBS_2017-06-26_E.MP4$3684$3706","Salvation")</f>
        <v>Salvation</v>
      </c>
      <c r="E865" s="3" t="s">
        <v>2124</v>
      </c>
      <c r="F865" s="3" t="s">
        <v>2407</v>
      </c>
      <c r="G865" s="3" t="s">
        <v>2768</v>
      </c>
    </row>
    <row r="866" spans="1:7">
      <c r="A866" s="6">
        <v>42912</v>
      </c>
      <c r="B866" s="3" t="s">
        <v>2053</v>
      </c>
      <c r="C866" s="3" t="s">
        <v>18</v>
      </c>
      <c r="D866" s="8" t="str">
        <f>HYPERLINK("http://npthd.inbcu.com/ViewContent.aspx?filename=NPMR_CBS_2017-06-26_E.MP4$3706$3711","MAN WITH A PLAN: a dinner gone wrong")</f>
        <v>MAN WITH A PLAN: a dinner gone wrong</v>
      </c>
      <c r="E866" s="3" t="s">
        <v>54</v>
      </c>
      <c r="F866" s="3" t="s">
        <v>2768</v>
      </c>
      <c r="G866" s="3" t="s">
        <v>53</v>
      </c>
    </row>
    <row r="867" spans="1:7">
      <c r="A867" s="6">
        <v>42912</v>
      </c>
      <c r="B867" s="3" t="s">
        <v>2053</v>
      </c>
      <c r="C867" s="3" t="s">
        <v>14</v>
      </c>
      <c r="D867" s="8" t="str">
        <f>HYPERLINK("http://npthd.inbcu.com/ViewContent.aspx?filename=NPMR_CBS_2017-06-26_E.MP4$3711$3716","Big Brother")</f>
        <v>Big Brother</v>
      </c>
      <c r="E867" s="3" t="s">
        <v>54</v>
      </c>
      <c r="F867" s="3" t="s">
        <v>53</v>
      </c>
      <c r="G867" s="3" t="s">
        <v>55</v>
      </c>
    </row>
    <row r="868" spans="1:7">
      <c r="A868" s="6">
        <v>42912</v>
      </c>
      <c r="B868" s="3" t="s">
        <v>2053</v>
      </c>
      <c r="C868" s="3" t="s">
        <v>18</v>
      </c>
      <c r="D868" s="8" t="str">
        <f>HYPERLINK("http://npthd.inbcu.com/ViewContent.aspx?filename=NPMR_CBS_2017-06-26_E.MP4$3716$3897","MOM: a safe world and a rib eye")</f>
        <v>MOM: a safe world and a rib eye</v>
      </c>
      <c r="E868" s="3" t="s">
        <v>108</v>
      </c>
      <c r="F868" s="3" t="s">
        <v>55</v>
      </c>
      <c r="G868" s="3" t="s">
        <v>2769</v>
      </c>
    </row>
    <row r="869" spans="1:7">
      <c r="A869" s="6">
        <v>42912</v>
      </c>
      <c r="B869" s="3" t="s">
        <v>2053</v>
      </c>
      <c r="C869" s="3" t="s">
        <v>21</v>
      </c>
      <c r="D869" s="8" t="str">
        <f>HYPERLINK("http://npthd.inbcu.com/ViewContent.aspx?filename=NPMR_CBS_2017-06-26_E.MP4$3897$4079","COMMERCIAL")</f>
        <v>COMMERCIAL</v>
      </c>
      <c r="E869" s="3" t="s">
        <v>275</v>
      </c>
      <c r="F869" s="3" t="s">
        <v>2769</v>
      </c>
      <c r="G869" s="3" t="s">
        <v>2770</v>
      </c>
    </row>
    <row r="870" spans="1:7">
      <c r="A870" s="6">
        <v>42912</v>
      </c>
      <c r="B870" s="3" t="s">
        <v>2053</v>
      </c>
      <c r="C870" s="3" t="s">
        <v>14</v>
      </c>
      <c r="D870" s="8" t="str">
        <f>HYPERLINK("http://npthd.inbcu.com/ViewContent.aspx?filename=NPMR_CBS_2017-06-26_E.MP4$4079$4109","Salvation")</f>
        <v>Salvation</v>
      </c>
      <c r="E870" s="3" t="s">
        <v>38</v>
      </c>
      <c r="F870" s="3" t="s">
        <v>2770</v>
      </c>
      <c r="G870" s="3" t="s">
        <v>2771</v>
      </c>
    </row>
    <row r="871" spans="1:7">
      <c r="A871" s="6">
        <v>42912</v>
      </c>
      <c r="B871" s="3" t="s">
        <v>2053</v>
      </c>
      <c r="C871" s="3" t="s">
        <v>18</v>
      </c>
      <c r="D871" s="8" t="str">
        <f>HYPERLINK("http://npthd.inbcu.com/ViewContent.aspx?filename=NPMR_CBS_2017-06-26_E.MP4$4109$4470","MOM: a safe world and a rib eye")</f>
        <v>MOM: a safe world and a rib eye</v>
      </c>
      <c r="E871" s="3" t="s">
        <v>222</v>
      </c>
      <c r="F871" s="3" t="s">
        <v>2771</v>
      </c>
      <c r="G871" s="3" t="s">
        <v>2772</v>
      </c>
    </row>
    <row r="872" spans="1:7">
      <c r="A872" s="6">
        <v>42912</v>
      </c>
      <c r="B872" s="3" t="s">
        <v>2053</v>
      </c>
      <c r="C872" s="3" t="s">
        <v>21</v>
      </c>
      <c r="D872" s="8" t="str">
        <f>HYPERLINK("http://npthd.inbcu.com/ViewContent.aspx?filename=NPMR_CBS_2017-06-26_E.MP4$4470$4622","COMMERCIAL")</f>
        <v>COMMERCIAL</v>
      </c>
      <c r="E872" s="3" t="s">
        <v>128</v>
      </c>
      <c r="F872" s="3" t="s">
        <v>2772</v>
      </c>
      <c r="G872" s="3" t="s">
        <v>2773</v>
      </c>
    </row>
    <row r="873" spans="1:7">
      <c r="A873" s="6">
        <v>42912</v>
      </c>
      <c r="B873" s="3" t="s">
        <v>2053</v>
      </c>
      <c r="C873" s="3" t="s">
        <v>14</v>
      </c>
      <c r="D873" s="8" t="str">
        <f>HYPERLINK("http://npthd.inbcu.com/ViewContent.aspx?filename=NPMR_CBS_2017-06-26_E.MP4$4622$4632","Candy Crush")</f>
        <v>Candy Crush</v>
      </c>
      <c r="E873" s="3" t="s">
        <v>197</v>
      </c>
      <c r="F873" s="3" t="s">
        <v>2773</v>
      </c>
      <c r="G873" s="3" t="s">
        <v>2774</v>
      </c>
    </row>
    <row r="874" spans="1:7">
      <c r="A874" s="6">
        <v>42912</v>
      </c>
      <c r="B874" s="3" t="s">
        <v>2053</v>
      </c>
      <c r="C874" s="3" t="s">
        <v>32</v>
      </c>
      <c r="D874" s="8" t="str">
        <f>HYPERLINK("http://npthd.inbcu.com/ViewContent.aspx?filename=NPMR_CBS_2017-06-26_E.MP4$4632$4697","LOCAL")</f>
        <v>LOCAL</v>
      </c>
      <c r="E874" s="3" t="s">
        <v>580</v>
      </c>
      <c r="F874" s="3" t="s">
        <v>2774</v>
      </c>
      <c r="G874" s="3" t="s">
        <v>2775</v>
      </c>
    </row>
    <row r="875" spans="1:7">
      <c r="A875" s="6">
        <v>42912</v>
      </c>
      <c r="B875" s="3" t="s">
        <v>2053</v>
      </c>
      <c r="C875" s="3" t="s">
        <v>18</v>
      </c>
      <c r="D875" s="8" t="str">
        <f>HYPERLINK("http://npthd.inbcu.com/ViewContent.aspx?filename=NPMR_CBS_2017-06-26_E.MP4$4697$5192","MOM: a safe world and a rib eye")</f>
        <v>MOM: a safe world and a rib eye</v>
      </c>
      <c r="E875" s="3" t="s">
        <v>1312</v>
      </c>
      <c r="F875" s="3" t="s">
        <v>2775</v>
      </c>
      <c r="G875" s="3" t="s">
        <v>1140</v>
      </c>
    </row>
    <row r="876" spans="1:7">
      <c r="A876" s="6">
        <v>42912</v>
      </c>
      <c r="B876" s="3" t="s">
        <v>2053</v>
      </c>
      <c r="C876" s="3" t="s">
        <v>21</v>
      </c>
      <c r="D876" s="8" t="str">
        <f>HYPERLINK("http://npthd.inbcu.com/ViewContent.aspx?filename=NPMR_CBS_2017-06-26_E.MP4$5192$5390","COMMERCIAL")</f>
        <v>COMMERCIAL</v>
      </c>
      <c r="E876" s="3" t="s">
        <v>2776</v>
      </c>
      <c r="F876" s="3" t="s">
        <v>1140</v>
      </c>
      <c r="G876" s="3" t="s">
        <v>2288</v>
      </c>
    </row>
    <row r="877" spans="1:7">
      <c r="A877" s="6">
        <v>42912</v>
      </c>
      <c r="B877" s="3" t="s">
        <v>2053</v>
      </c>
      <c r="C877" s="3" t="s">
        <v>14</v>
      </c>
      <c r="D877" s="8" t="str">
        <f>HYPERLINK("http://npthd.inbcu.com/ViewContent.aspx?filename=NPMR_CBS_2017-06-26_E.MP4$5390$5410","Big Brother")</f>
        <v>Big Brother</v>
      </c>
      <c r="E877" s="3" t="s">
        <v>1805</v>
      </c>
      <c r="F877" s="3" t="s">
        <v>2288</v>
      </c>
      <c r="G877" s="3" t="s">
        <v>2151</v>
      </c>
    </row>
    <row r="878" spans="1:7">
      <c r="A878" s="6">
        <v>42912</v>
      </c>
      <c r="B878" s="3" t="s">
        <v>2053</v>
      </c>
      <c r="C878" s="3" t="s">
        <v>18</v>
      </c>
      <c r="D878" s="8" t="str">
        <f>HYPERLINK("http://npthd.inbcu.com/ViewContent.aspx?filename=NPMR_CBS_2017-06-26_E.MP4$5410$5485","MOM: a safe world and a rib eye")</f>
        <v>MOM: a safe world and a rib eye</v>
      </c>
      <c r="E878" s="3" t="s">
        <v>531</v>
      </c>
      <c r="F878" s="3" t="s">
        <v>2151</v>
      </c>
      <c r="G878" s="3" t="s">
        <v>2092</v>
      </c>
    </row>
    <row r="879" spans="1:7">
      <c r="A879" s="6">
        <v>42912</v>
      </c>
      <c r="B879" s="3" t="s">
        <v>2053</v>
      </c>
      <c r="C879" s="3" t="s">
        <v>14</v>
      </c>
      <c r="D879" s="8" t="str">
        <f>HYPERLINK("http://npthd.inbcu.com/ViewContent.aspx?filename=NPMR_CBS_2017-06-26_E.MP4$5485$5506","Zoo")</f>
        <v>Zoo</v>
      </c>
      <c r="E879" s="3" t="s">
        <v>2067</v>
      </c>
      <c r="F879" s="3" t="s">
        <v>2092</v>
      </c>
      <c r="G879" s="3" t="s">
        <v>2777</v>
      </c>
    </row>
    <row r="880" spans="1:7">
      <c r="A880" s="6">
        <v>42912</v>
      </c>
      <c r="B880" s="3" t="s">
        <v>2053</v>
      </c>
      <c r="C880" s="3" t="s">
        <v>18</v>
      </c>
      <c r="D880" s="8" t="str">
        <f>HYPERLINK("http://npthd.inbcu.com/ViewContent.aspx?filename=NPMR_CBS_2017-06-26_E.MP4$5506$5510","MOM: a safe world and a rib eye")</f>
        <v>MOM: a safe world and a rib eye</v>
      </c>
      <c r="E880" s="3" t="s">
        <v>84</v>
      </c>
      <c r="F880" s="3" t="s">
        <v>2777</v>
      </c>
      <c r="G880" s="3" t="s">
        <v>550</v>
      </c>
    </row>
    <row r="881" spans="1:7">
      <c r="A881" s="6">
        <v>42912</v>
      </c>
      <c r="B881" s="3" t="s">
        <v>2053</v>
      </c>
      <c r="C881" s="3" t="s">
        <v>14</v>
      </c>
      <c r="D881" s="8" t="str">
        <f>HYPERLINK("http://npthd.inbcu.com/ViewContent.aspx?filename=NPMR_CBS_2017-06-26_E.MP4$5510$5516","Late Show with Stephen Colbert")</f>
        <v>Late Show with Stephen Colbert</v>
      </c>
      <c r="E881" s="3" t="s">
        <v>15</v>
      </c>
      <c r="F881" s="3" t="s">
        <v>550</v>
      </c>
      <c r="G881" s="3" t="s">
        <v>2778</v>
      </c>
    </row>
    <row r="882" spans="1:7">
      <c r="A882" s="6">
        <v>42912</v>
      </c>
      <c r="B882" s="3" t="s">
        <v>2053</v>
      </c>
      <c r="C882" s="3" t="s">
        <v>18</v>
      </c>
      <c r="D882" s="8" t="str">
        <f>HYPERLINK("http://npthd.inbcu.com/ViewContent.aspx?filename=NPMR_CBS_2017-06-26_E.MP4$5516$6231","LIFE IN PIECES: tailgate spiral souvenir seating")</f>
        <v>LIFE IN PIECES: tailgate spiral souvenir seating</v>
      </c>
      <c r="E882" s="3" t="s">
        <v>2779</v>
      </c>
      <c r="F882" s="3" t="s">
        <v>2778</v>
      </c>
      <c r="G882" s="3" t="s">
        <v>2780</v>
      </c>
    </row>
    <row r="883" spans="1:7">
      <c r="A883" s="6">
        <v>42912</v>
      </c>
      <c r="B883" s="3" t="s">
        <v>2053</v>
      </c>
      <c r="C883" s="3" t="s">
        <v>21</v>
      </c>
      <c r="D883" s="8" t="str">
        <f>HYPERLINK("http://npthd.inbcu.com/ViewContent.aspx?filename=NPMR_CBS_2017-06-26_E.MP4$6231$6353","COMMERCIAL")</f>
        <v>COMMERCIAL</v>
      </c>
      <c r="E883" s="3" t="s">
        <v>252</v>
      </c>
      <c r="F883" s="3" t="s">
        <v>2780</v>
      </c>
      <c r="G883" s="3" t="s">
        <v>2781</v>
      </c>
    </row>
    <row r="884" spans="1:7">
      <c r="A884" s="6">
        <v>42912</v>
      </c>
      <c r="B884" s="3" t="s">
        <v>2053</v>
      </c>
      <c r="C884" s="3" t="s">
        <v>14</v>
      </c>
      <c r="D884" s="8" t="str">
        <f>HYPERLINK("http://npthd.inbcu.com/ViewContent.aspx?filename=NPMR_CBS_2017-06-26_E.MP4$6353$6373","Big Brother")</f>
        <v>Big Brother</v>
      </c>
      <c r="E884" s="3" t="s">
        <v>1805</v>
      </c>
      <c r="F884" s="3" t="s">
        <v>2781</v>
      </c>
      <c r="G884" s="3" t="s">
        <v>2782</v>
      </c>
    </row>
    <row r="885" spans="1:7">
      <c r="A885" s="6">
        <v>42912</v>
      </c>
      <c r="B885" s="3" t="s">
        <v>2053</v>
      </c>
      <c r="C885" s="3" t="s">
        <v>18</v>
      </c>
      <c r="D885" s="8" t="str">
        <f>HYPERLINK("http://npthd.inbcu.com/ViewContent.aspx?filename=NPMR_CBS_2017-06-26_E.MP4$6373$6645","LIFE IN PIECES: tailgate spiral souvenir seating")</f>
        <v>LIFE IN PIECES: tailgate spiral souvenir seating</v>
      </c>
      <c r="E885" s="3" t="s">
        <v>381</v>
      </c>
      <c r="F885" s="3" t="s">
        <v>2782</v>
      </c>
      <c r="G885" s="3" t="s">
        <v>2783</v>
      </c>
    </row>
    <row r="886" spans="1:7">
      <c r="A886" s="6">
        <v>42912</v>
      </c>
      <c r="B886" s="3" t="s">
        <v>2053</v>
      </c>
      <c r="C886" s="3" t="s">
        <v>21</v>
      </c>
      <c r="D886" s="8" t="str">
        <f>HYPERLINK("http://npthd.inbcu.com/ViewContent.aspx?filename=NPMR_CBS_2017-06-26_E.MP4$6645$6798","COMMERCIAL")</f>
        <v>COMMERCIAL</v>
      </c>
      <c r="E886" s="3" t="s">
        <v>1735</v>
      </c>
      <c r="F886" s="3" t="s">
        <v>2783</v>
      </c>
      <c r="G886" s="3" t="s">
        <v>2784</v>
      </c>
    </row>
    <row r="887" spans="1:7">
      <c r="A887" s="6">
        <v>42912</v>
      </c>
      <c r="B887" s="3" t="s">
        <v>2053</v>
      </c>
      <c r="C887" s="3" t="s">
        <v>14</v>
      </c>
      <c r="D887" s="8" t="str">
        <f>HYPERLINK("http://npthd.inbcu.com/ViewContent.aspx?filename=NPMR_CBS_2017-06-26_E.MP4$6798$6808","CBS This Morning")</f>
        <v>CBS This Morning</v>
      </c>
      <c r="E887" s="3" t="s">
        <v>197</v>
      </c>
      <c r="F887" s="3" t="s">
        <v>2784</v>
      </c>
      <c r="G887" s="3" t="s">
        <v>822</v>
      </c>
    </row>
    <row r="888" spans="1:7">
      <c r="A888" s="6">
        <v>42912</v>
      </c>
      <c r="B888" s="3" t="s">
        <v>2053</v>
      </c>
      <c r="C888" s="3" t="s">
        <v>32</v>
      </c>
      <c r="D888" s="8" t="str">
        <f>HYPERLINK("http://npthd.inbcu.com/ViewContent.aspx?filename=NPMR_CBS_2017-06-26_E.MP4$6808$6872","LOCAL")</f>
        <v>LOCAL</v>
      </c>
      <c r="E888" s="3" t="s">
        <v>1902</v>
      </c>
      <c r="F888" s="3" t="s">
        <v>822</v>
      </c>
      <c r="G888" s="3" t="s">
        <v>2785</v>
      </c>
    </row>
    <row r="889" spans="1:7">
      <c r="A889" s="6">
        <v>42912</v>
      </c>
      <c r="B889" s="3" t="s">
        <v>2053</v>
      </c>
      <c r="C889" s="3" t="s">
        <v>18</v>
      </c>
      <c r="D889" s="8" t="str">
        <f>HYPERLINK("http://npthd.inbcu.com/ViewContent.aspx?filename=NPMR_CBS_2017-06-26_E.MP4$6872$7073","LIFE IN PIECES: tailgate spiral souvenir seating")</f>
        <v>LIFE IN PIECES: tailgate spiral souvenir seating</v>
      </c>
      <c r="E889" s="3" t="s">
        <v>137</v>
      </c>
      <c r="F889" s="3" t="s">
        <v>2785</v>
      </c>
      <c r="G889" s="3" t="s">
        <v>2786</v>
      </c>
    </row>
    <row r="890" spans="1:7">
      <c r="A890" s="6">
        <v>42912</v>
      </c>
      <c r="B890" s="3" t="s">
        <v>2053</v>
      </c>
      <c r="C890" s="3" t="s">
        <v>21</v>
      </c>
      <c r="D890" s="8" t="str">
        <f>HYPERLINK("http://npthd.inbcu.com/ViewContent.aspx?filename=NPMR_CBS_2017-06-26_E.MP4$7073$7210","COMMERCIAL")</f>
        <v>COMMERCIAL</v>
      </c>
      <c r="E890" s="3" t="s">
        <v>488</v>
      </c>
      <c r="F890" s="3" t="s">
        <v>2786</v>
      </c>
      <c r="G890" s="3" t="s">
        <v>2787</v>
      </c>
    </row>
    <row r="891" spans="1:7">
      <c r="A891" s="6">
        <v>42912</v>
      </c>
      <c r="B891" s="3" t="s">
        <v>2053</v>
      </c>
      <c r="C891" s="3" t="s">
        <v>14</v>
      </c>
      <c r="D891" s="8" t="str">
        <f>HYPERLINK("http://npthd.inbcu.com/ViewContent.aspx?filename=NPMR_CBS_2017-06-26_E.MP4$7210$7220","Talk, The")</f>
        <v>Talk, The</v>
      </c>
      <c r="E891" s="3" t="s">
        <v>197</v>
      </c>
      <c r="F891" s="3" t="s">
        <v>2787</v>
      </c>
      <c r="G891" s="3" t="s">
        <v>2788</v>
      </c>
    </row>
    <row r="892" spans="1:7">
      <c r="A892" s="6">
        <v>42912</v>
      </c>
      <c r="B892" s="3" t="s">
        <v>2053</v>
      </c>
      <c r="C892" s="3" t="s">
        <v>18</v>
      </c>
      <c r="D892" s="8" t="str">
        <f>HYPERLINK("http://npthd.inbcu.com/ViewContent.aspx?filename=NPMR_CBS_2017-06-26_E.MP4$7220$7285","LIFE IN PIECES: tailgate spiral souvenir seating")</f>
        <v>LIFE IN PIECES: tailgate spiral souvenir seating</v>
      </c>
      <c r="E892" s="3" t="s">
        <v>580</v>
      </c>
      <c r="F892" s="3" t="s">
        <v>2788</v>
      </c>
      <c r="G892" s="3" t="s">
        <v>2106</v>
      </c>
    </row>
    <row r="893" spans="1:7">
      <c r="A893" s="6">
        <v>42912</v>
      </c>
      <c r="B893" s="3" t="s">
        <v>2053</v>
      </c>
      <c r="C893" s="3" t="s">
        <v>14</v>
      </c>
      <c r="D893" s="8" t="str">
        <f>HYPERLINK("http://npthd.inbcu.com/ViewContent.aspx?filename=NPMR_CBS_2017-06-26_E.MP4$7285$7306","Zoo")</f>
        <v>Zoo</v>
      </c>
      <c r="E893" s="3" t="s">
        <v>2067</v>
      </c>
      <c r="F893" s="3" t="s">
        <v>2106</v>
      </c>
      <c r="G893" s="3" t="s">
        <v>2789</v>
      </c>
    </row>
    <row r="894" spans="1:7">
      <c r="A894" s="6">
        <v>42912</v>
      </c>
      <c r="B894" s="3" t="s">
        <v>2053</v>
      </c>
      <c r="C894" s="3" t="s">
        <v>18</v>
      </c>
      <c r="D894" s="8" t="str">
        <f>HYPERLINK("http://npthd.inbcu.com/ViewContent.aspx?filename=NPMR_CBS_2017-06-26_E.MP4$7306$7310","LIFE IN PIECES: tailgate spiral souvenir seating")</f>
        <v>LIFE IN PIECES: tailgate spiral souvenir seating</v>
      </c>
      <c r="E894" s="3" t="s">
        <v>84</v>
      </c>
      <c r="F894" s="3" t="s">
        <v>2789</v>
      </c>
      <c r="G894" s="3" t="s">
        <v>394</v>
      </c>
    </row>
    <row r="895" spans="1:7">
      <c r="A895" s="6">
        <v>42912</v>
      </c>
      <c r="B895" s="3" t="s">
        <v>2053</v>
      </c>
      <c r="C895" s="3" t="s">
        <v>14</v>
      </c>
      <c r="D895" s="8" t="str">
        <f>HYPERLINK("http://npthd.inbcu.com/ViewContent.aspx?filename=NPMR_CBS_2017-06-26_E.MP4$7310$7316","Late Show with Stephen Colbert")</f>
        <v>Late Show with Stephen Colbert</v>
      </c>
      <c r="E895" s="3" t="s">
        <v>15</v>
      </c>
      <c r="F895" s="3" t="s">
        <v>394</v>
      </c>
      <c r="G895" s="3" t="s">
        <v>88</v>
      </c>
    </row>
    <row r="896" spans="1:7">
      <c r="A896" s="6">
        <v>42912</v>
      </c>
      <c r="B896" s="3" t="s">
        <v>2053</v>
      </c>
      <c r="C896" s="3" t="s">
        <v>18</v>
      </c>
      <c r="D896" s="8" t="str">
        <f>HYPERLINK("http://npthd.inbcu.com/ViewContent.aspx?filename=NPMR_CBS_2017-06-26_E.MP4$7316$7962","SCORPION: this is the pits")</f>
        <v>SCORPION: this is the pits</v>
      </c>
      <c r="E896" s="3" t="s">
        <v>2790</v>
      </c>
      <c r="F896" s="3" t="s">
        <v>88</v>
      </c>
      <c r="G896" s="3" t="s">
        <v>2791</v>
      </c>
    </row>
    <row r="897" spans="1:7">
      <c r="A897" s="6">
        <v>42912</v>
      </c>
      <c r="B897" s="3" t="s">
        <v>2053</v>
      </c>
      <c r="C897" s="3" t="s">
        <v>21</v>
      </c>
      <c r="D897" s="8" t="str">
        <f>HYPERLINK("http://npthd.inbcu.com/ViewContent.aspx?filename=NPMR_CBS_2017-06-26_E.MP4$7962$8144","COMMERCIAL")</f>
        <v>COMMERCIAL</v>
      </c>
      <c r="E897" s="3" t="s">
        <v>275</v>
      </c>
      <c r="F897" s="3" t="s">
        <v>2791</v>
      </c>
      <c r="G897" s="3" t="s">
        <v>2792</v>
      </c>
    </row>
    <row r="898" spans="1:7">
      <c r="A898" s="6">
        <v>42912</v>
      </c>
      <c r="B898" s="3" t="s">
        <v>2053</v>
      </c>
      <c r="C898" s="3" t="s">
        <v>14</v>
      </c>
      <c r="D898" s="8" t="str">
        <f>HYPERLINK("http://npthd.inbcu.com/ViewContent.aspx?filename=NPMR_CBS_2017-06-26_E.MP4$8144$8159","Big Bang Theory")</f>
        <v>Big Bang Theory</v>
      </c>
      <c r="E898" s="3" t="s">
        <v>30</v>
      </c>
      <c r="F898" s="3" t="s">
        <v>2792</v>
      </c>
      <c r="G898" s="3" t="s">
        <v>2793</v>
      </c>
    </row>
    <row r="899" spans="1:7">
      <c r="A899" s="6">
        <v>42912</v>
      </c>
      <c r="B899" s="3" t="s">
        <v>2053</v>
      </c>
      <c r="C899" s="3" t="s">
        <v>14</v>
      </c>
      <c r="D899" s="8" t="str">
        <f>HYPERLINK("http://npthd.inbcu.com/ViewContent.aspx?filename=NPMR_CBS_2017-06-26_E.MP4$8159$8199","Salvation")</f>
        <v>Salvation</v>
      </c>
      <c r="E899" s="3" t="s">
        <v>619</v>
      </c>
      <c r="F899" s="3" t="s">
        <v>2793</v>
      </c>
      <c r="G899" s="3" t="s">
        <v>1922</v>
      </c>
    </row>
    <row r="900" spans="1:7">
      <c r="A900" s="6">
        <v>42912</v>
      </c>
      <c r="B900" s="3" t="s">
        <v>2053</v>
      </c>
      <c r="C900" s="3" t="s">
        <v>18</v>
      </c>
      <c r="D900" s="8" t="str">
        <f>HYPERLINK("http://npthd.inbcu.com/ViewContent.aspx?filename=NPMR_CBS_2017-06-26_E.MP4$8199$8781","SCORPION: this is the pits")</f>
        <v>SCORPION: this is the pits</v>
      </c>
      <c r="E900" s="3" t="s">
        <v>2794</v>
      </c>
      <c r="F900" s="3" t="s">
        <v>1922</v>
      </c>
      <c r="G900" s="3" t="s">
        <v>2795</v>
      </c>
    </row>
    <row r="901" spans="1:7">
      <c r="A901" s="6">
        <v>42912</v>
      </c>
      <c r="B901" s="3" t="s">
        <v>2053</v>
      </c>
      <c r="C901" s="3" t="s">
        <v>21</v>
      </c>
      <c r="D901" s="8" t="str">
        <f>HYPERLINK("http://npthd.inbcu.com/ViewContent.aspx?filename=NPMR_CBS_2017-06-26_E.MP4$8781$8964","COMMERCIAL")</f>
        <v>COMMERCIAL</v>
      </c>
      <c r="E901" s="3" t="s">
        <v>154</v>
      </c>
      <c r="F901" s="3" t="s">
        <v>2795</v>
      </c>
      <c r="G901" s="3" t="s">
        <v>1875</v>
      </c>
    </row>
    <row r="902" spans="1:7">
      <c r="A902" s="6">
        <v>42912</v>
      </c>
      <c r="B902" s="3" t="s">
        <v>2053</v>
      </c>
      <c r="C902" s="3" t="s">
        <v>14</v>
      </c>
      <c r="D902" s="8" t="str">
        <f>HYPERLINK("http://npthd.inbcu.com/ViewContent.aspx?filename=NPMR_CBS_2017-06-26_E.MP4$8964$8984","Big Brother")</f>
        <v>Big Brother</v>
      </c>
      <c r="E902" s="3" t="s">
        <v>1805</v>
      </c>
      <c r="F902" s="3" t="s">
        <v>1875</v>
      </c>
      <c r="G902" s="3" t="s">
        <v>2796</v>
      </c>
    </row>
    <row r="903" spans="1:7">
      <c r="A903" s="6">
        <v>42912</v>
      </c>
      <c r="B903" s="3" t="s">
        <v>2053</v>
      </c>
      <c r="C903" s="3" t="s">
        <v>14</v>
      </c>
      <c r="D903" s="8" t="str">
        <f>HYPERLINK("http://npthd.inbcu.com/ViewContent.aspx?filename=NPMR_CBS_2017-06-26_E.MP4$8984$9013","Zoo")</f>
        <v>Zoo</v>
      </c>
      <c r="E903" s="3" t="s">
        <v>24</v>
      </c>
      <c r="F903" s="3" t="s">
        <v>2796</v>
      </c>
      <c r="G903" s="3" t="s">
        <v>2797</v>
      </c>
    </row>
    <row r="904" spans="1:7">
      <c r="A904" s="6">
        <v>42912</v>
      </c>
      <c r="B904" s="3" t="s">
        <v>2053</v>
      </c>
      <c r="C904" s="3" t="s">
        <v>18</v>
      </c>
      <c r="D904" s="8" t="str">
        <f>HYPERLINK("http://npthd.inbcu.com/ViewContent.aspx?filename=NPMR_CBS_2017-06-26_E.MP4$9013$9298","SCORPION: this is the pits")</f>
        <v>SCORPION: this is the pits</v>
      </c>
      <c r="E904" s="3" t="s">
        <v>1104</v>
      </c>
      <c r="F904" s="3" t="s">
        <v>2797</v>
      </c>
      <c r="G904" s="3" t="s">
        <v>2798</v>
      </c>
    </row>
    <row r="905" spans="1:7">
      <c r="A905" s="6">
        <v>42912</v>
      </c>
      <c r="B905" s="3" t="s">
        <v>2053</v>
      </c>
      <c r="C905" s="3" t="s">
        <v>21</v>
      </c>
      <c r="D905" s="8" t="str">
        <f>HYPERLINK("http://npthd.inbcu.com/ViewContent.aspx?filename=NPMR_CBS_2017-06-26_E.MP4$9298$9450","COMMERCIAL")</f>
        <v>COMMERCIAL</v>
      </c>
      <c r="E905" s="3" t="s">
        <v>128</v>
      </c>
      <c r="F905" s="3" t="s">
        <v>2798</v>
      </c>
      <c r="G905" s="3" t="s">
        <v>1877</v>
      </c>
    </row>
    <row r="906" spans="1:7">
      <c r="A906" s="6">
        <v>42912</v>
      </c>
      <c r="B906" s="3" t="s">
        <v>2053</v>
      </c>
      <c r="C906" s="3" t="s">
        <v>32</v>
      </c>
      <c r="D906" s="8" t="str">
        <f>HYPERLINK("http://npthd.inbcu.com/ViewContent.aspx?filename=NPMR_CBS_2017-06-26_E.MP4$9450$9590","LOCAL")</f>
        <v>LOCAL</v>
      </c>
      <c r="E906" s="3" t="s">
        <v>623</v>
      </c>
      <c r="F906" s="3" t="s">
        <v>1877</v>
      </c>
      <c r="G906" s="3" t="s">
        <v>2799</v>
      </c>
    </row>
    <row r="907" spans="1:7">
      <c r="A907" s="6">
        <v>42912</v>
      </c>
      <c r="B907" s="3" t="s">
        <v>2053</v>
      </c>
      <c r="C907" s="3" t="s">
        <v>18</v>
      </c>
      <c r="D907" s="8" t="str">
        <f>HYPERLINK("http://npthd.inbcu.com/ViewContent.aspx?filename=NPMR_CBS_2017-06-26_E.MP4$9590$9890","SCORPION: this is the pits")</f>
        <v>SCORPION: this is the pits</v>
      </c>
      <c r="E907" s="3" t="s">
        <v>2800</v>
      </c>
      <c r="F907" s="3" t="s">
        <v>2799</v>
      </c>
      <c r="G907" s="3" t="s">
        <v>2172</v>
      </c>
    </row>
    <row r="908" spans="1:7">
      <c r="A908" s="6">
        <v>42912</v>
      </c>
      <c r="B908" s="3" t="s">
        <v>2053</v>
      </c>
      <c r="C908" s="3" t="s">
        <v>21</v>
      </c>
      <c r="D908" s="8" t="str">
        <f>HYPERLINK("http://npthd.inbcu.com/ViewContent.aspx?filename=NPMR_CBS_2017-06-26_E.MP4$9890$10072","COMMERCIAL")</f>
        <v>COMMERCIAL</v>
      </c>
      <c r="E908" s="3" t="s">
        <v>275</v>
      </c>
      <c r="F908" s="3" t="s">
        <v>2172</v>
      </c>
      <c r="G908" s="3" t="s">
        <v>1599</v>
      </c>
    </row>
    <row r="909" spans="1:7">
      <c r="A909" s="6">
        <v>42912</v>
      </c>
      <c r="B909" s="3" t="s">
        <v>2053</v>
      </c>
      <c r="C909" s="3" t="s">
        <v>14</v>
      </c>
      <c r="D909" s="8" t="str">
        <f>HYPERLINK("http://npthd.inbcu.com/ViewContent.aspx?filename=NPMR_CBS_2017-06-26_E.MP4$10072$10084","Late Show with Stephen Colbert")</f>
        <v>Late Show with Stephen Colbert</v>
      </c>
      <c r="E909" s="3" t="s">
        <v>2057</v>
      </c>
      <c r="F909" s="3" t="s">
        <v>1599</v>
      </c>
      <c r="G909" s="3" t="s">
        <v>2801</v>
      </c>
    </row>
    <row r="910" spans="1:7">
      <c r="A910" s="6">
        <v>42912</v>
      </c>
      <c r="B910" s="3" t="s">
        <v>2053</v>
      </c>
      <c r="C910" s="3" t="s">
        <v>14</v>
      </c>
      <c r="D910" s="8" t="str">
        <f>HYPERLINK("http://npthd.inbcu.com/ViewContent.aspx?filename=NPMR_CBS_2017-06-26_E.MP4$10084$10103","Candy Crush")</f>
        <v>Candy Crush</v>
      </c>
      <c r="E910" s="3" t="s">
        <v>670</v>
      </c>
      <c r="F910" s="3" t="s">
        <v>2801</v>
      </c>
      <c r="G910" s="3" t="s">
        <v>2802</v>
      </c>
    </row>
    <row r="911" spans="1:7">
      <c r="A911" s="6">
        <v>42912</v>
      </c>
      <c r="B911" s="3" t="s">
        <v>2053</v>
      </c>
      <c r="C911" s="3" t="s">
        <v>14</v>
      </c>
      <c r="D911" s="8" t="str">
        <f>HYPERLINK("http://npthd.inbcu.com/ViewContent.aspx?filename=NPMR_CBS_2017-06-26_E.MP4$10103$10114","Salvation")</f>
        <v>Salvation</v>
      </c>
      <c r="E911" s="3" t="s">
        <v>1940</v>
      </c>
      <c r="F911" s="3" t="s">
        <v>2802</v>
      </c>
      <c r="G911" s="3" t="s">
        <v>1757</v>
      </c>
    </row>
    <row r="912" spans="1:7">
      <c r="A912" s="6">
        <v>42912</v>
      </c>
      <c r="B912" s="3" t="s">
        <v>2053</v>
      </c>
      <c r="C912" s="3" t="s">
        <v>32</v>
      </c>
      <c r="D912" s="8" t="str">
        <f>HYPERLINK("http://npthd.inbcu.com/ViewContent.aspx?filename=NPMR_CBS_2017-06-26_E.MP4$10114$10208","LOCAL")</f>
        <v>LOCAL</v>
      </c>
      <c r="E912" s="3" t="s">
        <v>1917</v>
      </c>
      <c r="F912" s="3" t="s">
        <v>1757</v>
      </c>
      <c r="G912" s="3" t="s">
        <v>2803</v>
      </c>
    </row>
    <row r="913" spans="1:7">
      <c r="A913" s="6">
        <v>42912</v>
      </c>
      <c r="B913" s="3" t="s">
        <v>2053</v>
      </c>
      <c r="C913" s="3" t="s">
        <v>18</v>
      </c>
      <c r="D913" s="8" t="str">
        <f>HYPERLINK("http://npthd.inbcu.com/ViewContent.aspx?filename=NPMR_CBS_2017-06-26_E.MP4$10208$10793","SCORPION: this is the pits")</f>
        <v>SCORPION: this is the pits</v>
      </c>
      <c r="E913" s="3" t="s">
        <v>1040</v>
      </c>
      <c r="F913" s="3" t="s">
        <v>2803</v>
      </c>
      <c r="G913" s="3" t="s">
        <v>2385</v>
      </c>
    </row>
    <row r="914" spans="1:7">
      <c r="A914" s="6">
        <v>42912</v>
      </c>
      <c r="B914" s="3" t="s">
        <v>2053</v>
      </c>
      <c r="C914" s="3" t="s">
        <v>32</v>
      </c>
      <c r="D914" s="8" t="str">
        <f>HYPERLINK("http://npthd.inbcu.com/ViewContent.aspx?filename=NPMR_CBS_2017-06-26_E.MP4$10793$10805","LOCAL")</f>
        <v>LOCAL</v>
      </c>
      <c r="E914" s="3" t="s">
        <v>2057</v>
      </c>
      <c r="F914" s="3" t="s">
        <v>2385</v>
      </c>
      <c r="G914" s="3" t="s">
        <v>2386</v>
      </c>
    </row>
    <row r="915" spans="1:7">
      <c r="A915" s="6">
        <v>42912</v>
      </c>
      <c r="B915" s="3" t="s">
        <v>2053</v>
      </c>
      <c r="C915" s="3" t="s">
        <v>21</v>
      </c>
      <c r="D915" s="8" t="str">
        <f>HYPERLINK("http://npthd.inbcu.com/ViewContent.aspx?filename=NPMR_CBS_2017-06-26_E.MP4$10805$10865","COMMERCIAL")</f>
        <v>COMMERCIAL</v>
      </c>
      <c r="E915" s="3" t="s">
        <v>66</v>
      </c>
      <c r="F915" s="3" t="s">
        <v>2386</v>
      </c>
      <c r="G915" s="3" t="s">
        <v>310</v>
      </c>
    </row>
    <row r="916" spans="1:7">
      <c r="A916" s="6">
        <v>42912</v>
      </c>
      <c r="B916" s="3" t="s">
        <v>2053</v>
      </c>
      <c r="C916" s="3" t="s">
        <v>14</v>
      </c>
      <c r="D916" s="8" t="str">
        <f>HYPERLINK("http://npthd.inbcu.com/ViewContent.aspx?filename=NPMR_CBS_2017-06-26_E.MP4$10865$10892","Late Show with Stephen Colbert")</f>
        <v>Late Show with Stephen Colbert</v>
      </c>
      <c r="E916" s="3" t="s">
        <v>2495</v>
      </c>
      <c r="F916" s="3" t="s">
        <v>310</v>
      </c>
      <c r="G916" s="3" t="s">
        <v>2388</v>
      </c>
    </row>
    <row r="917" spans="1:7">
      <c r="A917" s="6">
        <v>42912</v>
      </c>
      <c r="B917" s="3" t="s">
        <v>2053</v>
      </c>
      <c r="C917" s="3" t="s">
        <v>18</v>
      </c>
      <c r="D917" s="8" t="str">
        <f>HYPERLINK("http://npthd.inbcu.com/ViewContent.aspx?filename=NPMR_CBS_2017-06-26_E.MP4$10892$10897","SCORPION: this is the pits")</f>
        <v>SCORPION: this is the pits</v>
      </c>
      <c r="E917" s="3" t="s">
        <v>54</v>
      </c>
      <c r="F917" s="3" t="s">
        <v>2388</v>
      </c>
      <c r="G917" s="3" t="s">
        <v>850</v>
      </c>
    </row>
    <row r="918" spans="1:7">
      <c r="A918" s="6">
        <v>42912</v>
      </c>
      <c r="B918" s="3" t="s">
        <v>2053</v>
      </c>
      <c r="C918" s="3" t="s">
        <v>32</v>
      </c>
      <c r="D918" s="8" t="str">
        <f>HYPERLINK("http://npthd.inbcu.com/ViewContent.aspx?filename=NPMR_CBS_2017-06-26_E.MP4$10897$10910","LOCAL")</f>
        <v>LOCAL</v>
      </c>
      <c r="E918" s="3" t="s">
        <v>851</v>
      </c>
      <c r="F918" s="3" t="s">
        <v>850</v>
      </c>
      <c r="G918" s="3" t="s">
        <v>124</v>
      </c>
    </row>
    <row r="919" spans="1:7">
      <c r="A919" s="6">
        <v>42913</v>
      </c>
      <c r="B919" s="3" t="s">
        <v>2053</v>
      </c>
      <c r="C919" s="3" t="s">
        <v>18</v>
      </c>
      <c r="D919" s="8" t="str">
        <f>HYPERLINK("http://npthd.inbcu.com/ViewContent.aspx?filename=NPMR_CBS_2017-06-27_E.MP4$117$542","NCIS: a bowl of cherries")</f>
        <v>NCIS: a bowl of cherries</v>
      </c>
      <c r="E919" s="3" t="s">
        <v>621</v>
      </c>
      <c r="F919" s="3" t="s">
        <v>16</v>
      </c>
      <c r="G919" s="3" t="s">
        <v>2804</v>
      </c>
    </row>
    <row r="920" spans="1:7">
      <c r="A920" s="6">
        <v>42913</v>
      </c>
      <c r="B920" s="3" t="s">
        <v>2053</v>
      </c>
      <c r="C920" s="3" t="s">
        <v>21</v>
      </c>
      <c r="D920" s="8" t="str">
        <f>HYPERLINK("http://npthd.inbcu.com/ViewContent.aspx?filename=NPMR_CBS_2017-06-27_E.MP4$542$694","COMMERCIAL")</f>
        <v>COMMERCIAL</v>
      </c>
      <c r="E920" s="3" t="s">
        <v>128</v>
      </c>
      <c r="F920" s="3" t="s">
        <v>2804</v>
      </c>
      <c r="G920" s="3" t="s">
        <v>965</v>
      </c>
    </row>
    <row r="921" spans="1:7">
      <c r="A921" s="6">
        <v>42913</v>
      </c>
      <c r="B921" s="3" t="s">
        <v>2053</v>
      </c>
      <c r="C921" s="3" t="s">
        <v>14</v>
      </c>
      <c r="D921" s="8" t="str">
        <f>HYPERLINK("http://npthd.inbcu.com/ViewContent.aspx?filename=NPMR_CBS_2017-06-27_E.MP4$694$700","Zoo")</f>
        <v>Zoo</v>
      </c>
      <c r="E921" s="3" t="s">
        <v>15</v>
      </c>
      <c r="F921" s="3" t="s">
        <v>965</v>
      </c>
      <c r="G921" s="3" t="s">
        <v>2805</v>
      </c>
    </row>
    <row r="922" spans="1:7">
      <c r="A922" s="6">
        <v>42913</v>
      </c>
      <c r="B922" s="3" t="s">
        <v>2053</v>
      </c>
      <c r="C922" s="3" t="s">
        <v>18</v>
      </c>
      <c r="D922" s="8" t="str">
        <f>HYPERLINK("http://npthd.inbcu.com/ViewContent.aspx?filename=NPMR_CBS_2017-06-27_E.MP4$700$1152","NCIS: a bowl of cherries")</f>
        <v>NCIS: a bowl of cherries</v>
      </c>
      <c r="E922" s="3" t="s">
        <v>194</v>
      </c>
      <c r="F922" s="3" t="s">
        <v>2805</v>
      </c>
      <c r="G922" s="3" t="s">
        <v>2133</v>
      </c>
    </row>
    <row r="923" spans="1:7">
      <c r="A923" s="6">
        <v>42913</v>
      </c>
      <c r="B923" s="3" t="s">
        <v>2053</v>
      </c>
      <c r="C923" s="3" t="s">
        <v>21</v>
      </c>
      <c r="D923" s="8" t="str">
        <f>HYPERLINK("http://npthd.inbcu.com/ViewContent.aspx?filename=NPMR_CBS_2017-06-27_E.MP4$1152$1304","COMMERCIAL")</f>
        <v>COMMERCIAL</v>
      </c>
      <c r="E923" s="3" t="s">
        <v>128</v>
      </c>
      <c r="F923" s="3" t="s">
        <v>2133</v>
      </c>
      <c r="G923" s="3" t="s">
        <v>2806</v>
      </c>
    </row>
    <row r="924" spans="1:7">
      <c r="A924" s="6">
        <v>42913</v>
      </c>
      <c r="B924" s="3" t="s">
        <v>2053</v>
      </c>
      <c r="C924" s="3" t="s">
        <v>1618</v>
      </c>
      <c r="D924" s="8" t="str">
        <f>HYPERLINK("http://npthd.inbcu.com/ViewContent.aspx?filename=NPMR_CBS_2017-06-27_E.MP4$1304$1315","PSA")</f>
        <v>PSA</v>
      </c>
      <c r="E924" s="3" t="s">
        <v>1940</v>
      </c>
      <c r="F924" s="3" t="s">
        <v>2806</v>
      </c>
      <c r="G924" s="3" t="s">
        <v>2807</v>
      </c>
    </row>
    <row r="925" spans="1:7">
      <c r="A925" s="6">
        <v>42913</v>
      </c>
      <c r="B925" s="3" t="s">
        <v>2053</v>
      </c>
      <c r="C925" s="3" t="s">
        <v>14</v>
      </c>
      <c r="D925" s="8" t="str">
        <f>HYPERLINK("http://npthd.inbcu.com/ViewContent.aspx?filename=NPMR_CBS_2017-06-27_E.MP4$1315$1335","Big Brother")</f>
        <v>Big Brother</v>
      </c>
      <c r="E925" s="3" t="s">
        <v>1805</v>
      </c>
      <c r="F925" s="3" t="s">
        <v>2807</v>
      </c>
      <c r="G925" s="3" t="s">
        <v>2808</v>
      </c>
    </row>
    <row r="926" spans="1:7">
      <c r="A926" s="6">
        <v>42913</v>
      </c>
      <c r="B926" s="3" t="s">
        <v>2053</v>
      </c>
      <c r="C926" s="3" t="s">
        <v>14</v>
      </c>
      <c r="D926" s="8" t="str">
        <f>HYPERLINK("http://npthd.inbcu.com/ViewContent.aspx?filename=NPMR_CBS_2017-06-27_E.MP4$1335$1355","Salvation")</f>
        <v>Salvation</v>
      </c>
      <c r="E926" s="3" t="s">
        <v>1805</v>
      </c>
      <c r="F926" s="3" t="s">
        <v>2808</v>
      </c>
      <c r="G926" s="3" t="s">
        <v>2809</v>
      </c>
    </row>
    <row r="927" spans="1:7">
      <c r="A927" s="6">
        <v>42913</v>
      </c>
      <c r="B927" s="3" t="s">
        <v>2053</v>
      </c>
      <c r="C927" s="3" t="s">
        <v>18</v>
      </c>
      <c r="D927" s="8" t="str">
        <f>HYPERLINK("http://npthd.inbcu.com/ViewContent.aspx?filename=NPMR_CBS_2017-06-27_E.MP4$1355$1878","NCIS: a bowl of cherries")</f>
        <v>NCIS: a bowl of cherries</v>
      </c>
      <c r="E927" s="3" t="s">
        <v>2130</v>
      </c>
      <c r="F927" s="3" t="s">
        <v>2809</v>
      </c>
      <c r="G927" s="3" t="s">
        <v>1194</v>
      </c>
    </row>
    <row r="928" spans="1:7">
      <c r="A928" s="6">
        <v>42913</v>
      </c>
      <c r="B928" s="3" t="s">
        <v>2053</v>
      </c>
      <c r="C928" s="3" t="s">
        <v>21</v>
      </c>
      <c r="D928" s="8" t="str">
        <f>HYPERLINK("http://npthd.inbcu.com/ViewContent.aspx?filename=NPMR_CBS_2017-06-27_E.MP4$1878$2031","COMMERCIAL")</f>
        <v>COMMERCIAL</v>
      </c>
      <c r="E928" s="3" t="s">
        <v>1735</v>
      </c>
      <c r="F928" s="3" t="s">
        <v>1194</v>
      </c>
      <c r="G928" s="3" t="s">
        <v>1889</v>
      </c>
    </row>
    <row r="929" spans="1:7">
      <c r="A929" s="6">
        <v>42913</v>
      </c>
      <c r="B929" s="3" t="s">
        <v>2053</v>
      </c>
      <c r="C929" s="3" t="s">
        <v>14</v>
      </c>
      <c r="D929" s="8" t="str">
        <f>HYPERLINK("http://npthd.inbcu.com/ViewContent.aspx?filename=NPMR_CBS_2017-06-27_E.MP4$2031$2042","Zoo")</f>
        <v>Zoo</v>
      </c>
      <c r="E929" s="3" t="s">
        <v>1940</v>
      </c>
      <c r="F929" s="3" t="s">
        <v>1889</v>
      </c>
      <c r="G929" s="3" t="s">
        <v>2810</v>
      </c>
    </row>
    <row r="930" spans="1:7">
      <c r="A930" s="6">
        <v>42913</v>
      </c>
      <c r="B930" s="3" t="s">
        <v>2053</v>
      </c>
      <c r="C930" s="3" t="s">
        <v>32</v>
      </c>
      <c r="D930" s="8" t="str">
        <f>HYPERLINK("http://npthd.inbcu.com/ViewContent.aspx?filename=NPMR_CBS_2017-06-27_E.MP4$2042$2137","LOCAL")</f>
        <v>LOCAL</v>
      </c>
      <c r="E930" s="3" t="s">
        <v>2076</v>
      </c>
      <c r="F930" s="3" t="s">
        <v>2810</v>
      </c>
      <c r="G930" s="3" t="s">
        <v>2811</v>
      </c>
    </row>
    <row r="931" spans="1:7">
      <c r="A931" s="6">
        <v>42913</v>
      </c>
      <c r="B931" s="3" t="s">
        <v>2053</v>
      </c>
      <c r="C931" s="3" t="s">
        <v>18</v>
      </c>
      <c r="D931" s="8" t="str">
        <f>HYPERLINK("http://npthd.inbcu.com/ViewContent.aspx?filename=NPMR_CBS_2017-06-27_E.MP4$2137$2784","NCIS: a bowl of cherries")</f>
        <v>NCIS: a bowl of cherries</v>
      </c>
      <c r="E931" s="3" t="s">
        <v>852</v>
      </c>
      <c r="F931" s="3" t="s">
        <v>2811</v>
      </c>
      <c r="G931" s="3" t="s">
        <v>2812</v>
      </c>
    </row>
    <row r="932" spans="1:7">
      <c r="A932" s="6">
        <v>42913</v>
      </c>
      <c r="B932" s="3" t="s">
        <v>2053</v>
      </c>
      <c r="C932" s="3" t="s">
        <v>21</v>
      </c>
      <c r="D932" s="8" t="str">
        <f>HYPERLINK("http://npthd.inbcu.com/ViewContent.aspx?filename=NPMR_CBS_2017-06-27_E.MP4$2784$2906","COMMERCIAL")</f>
        <v>COMMERCIAL</v>
      </c>
      <c r="E932" s="3" t="s">
        <v>252</v>
      </c>
      <c r="F932" s="3" t="s">
        <v>2812</v>
      </c>
      <c r="G932" s="3" t="s">
        <v>2813</v>
      </c>
    </row>
    <row r="933" spans="1:7">
      <c r="A933" s="6">
        <v>42913</v>
      </c>
      <c r="B933" s="3" t="s">
        <v>2053</v>
      </c>
      <c r="C933" s="3" t="s">
        <v>14</v>
      </c>
      <c r="D933" s="8" t="str">
        <f>HYPERLINK("http://npthd.inbcu.com/ViewContent.aspx?filename=NPMR_CBS_2017-06-27_E.MP4$2906$2918","Big Brother")</f>
        <v>Big Brother</v>
      </c>
      <c r="E933" s="3" t="s">
        <v>2057</v>
      </c>
      <c r="F933" s="3" t="s">
        <v>2813</v>
      </c>
      <c r="G933" s="3" t="s">
        <v>2814</v>
      </c>
    </row>
    <row r="934" spans="1:7">
      <c r="A934" s="6">
        <v>42913</v>
      </c>
      <c r="B934" s="3" t="s">
        <v>2053</v>
      </c>
      <c r="C934" s="3" t="s">
        <v>14</v>
      </c>
      <c r="D934" s="8" t="str">
        <f>HYPERLINK("http://npthd.inbcu.com/ViewContent.aspx?filename=NPMR_CBS_2017-06-27_E.MP4$2918$2938","Candy Crush")</f>
        <v>Candy Crush</v>
      </c>
      <c r="E934" s="3" t="s">
        <v>1805</v>
      </c>
      <c r="F934" s="3" t="s">
        <v>2814</v>
      </c>
      <c r="G934" s="3" t="s">
        <v>2815</v>
      </c>
    </row>
    <row r="935" spans="1:7">
      <c r="A935" s="6">
        <v>42913</v>
      </c>
      <c r="B935" s="3" t="s">
        <v>2053</v>
      </c>
      <c r="C935" s="3" t="s">
        <v>32</v>
      </c>
      <c r="D935" s="8" t="str">
        <f>HYPERLINK("http://npthd.inbcu.com/ViewContent.aspx?filename=NPMR_CBS_2017-06-27_E.MP4$2938$3033","LOCAL")</f>
        <v>LOCAL</v>
      </c>
      <c r="E935" s="3" t="s">
        <v>2076</v>
      </c>
      <c r="F935" s="3" t="s">
        <v>2815</v>
      </c>
      <c r="G935" s="3" t="s">
        <v>2816</v>
      </c>
    </row>
    <row r="936" spans="1:7">
      <c r="A936" s="6">
        <v>42913</v>
      </c>
      <c r="B936" s="3" t="s">
        <v>2053</v>
      </c>
      <c r="C936" s="3" t="s">
        <v>18</v>
      </c>
      <c r="D936" s="8" t="str">
        <f>HYPERLINK("http://npthd.inbcu.com/ViewContent.aspx?filename=NPMR_CBS_2017-06-27_E.MP4$3033$3569","NCIS: a bowl of cherries")</f>
        <v>NCIS: a bowl of cherries</v>
      </c>
      <c r="E936" s="3" t="s">
        <v>1434</v>
      </c>
      <c r="F936" s="3" t="s">
        <v>2816</v>
      </c>
      <c r="G936" s="3" t="s">
        <v>2623</v>
      </c>
    </row>
    <row r="937" spans="1:7">
      <c r="A937" s="6">
        <v>42913</v>
      </c>
      <c r="B937" s="3" t="s">
        <v>2053</v>
      </c>
      <c r="C937" s="3" t="s">
        <v>21</v>
      </c>
      <c r="D937" s="8" t="str">
        <f>HYPERLINK("http://npthd.inbcu.com/ViewContent.aspx?filename=NPMR_CBS_2017-06-27_E.MP4$3569$3692","COMMERCIAL")</f>
        <v>COMMERCIAL</v>
      </c>
      <c r="E937" s="3" t="s">
        <v>2722</v>
      </c>
      <c r="F937" s="3" t="s">
        <v>2623</v>
      </c>
      <c r="G937" s="3" t="s">
        <v>2343</v>
      </c>
    </row>
    <row r="938" spans="1:7">
      <c r="A938" s="6">
        <v>42913</v>
      </c>
      <c r="B938" s="3" t="s">
        <v>2053</v>
      </c>
      <c r="C938" s="3" t="s">
        <v>14</v>
      </c>
      <c r="D938" s="8" t="str">
        <f>HYPERLINK("http://npthd.inbcu.com/ViewContent.aspx?filename=NPMR_CBS_2017-06-27_E.MP4$3692$3712","Zoo")</f>
        <v>Zoo</v>
      </c>
      <c r="E938" s="3" t="s">
        <v>1805</v>
      </c>
      <c r="F938" s="3" t="s">
        <v>2343</v>
      </c>
      <c r="G938" s="3" t="s">
        <v>2196</v>
      </c>
    </row>
    <row r="939" spans="1:7">
      <c r="A939" s="6">
        <v>42913</v>
      </c>
      <c r="B939" s="3" t="s">
        <v>2053</v>
      </c>
      <c r="C939" s="3" t="s">
        <v>18</v>
      </c>
      <c r="D939" s="8" t="str">
        <f>HYPERLINK("http://npthd.inbcu.com/ViewContent.aspx?filename=NPMR_CBS_2017-06-27_E.MP4$3712$3717","NCIS: a bowl of cherries")</f>
        <v>NCIS: a bowl of cherries</v>
      </c>
      <c r="E939" s="3" t="s">
        <v>54</v>
      </c>
      <c r="F939" s="3" t="s">
        <v>2196</v>
      </c>
      <c r="G939" s="3" t="s">
        <v>242</v>
      </c>
    </row>
    <row r="940" spans="1:7">
      <c r="A940" s="6">
        <v>42913</v>
      </c>
      <c r="B940" s="3" t="s">
        <v>2053</v>
      </c>
      <c r="C940" s="3" t="s">
        <v>14</v>
      </c>
      <c r="D940" s="8" t="str">
        <f>HYPERLINK("http://npthd.inbcu.com/ViewContent.aspx?filename=NPMR_CBS_2017-06-27_E.MP4$3717$3722","Late Show with Stephen Colbert")</f>
        <v>Late Show with Stephen Colbert</v>
      </c>
      <c r="E940" s="3" t="s">
        <v>54</v>
      </c>
      <c r="F940" s="3" t="s">
        <v>242</v>
      </c>
      <c r="G940" s="3" t="s">
        <v>243</v>
      </c>
    </row>
    <row r="941" spans="1:7">
      <c r="A941" s="6">
        <v>42913</v>
      </c>
      <c r="B941" s="3" t="s">
        <v>2053</v>
      </c>
      <c r="C941" s="3" t="s">
        <v>18</v>
      </c>
      <c r="D941" s="8" t="str">
        <f>HYPERLINK("http://npthd.inbcu.com/ViewContent.aspx?filename=NPMR_CBS_2017-06-27_E.MP4$3722$4323","BULL: just tell the truth")</f>
        <v>BULL: just tell the truth</v>
      </c>
      <c r="E941" s="3" t="s">
        <v>1291</v>
      </c>
      <c r="F941" s="3" t="s">
        <v>243</v>
      </c>
      <c r="G941" s="3" t="s">
        <v>2466</v>
      </c>
    </row>
    <row r="942" spans="1:7">
      <c r="A942" s="6">
        <v>42913</v>
      </c>
      <c r="B942" s="3" t="s">
        <v>2053</v>
      </c>
      <c r="C942" s="3" t="s">
        <v>21</v>
      </c>
      <c r="D942" s="8" t="str">
        <f>HYPERLINK("http://npthd.inbcu.com/ViewContent.aspx?filename=NPMR_CBS_2017-06-27_E.MP4$4323$4503","COMMERCIAL")</f>
        <v>COMMERCIAL</v>
      </c>
      <c r="E942" s="3" t="s">
        <v>22</v>
      </c>
      <c r="F942" s="3" t="s">
        <v>2466</v>
      </c>
      <c r="G942" s="3" t="s">
        <v>2817</v>
      </c>
    </row>
    <row r="943" spans="1:7">
      <c r="A943" s="6">
        <v>42913</v>
      </c>
      <c r="B943" s="3" t="s">
        <v>2053</v>
      </c>
      <c r="C943" s="3" t="s">
        <v>14</v>
      </c>
      <c r="D943" s="8" t="str">
        <f>HYPERLINK("http://npthd.inbcu.com/ViewContent.aspx?filename=NPMR_CBS_2017-06-27_E.MP4$4503$4513","CBS This Morning")</f>
        <v>CBS This Morning</v>
      </c>
      <c r="E943" s="3" t="s">
        <v>197</v>
      </c>
      <c r="F943" s="3" t="s">
        <v>2817</v>
      </c>
      <c r="G943" s="3" t="s">
        <v>2818</v>
      </c>
    </row>
    <row r="944" spans="1:7">
      <c r="A944" s="6">
        <v>42913</v>
      </c>
      <c r="B944" s="3" t="s">
        <v>2053</v>
      </c>
      <c r="C944" s="3" t="s">
        <v>14</v>
      </c>
      <c r="D944" s="8" t="str">
        <f>HYPERLINK("http://npthd.inbcu.com/ViewContent.aspx?filename=NPMR_CBS_2017-06-27_E.MP4$4513$4535","Candy Crush")</f>
        <v>Candy Crush</v>
      </c>
      <c r="E944" s="3" t="s">
        <v>2124</v>
      </c>
      <c r="F944" s="3" t="s">
        <v>2818</v>
      </c>
      <c r="G944" s="3" t="s">
        <v>2819</v>
      </c>
    </row>
    <row r="945" spans="1:7">
      <c r="A945" s="6">
        <v>42913</v>
      </c>
      <c r="B945" s="3" t="s">
        <v>2053</v>
      </c>
      <c r="C945" s="3" t="s">
        <v>18</v>
      </c>
      <c r="D945" s="8" t="str">
        <f>HYPERLINK("http://npthd.inbcu.com/ViewContent.aspx?filename=NPMR_CBS_2017-06-27_E.MP4$4535$5143","BULL: just tell the truth")</f>
        <v>BULL: just tell the truth</v>
      </c>
      <c r="E945" s="3" t="s">
        <v>2820</v>
      </c>
      <c r="F945" s="3" t="s">
        <v>2819</v>
      </c>
      <c r="G945" s="3" t="s">
        <v>2821</v>
      </c>
    </row>
    <row r="946" spans="1:7">
      <c r="A946" s="6">
        <v>42913</v>
      </c>
      <c r="B946" s="3" t="s">
        <v>2053</v>
      </c>
      <c r="C946" s="3" t="s">
        <v>21</v>
      </c>
      <c r="D946" s="8" t="str">
        <f>HYPERLINK("http://npthd.inbcu.com/ViewContent.aspx?filename=NPMR_CBS_2017-06-27_E.MP4$5143$5326","COMMERCIAL")</f>
        <v>COMMERCIAL</v>
      </c>
      <c r="E946" s="3" t="s">
        <v>154</v>
      </c>
      <c r="F946" s="3" t="s">
        <v>2821</v>
      </c>
      <c r="G946" s="3" t="s">
        <v>813</v>
      </c>
    </row>
    <row r="947" spans="1:7">
      <c r="A947" s="6">
        <v>42913</v>
      </c>
      <c r="B947" s="3" t="s">
        <v>2053</v>
      </c>
      <c r="C947" s="3" t="s">
        <v>14</v>
      </c>
      <c r="D947" s="8" t="str">
        <f>HYPERLINK("http://npthd.inbcu.com/ViewContent.aspx?filename=NPMR_CBS_2017-06-27_E.MP4$5326$5346","Big Brother")</f>
        <v>Big Brother</v>
      </c>
      <c r="E947" s="3" t="s">
        <v>1805</v>
      </c>
      <c r="F947" s="3" t="s">
        <v>813</v>
      </c>
      <c r="G947" s="3" t="s">
        <v>2822</v>
      </c>
    </row>
    <row r="948" spans="1:7">
      <c r="A948" s="6">
        <v>42913</v>
      </c>
      <c r="B948" s="3" t="s">
        <v>2053</v>
      </c>
      <c r="C948" s="3" t="s">
        <v>14</v>
      </c>
      <c r="D948" s="8" t="str">
        <f>HYPERLINK("http://npthd.inbcu.com/ViewContent.aspx?filename=NPMR_CBS_2017-06-27_E.MP4$5346$5366","Zoo")</f>
        <v>Zoo</v>
      </c>
      <c r="E948" s="3" t="s">
        <v>1805</v>
      </c>
      <c r="F948" s="3" t="s">
        <v>2822</v>
      </c>
      <c r="G948" s="3" t="s">
        <v>2823</v>
      </c>
    </row>
    <row r="949" spans="1:7">
      <c r="A949" s="6">
        <v>42913</v>
      </c>
      <c r="B949" s="3" t="s">
        <v>2053</v>
      </c>
      <c r="C949" s="3" t="s">
        <v>18</v>
      </c>
      <c r="D949" s="8" t="str">
        <f>HYPERLINK("http://npthd.inbcu.com/ViewContent.aspx?filename=NPMR_CBS_2017-06-27_E.MP4$5366$5791","BULL: just tell the truth")</f>
        <v>BULL: just tell the truth</v>
      </c>
      <c r="E949" s="3" t="s">
        <v>621</v>
      </c>
      <c r="F949" s="3" t="s">
        <v>2823</v>
      </c>
      <c r="G949" s="3" t="s">
        <v>2824</v>
      </c>
    </row>
    <row r="950" spans="1:7">
      <c r="A950" s="6">
        <v>42913</v>
      </c>
      <c r="B950" s="3" t="s">
        <v>2053</v>
      </c>
      <c r="C950" s="3" t="s">
        <v>21</v>
      </c>
      <c r="D950" s="8" t="str">
        <f>HYPERLINK("http://npthd.inbcu.com/ViewContent.aspx?filename=NPMR_CBS_2017-06-27_E.MP4$5791$5913","COMMERCIAL")</f>
        <v>COMMERCIAL</v>
      </c>
      <c r="E950" s="3" t="s">
        <v>252</v>
      </c>
      <c r="F950" s="3" t="s">
        <v>2824</v>
      </c>
      <c r="G950" s="3" t="s">
        <v>2825</v>
      </c>
    </row>
    <row r="951" spans="1:7">
      <c r="A951" s="6">
        <v>42913</v>
      </c>
      <c r="B951" s="3" t="s">
        <v>2053</v>
      </c>
      <c r="C951" s="3" t="s">
        <v>32</v>
      </c>
      <c r="D951" s="8" t="str">
        <f>HYPERLINK("http://npthd.inbcu.com/ViewContent.aspx?filename=NPMR_CBS_2017-06-27_E.MP4$5913$6008","LOCAL")</f>
        <v>LOCAL</v>
      </c>
      <c r="E951" s="3" t="s">
        <v>2076</v>
      </c>
      <c r="F951" s="3" t="s">
        <v>2825</v>
      </c>
      <c r="G951" s="3" t="s">
        <v>1574</v>
      </c>
    </row>
    <row r="952" spans="1:7">
      <c r="A952" s="6">
        <v>42913</v>
      </c>
      <c r="B952" s="3" t="s">
        <v>2053</v>
      </c>
      <c r="C952" s="3" t="s">
        <v>18</v>
      </c>
      <c r="D952" s="8" t="str">
        <f>HYPERLINK("http://npthd.inbcu.com/ViewContent.aspx?filename=NPMR_CBS_2017-06-27_E.MP4$6008$6335","BULL: just tell the truth")</f>
        <v>BULL: just tell the truth</v>
      </c>
      <c r="E952" s="3" t="s">
        <v>1333</v>
      </c>
      <c r="F952" s="3" t="s">
        <v>1574</v>
      </c>
      <c r="G952" s="3" t="s">
        <v>2826</v>
      </c>
    </row>
    <row r="953" spans="1:7">
      <c r="A953" s="6">
        <v>42913</v>
      </c>
      <c r="B953" s="3" t="s">
        <v>2053</v>
      </c>
      <c r="C953" s="3" t="s">
        <v>21</v>
      </c>
      <c r="D953" s="8" t="str">
        <f>HYPERLINK("http://npthd.inbcu.com/ViewContent.aspx?filename=NPMR_CBS_2017-06-27_E.MP4$6335$6457","COMMERCIAL")</f>
        <v>COMMERCIAL</v>
      </c>
      <c r="E953" s="3" t="s">
        <v>252</v>
      </c>
      <c r="F953" s="3" t="s">
        <v>2826</v>
      </c>
      <c r="G953" s="3" t="s">
        <v>2827</v>
      </c>
    </row>
    <row r="954" spans="1:7">
      <c r="A954" s="6">
        <v>42913</v>
      </c>
      <c r="B954" s="3" t="s">
        <v>2053</v>
      </c>
      <c r="C954" s="3" t="s">
        <v>32</v>
      </c>
      <c r="D954" s="8" t="str">
        <f>HYPERLINK("http://npthd.inbcu.com/ViewContent.aspx?filename=NPMR_CBS_2017-06-27_E.MP4$6457$6583","LOCAL")</f>
        <v>LOCAL</v>
      </c>
      <c r="E954" s="3" t="s">
        <v>2828</v>
      </c>
      <c r="F954" s="3" t="s">
        <v>2827</v>
      </c>
      <c r="G954" s="3" t="s">
        <v>2829</v>
      </c>
    </row>
    <row r="955" spans="1:7">
      <c r="A955" s="6">
        <v>42913</v>
      </c>
      <c r="B955" s="3" t="s">
        <v>2053</v>
      </c>
      <c r="C955" s="3" t="s">
        <v>18</v>
      </c>
      <c r="D955" s="8" t="str">
        <f>HYPERLINK("http://npthd.inbcu.com/ViewContent.aspx?filename=NPMR_CBS_2017-06-27_E.MP4$6583$7089","BULL: just tell the truth")</f>
        <v>BULL: just tell the truth</v>
      </c>
      <c r="E955" s="3" t="s">
        <v>2556</v>
      </c>
      <c r="F955" s="3" t="s">
        <v>2829</v>
      </c>
      <c r="G955" s="3" t="s">
        <v>83</v>
      </c>
    </row>
    <row r="956" spans="1:7">
      <c r="A956" s="6">
        <v>42913</v>
      </c>
      <c r="B956" s="3" t="s">
        <v>2053</v>
      </c>
      <c r="C956" s="3" t="s">
        <v>21</v>
      </c>
      <c r="D956" s="8" t="str">
        <f>HYPERLINK("http://npthd.inbcu.com/ViewContent.aspx?filename=NPMR_CBS_2017-06-27_E.MP4$7089$7271","COMMERCIAL")</f>
        <v>COMMERCIAL</v>
      </c>
      <c r="E956" s="3" t="s">
        <v>275</v>
      </c>
      <c r="F956" s="3" t="s">
        <v>83</v>
      </c>
      <c r="G956" s="3" t="s">
        <v>2830</v>
      </c>
    </row>
    <row r="957" spans="1:7">
      <c r="A957" s="6">
        <v>42913</v>
      </c>
      <c r="B957" s="3" t="s">
        <v>2053</v>
      </c>
      <c r="C957" s="3" t="s">
        <v>14</v>
      </c>
      <c r="D957" s="8" t="str">
        <f>HYPERLINK("http://npthd.inbcu.com/ViewContent.aspx?filename=NPMR_CBS_2017-06-27_E.MP4$7271$7280","Big Brother")</f>
        <v>Big Brother</v>
      </c>
      <c r="E957" s="3" t="s">
        <v>2074</v>
      </c>
      <c r="F957" s="3" t="s">
        <v>2830</v>
      </c>
      <c r="G957" s="3" t="s">
        <v>1366</v>
      </c>
    </row>
    <row r="958" spans="1:7">
      <c r="A958" s="6">
        <v>42913</v>
      </c>
      <c r="B958" s="3" t="s">
        <v>2053</v>
      </c>
      <c r="C958" s="3" t="s">
        <v>14</v>
      </c>
      <c r="D958" s="8" t="str">
        <f>HYPERLINK("http://npthd.inbcu.com/ViewContent.aspx?filename=NPMR_CBS_2017-06-27_E.MP4$7280$7290","Salvation")</f>
        <v>Salvation</v>
      </c>
      <c r="E958" s="3" t="s">
        <v>197</v>
      </c>
      <c r="F958" s="3" t="s">
        <v>1366</v>
      </c>
      <c r="G958" s="3" t="s">
        <v>2299</v>
      </c>
    </row>
    <row r="959" spans="1:7">
      <c r="A959" s="6">
        <v>42913</v>
      </c>
      <c r="B959" s="3" t="s">
        <v>2053</v>
      </c>
      <c r="C959" s="3" t="s">
        <v>14</v>
      </c>
      <c r="D959" s="8" t="str">
        <f>HYPERLINK("http://npthd.inbcu.com/ViewContent.aspx?filename=NPMR_CBS_2017-06-27_E.MP4$7290$7312","Zoo")</f>
        <v>Zoo</v>
      </c>
      <c r="E959" s="3" t="s">
        <v>2124</v>
      </c>
      <c r="F959" s="3" t="s">
        <v>2299</v>
      </c>
      <c r="G959" s="3" t="s">
        <v>750</v>
      </c>
    </row>
    <row r="960" spans="1:7">
      <c r="A960" s="6">
        <v>42913</v>
      </c>
      <c r="B960" s="3" t="s">
        <v>2053</v>
      </c>
      <c r="C960" s="3" t="s">
        <v>18</v>
      </c>
      <c r="D960" s="8" t="str">
        <f>HYPERLINK("http://npthd.inbcu.com/ViewContent.aspx?filename=NPMR_CBS_2017-06-27_E.MP4$7312$7317","BULL: just tell the truth")</f>
        <v>BULL: just tell the truth</v>
      </c>
      <c r="E960" s="3" t="s">
        <v>54</v>
      </c>
      <c r="F960" s="3" t="s">
        <v>750</v>
      </c>
      <c r="G960" s="3" t="s">
        <v>394</v>
      </c>
    </row>
    <row r="961" spans="1:7">
      <c r="A961" s="6">
        <v>42913</v>
      </c>
      <c r="B961" s="3" t="s">
        <v>2053</v>
      </c>
      <c r="C961" s="3" t="s">
        <v>14</v>
      </c>
      <c r="D961" s="8" t="str">
        <f>HYPERLINK("http://npthd.inbcu.com/ViewContent.aspx?filename=NPMR_CBS_2017-06-27_E.MP4$7317$7322","Late Show with Stephen Colbert")</f>
        <v>Late Show with Stephen Colbert</v>
      </c>
      <c r="E961" s="3" t="s">
        <v>54</v>
      </c>
      <c r="F961" s="3" t="s">
        <v>394</v>
      </c>
      <c r="G961" s="3" t="s">
        <v>395</v>
      </c>
    </row>
    <row r="962" spans="1:7">
      <c r="A962" s="6">
        <v>42913</v>
      </c>
      <c r="B962" s="3" t="s">
        <v>2053</v>
      </c>
      <c r="C962" s="3" t="s">
        <v>18</v>
      </c>
      <c r="D962" s="8" t="str">
        <f>HYPERLINK("http://npthd.inbcu.com/ViewContent.aspx?filename=NPMR_CBS_2017-06-27_E.MP4$7322$8042","NCIS: NEW ORLEANS: overdrive")</f>
        <v>NCIS: NEW ORLEANS: overdrive</v>
      </c>
      <c r="E962" s="3" t="s">
        <v>2831</v>
      </c>
      <c r="F962" s="3" t="s">
        <v>395</v>
      </c>
      <c r="G962" s="3" t="s">
        <v>1738</v>
      </c>
    </row>
    <row r="963" spans="1:7">
      <c r="A963" s="6">
        <v>42913</v>
      </c>
      <c r="B963" s="3" t="s">
        <v>2053</v>
      </c>
      <c r="C963" s="3" t="s">
        <v>21</v>
      </c>
      <c r="D963" s="8" t="str">
        <f>HYPERLINK("http://npthd.inbcu.com/ViewContent.aspx?filename=NPMR_CBS_2017-06-27_E.MP4$8042$8194","COMMERCIAL")</f>
        <v>COMMERCIAL</v>
      </c>
      <c r="E963" s="3" t="s">
        <v>128</v>
      </c>
      <c r="F963" s="3" t="s">
        <v>1738</v>
      </c>
      <c r="G963" s="3" t="s">
        <v>2832</v>
      </c>
    </row>
    <row r="964" spans="1:7">
      <c r="A964" s="6">
        <v>42913</v>
      </c>
      <c r="B964" s="3" t="s">
        <v>2053</v>
      </c>
      <c r="C964" s="3" t="s">
        <v>14</v>
      </c>
      <c r="D964" s="8" t="str">
        <f>HYPERLINK("http://npthd.inbcu.com/ViewContent.aspx?filename=NPMR_CBS_2017-06-27_E.MP4$8194$8224","Salvation")</f>
        <v>Salvation</v>
      </c>
      <c r="E964" s="3" t="s">
        <v>38</v>
      </c>
      <c r="F964" s="3" t="s">
        <v>2832</v>
      </c>
      <c r="G964" s="3" t="s">
        <v>2833</v>
      </c>
    </row>
    <row r="965" spans="1:7">
      <c r="A965" s="6">
        <v>42913</v>
      </c>
      <c r="B965" s="3" t="s">
        <v>2053</v>
      </c>
      <c r="C965" s="3" t="s">
        <v>18</v>
      </c>
      <c r="D965" s="8" t="str">
        <f>HYPERLINK("http://npthd.inbcu.com/ViewContent.aspx?filename=NPMR_CBS_2017-06-27_E.MP4$8224$8838","NCIS: NEW ORLEANS: overdrive")</f>
        <v>NCIS: NEW ORLEANS: overdrive</v>
      </c>
      <c r="E965" s="3" t="s">
        <v>2834</v>
      </c>
      <c r="F965" s="3" t="s">
        <v>2833</v>
      </c>
      <c r="G965" s="3" t="s">
        <v>192</v>
      </c>
    </row>
    <row r="966" spans="1:7">
      <c r="A966" s="6">
        <v>42913</v>
      </c>
      <c r="B966" s="3" t="s">
        <v>2053</v>
      </c>
      <c r="C966" s="3" t="s">
        <v>21</v>
      </c>
      <c r="D966" s="8" t="str">
        <f>HYPERLINK("http://npthd.inbcu.com/ViewContent.aspx?filename=NPMR_CBS_2017-06-27_E.MP4$8838$8990","COMMERCIAL")</f>
        <v>COMMERCIAL</v>
      </c>
      <c r="E966" s="3" t="s">
        <v>128</v>
      </c>
      <c r="F966" s="3" t="s">
        <v>192</v>
      </c>
      <c r="G966" s="3" t="s">
        <v>2835</v>
      </c>
    </row>
    <row r="967" spans="1:7">
      <c r="A967" s="6">
        <v>42913</v>
      </c>
      <c r="B967" s="3" t="s">
        <v>2053</v>
      </c>
      <c r="C967" s="3" t="s">
        <v>14</v>
      </c>
      <c r="D967" s="8" t="str">
        <f>HYPERLINK("http://npthd.inbcu.com/ViewContent.aspx?filename=NPMR_CBS_2017-06-27_E.MP4$8990$9010","Big Brother")</f>
        <v>Big Brother</v>
      </c>
      <c r="E967" s="3" t="s">
        <v>1805</v>
      </c>
      <c r="F967" s="3" t="s">
        <v>2835</v>
      </c>
      <c r="G967" s="3" t="s">
        <v>2836</v>
      </c>
    </row>
    <row r="968" spans="1:7">
      <c r="A968" s="6">
        <v>42913</v>
      </c>
      <c r="B968" s="3" t="s">
        <v>2053</v>
      </c>
      <c r="C968" s="3" t="s">
        <v>14</v>
      </c>
      <c r="D968" s="8" t="str">
        <f>HYPERLINK("http://npthd.inbcu.com/ViewContent.aspx?filename=NPMR_CBS_2017-06-27_E.MP4$9010$9026","Zoo")</f>
        <v>Zoo</v>
      </c>
      <c r="E968" s="3" t="s">
        <v>64</v>
      </c>
      <c r="F968" s="3" t="s">
        <v>2836</v>
      </c>
      <c r="G968" s="3" t="s">
        <v>2837</v>
      </c>
    </row>
    <row r="969" spans="1:7">
      <c r="A969" s="6">
        <v>42913</v>
      </c>
      <c r="B969" s="3" t="s">
        <v>2053</v>
      </c>
      <c r="C969" s="3" t="s">
        <v>18</v>
      </c>
      <c r="D969" s="8" t="str">
        <f>HYPERLINK("http://npthd.inbcu.com/ViewContent.aspx?filename=NPMR_CBS_2017-06-27_E.MP4$9026$9473","NCIS: NEW ORLEANS: overdrive")</f>
        <v>NCIS: NEW ORLEANS: overdrive</v>
      </c>
      <c r="E969" s="3" t="s">
        <v>1110</v>
      </c>
      <c r="F969" s="3" t="s">
        <v>2837</v>
      </c>
      <c r="G969" s="3" t="s">
        <v>2838</v>
      </c>
    </row>
    <row r="970" spans="1:7">
      <c r="A970" s="6">
        <v>42913</v>
      </c>
      <c r="B970" s="3" t="s">
        <v>2053</v>
      </c>
      <c r="C970" s="3" t="s">
        <v>21</v>
      </c>
      <c r="D970" s="8" t="str">
        <f>HYPERLINK("http://npthd.inbcu.com/ViewContent.aspx?filename=NPMR_CBS_2017-06-27_E.MP4$9473$9594","COMMERCIAL")</f>
        <v>COMMERCIAL</v>
      </c>
      <c r="E970" s="3" t="s">
        <v>175</v>
      </c>
      <c r="F970" s="3" t="s">
        <v>2838</v>
      </c>
      <c r="G970" s="3" t="s">
        <v>2839</v>
      </c>
    </row>
    <row r="971" spans="1:7">
      <c r="A971" s="6">
        <v>42913</v>
      </c>
      <c r="B971" s="3" t="s">
        <v>2053</v>
      </c>
      <c r="C971" s="3" t="s">
        <v>32</v>
      </c>
      <c r="D971" s="8" t="str">
        <f>HYPERLINK("http://npthd.inbcu.com/ViewContent.aspx?filename=NPMR_CBS_2017-06-27_E.MP4$9594$9734","LOCAL")</f>
        <v>LOCAL</v>
      </c>
      <c r="E971" s="3" t="s">
        <v>623</v>
      </c>
      <c r="F971" s="3" t="s">
        <v>2839</v>
      </c>
      <c r="G971" s="3" t="s">
        <v>2840</v>
      </c>
    </row>
    <row r="972" spans="1:7">
      <c r="A972" s="6">
        <v>42913</v>
      </c>
      <c r="B972" s="3" t="s">
        <v>2053</v>
      </c>
      <c r="C972" s="3" t="s">
        <v>18</v>
      </c>
      <c r="D972" s="8" t="str">
        <f>HYPERLINK("http://npthd.inbcu.com/ViewContent.aspx?filename=NPMR_CBS_2017-06-27_E.MP4$9734$10038","NCIS: NEW ORLEANS: overdrive")</f>
        <v>NCIS: NEW ORLEANS: overdrive</v>
      </c>
      <c r="E972" s="3" t="s">
        <v>1425</v>
      </c>
      <c r="F972" s="3" t="s">
        <v>2840</v>
      </c>
      <c r="G972" s="3" t="s">
        <v>2841</v>
      </c>
    </row>
    <row r="973" spans="1:7">
      <c r="A973" s="6">
        <v>42913</v>
      </c>
      <c r="B973" s="3" t="s">
        <v>2053</v>
      </c>
      <c r="C973" s="3" t="s">
        <v>21</v>
      </c>
      <c r="D973" s="8" t="str">
        <f>HYPERLINK("http://npthd.inbcu.com/ViewContent.aspx?filename=NPMR_CBS_2017-06-27_E.MP4$10038$10219","COMMERCIAL")</f>
        <v>COMMERCIAL</v>
      </c>
      <c r="E973" s="3" t="s">
        <v>108</v>
      </c>
      <c r="F973" s="3" t="s">
        <v>2841</v>
      </c>
      <c r="G973" s="3" t="s">
        <v>2383</v>
      </c>
    </row>
    <row r="974" spans="1:7">
      <c r="A974" s="6">
        <v>42913</v>
      </c>
      <c r="B974" s="3" t="s">
        <v>2053</v>
      </c>
      <c r="C974" s="3" t="s">
        <v>14</v>
      </c>
      <c r="D974" s="8" t="str">
        <f>HYPERLINK("http://npthd.inbcu.com/ViewContent.aspx?filename=NPMR_CBS_2017-06-27_E.MP4$10219$10241","Talk, The")</f>
        <v>Talk, The</v>
      </c>
      <c r="E974" s="3" t="s">
        <v>2124</v>
      </c>
      <c r="F974" s="3" t="s">
        <v>2383</v>
      </c>
      <c r="G974" s="3" t="s">
        <v>2842</v>
      </c>
    </row>
    <row r="975" spans="1:7">
      <c r="A975" s="6">
        <v>42913</v>
      </c>
      <c r="B975" s="3" t="s">
        <v>2053</v>
      </c>
      <c r="C975" s="3" t="s">
        <v>32</v>
      </c>
      <c r="D975" s="8" t="str">
        <f>HYPERLINK("http://npthd.inbcu.com/ViewContent.aspx?filename=NPMR_CBS_2017-06-27_E.MP4$10241$10336","LOCAL")</f>
        <v>LOCAL</v>
      </c>
      <c r="E975" s="3" t="s">
        <v>2076</v>
      </c>
      <c r="F975" s="3" t="s">
        <v>2842</v>
      </c>
      <c r="G975" s="3" t="s">
        <v>2843</v>
      </c>
    </row>
    <row r="976" spans="1:7">
      <c r="A976" s="6">
        <v>42913</v>
      </c>
      <c r="B976" s="3" t="s">
        <v>2053</v>
      </c>
      <c r="C976" s="3" t="s">
        <v>18</v>
      </c>
      <c r="D976" s="8" t="str">
        <f>HYPERLINK("http://npthd.inbcu.com/ViewContent.aspx?filename=NPMR_CBS_2017-06-27_E.MP4$10336$10801","NCIS: NEW ORLEANS: overdrive")</f>
        <v>NCIS: NEW ORLEANS: overdrive</v>
      </c>
      <c r="E976" s="3" t="s">
        <v>2844</v>
      </c>
      <c r="F976" s="3" t="s">
        <v>2843</v>
      </c>
      <c r="G976" s="3" t="s">
        <v>2122</v>
      </c>
    </row>
    <row r="977" spans="1:7">
      <c r="A977" s="6">
        <v>42913</v>
      </c>
      <c r="B977" s="3" t="s">
        <v>2053</v>
      </c>
      <c r="C977" s="3" t="s">
        <v>32</v>
      </c>
      <c r="D977" s="8" t="str">
        <f>HYPERLINK("http://npthd.inbcu.com/ViewContent.aspx?filename=NPMR_CBS_2017-06-27_E.MP4$10801$10812","LOCAL")</f>
        <v>LOCAL</v>
      </c>
      <c r="E977" s="3" t="s">
        <v>1940</v>
      </c>
      <c r="F977" s="3" t="s">
        <v>2122</v>
      </c>
      <c r="G977" s="3" t="s">
        <v>2386</v>
      </c>
    </row>
    <row r="978" spans="1:7">
      <c r="A978" s="6">
        <v>42913</v>
      </c>
      <c r="B978" s="3" t="s">
        <v>2053</v>
      </c>
      <c r="C978" s="3" t="s">
        <v>21</v>
      </c>
      <c r="D978" s="8" t="str">
        <f>HYPERLINK("http://npthd.inbcu.com/ViewContent.aspx?filename=NPMR_CBS_2017-06-27_E.MP4$10812$10873","COMMERCIAL")</f>
        <v>COMMERCIAL</v>
      </c>
      <c r="E978" s="3" t="s">
        <v>33</v>
      </c>
      <c r="F978" s="3" t="s">
        <v>2386</v>
      </c>
      <c r="G978" s="3" t="s">
        <v>938</v>
      </c>
    </row>
    <row r="979" spans="1:7">
      <c r="A979" s="6">
        <v>42913</v>
      </c>
      <c r="B979" s="3" t="s">
        <v>2053</v>
      </c>
      <c r="C979" s="3" t="s">
        <v>14</v>
      </c>
      <c r="D979" s="8" t="str">
        <f>HYPERLINK("http://npthd.inbcu.com/ViewContent.aspx?filename=NPMR_CBS_2017-06-27_E.MP4$10873$10878","Late Show with Stephen Colbert")</f>
        <v>Late Show with Stephen Colbert</v>
      </c>
      <c r="E979" s="3" t="s">
        <v>54</v>
      </c>
      <c r="F979" s="3" t="s">
        <v>938</v>
      </c>
      <c r="G979" s="3" t="s">
        <v>2315</v>
      </c>
    </row>
    <row r="980" spans="1:7">
      <c r="A980" s="6">
        <v>42913</v>
      </c>
      <c r="B980" s="3" t="s">
        <v>2053</v>
      </c>
      <c r="C980" s="3" t="s">
        <v>14</v>
      </c>
      <c r="D980" s="8" t="str">
        <f>HYPERLINK("http://npthd.inbcu.com/ViewContent.aspx?filename=NPMR_CBS_2017-06-27_E.MP4$10878$10900","Big Brother")</f>
        <v>Big Brother</v>
      </c>
      <c r="E980" s="3" t="s">
        <v>2124</v>
      </c>
      <c r="F980" s="3" t="s">
        <v>2315</v>
      </c>
      <c r="G980" s="3" t="s">
        <v>2316</v>
      </c>
    </row>
    <row r="981" spans="1:7">
      <c r="A981" s="6">
        <v>42913</v>
      </c>
      <c r="B981" s="3" t="s">
        <v>2053</v>
      </c>
      <c r="C981" s="3" t="s">
        <v>32</v>
      </c>
      <c r="D981" s="8" t="str">
        <f>HYPERLINK("http://npthd.inbcu.com/ViewContent.aspx?filename=NPMR_CBS_2017-06-27_E.MP4$10900$10917","LOCAL")</f>
        <v>LOCAL</v>
      </c>
      <c r="E981" s="3" t="s">
        <v>576</v>
      </c>
      <c r="F981" s="3" t="s">
        <v>2316</v>
      </c>
      <c r="G981" s="3" t="s">
        <v>124</v>
      </c>
    </row>
    <row r="982" spans="1:7">
      <c r="A982" s="6">
        <v>42914</v>
      </c>
      <c r="B982" s="3" t="s">
        <v>2053</v>
      </c>
      <c r="C982" s="3" t="s">
        <v>18</v>
      </c>
      <c r="D982" s="8" t="str">
        <f>HYPERLINK("http://npthd.inbcu.com/ViewContent.aspx?filename=NPMR_CBS_2017-06-28_E.MP4$117$937","BIG BROTHER 19:")</f>
        <v>BIG BROTHER 19:</v>
      </c>
      <c r="E982" s="3" t="s">
        <v>2672</v>
      </c>
      <c r="F982" s="3" t="s">
        <v>16</v>
      </c>
      <c r="G982" s="3" t="s">
        <v>2845</v>
      </c>
    </row>
    <row r="983" spans="1:7">
      <c r="A983" s="6">
        <v>42914</v>
      </c>
      <c r="B983" s="3" t="s">
        <v>2053</v>
      </c>
      <c r="C983" s="3" t="s">
        <v>21</v>
      </c>
      <c r="D983" s="8" t="str">
        <f>HYPERLINK("http://npthd.inbcu.com/ViewContent.aspx?filename=NPMR_CBS_2017-06-28_E.MP4$937$1104","COMMERCIAL")</f>
        <v>COMMERCIAL</v>
      </c>
      <c r="E983" s="3" t="s">
        <v>1217</v>
      </c>
      <c r="F983" s="3" t="s">
        <v>2845</v>
      </c>
      <c r="G983" s="3" t="s">
        <v>2846</v>
      </c>
    </row>
    <row r="984" spans="1:7">
      <c r="A984" s="6">
        <v>42914</v>
      </c>
      <c r="B984" s="3" t="s">
        <v>2053</v>
      </c>
      <c r="C984" s="3" t="s">
        <v>14</v>
      </c>
      <c r="D984" s="8" t="str">
        <f>HYPERLINK("http://npthd.inbcu.com/ViewContent.aspx?filename=NPMR_CBS_2017-06-28_E.MP4$1104$1134","Salvation")</f>
        <v>Salvation</v>
      </c>
      <c r="E984" s="3" t="s">
        <v>38</v>
      </c>
      <c r="F984" s="3" t="s">
        <v>2846</v>
      </c>
      <c r="G984" s="3" t="s">
        <v>2324</v>
      </c>
    </row>
    <row r="985" spans="1:7">
      <c r="A985" s="6">
        <v>42914</v>
      </c>
      <c r="B985" s="3" t="s">
        <v>2053</v>
      </c>
      <c r="C985" s="3" t="s">
        <v>14</v>
      </c>
      <c r="D985" s="8" t="str">
        <f>HYPERLINK("http://npthd.inbcu.com/ViewContent.aspx?filename=NPMR_CBS_2017-06-28_E.MP4$1134$1144","Big Brother (Live Feed)")</f>
        <v>Big Brother (Live Feed)</v>
      </c>
      <c r="E985" s="3" t="s">
        <v>197</v>
      </c>
      <c r="F985" s="3" t="s">
        <v>2324</v>
      </c>
      <c r="G985" s="3" t="s">
        <v>2325</v>
      </c>
    </row>
    <row r="986" spans="1:7">
      <c r="A986" s="6">
        <v>42914</v>
      </c>
      <c r="B986" s="3" t="s">
        <v>2053</v>
      </c>
      <c r="C986" s="3" t="s">
        <v>18</v>
      </c>
      <c r="D986" s="8" t="str">
        <f>HYPERLINK("http://npthd.inbcu.com/ViewContent.aspx?filename=NPMR_CBS_2017-06-28_E.MP4$1144$2171","BIG BROTHER 19:")</f>
        <v>BIG BROTHER 19:</v>
      </c>
      <c r="E986" s="3" t="s">
        <v>2847</v>
      </c>
      <c r="F986" s="3" t="s">
        <v>2325</v>
      </c>
      <c r="G986" s="3" t="s">
        <v>2848</v>
      </c>
    </row>
    <row r="987" spans="1:7">
      <c r="A987" s="6">
        <v>42914</v>
      </c>
      <c r="B987" s="3" t="s">
        <v>2053</v>
      </c>
      <c r="C987" s="3" t="s">
        <v>21</v>
      </c>
      <c r="D987" s="8" t="str">
        <f>HYPERLINK("http://npthd.inbcu.com/ViewContent.aspx?filename=NPMR_CBS_2017-06-28_E.MP4$2171$2323","COMMERCIAL")</f>
        <v>COMMERCIAL</v>
      </c>
      <c r="E987" s="3" t="s">
        <v>128</v>
      </c>
      <c r="F987" s="3" t="s">
        <v>2848</v>
      </c>
      <c r="G987" s="3" t="s">
        <v>2849</v>
      </c>
    </row>
    <row r="988" spans="1:7">
      <c r="A988" s="6">
        <v>42914</v>
      </c>
      <c r="B988" s="3" t="s">
        <v>2053</v>
      </c>
      <c r="C988" s="3" t="s">
        <v>1618</v>
      </c>
      <c r="D988" s="8" t="str">
        <f>HYPERLINK("http://npthd.inbcu.com/ViewContent.aspx?filename=NPMR_CBS_2017-06-28_E.MP4$2323$2333","PSA")</f>
        <v>PSA</v>
      </c>
      <c r="E988" s="3" t="s">
        <v>197</v>
      </c>
      <c r="F988" s="3" t="s">
        <v>2849</v>
      </c>
      <c r="G988" s="3" t="s">
        <v>2850</v>
      </c>
    </row>
    <row r="989" spans="1:7">
      <c r="A989" s="6">
        <v>42914</v>
      </c>
      <c r="B989" s="3" t="s">
        <v>2053</v>
      </c>
      <c r="C989" s="3" t="s">
        <v>14</v>
      </c>
      <c r="D989" s="8" t="str">
        <f>HYPERLINK("http://npthd.inbcu.com/ViewContent.aspx?filename=NPMR_CBS_2017-06-28_E.MP4$2333$2363","Candy Crush")</f>
        <v>Candy Crush</v>
      </c>
      <c r="E989" s="3" t="s">
        <v>38</v>
      </c>
      <c r="F989" s="3" t="s">
        <v>2850</v>
      </c>
      <c r="G989" s="3" t="s">
        <v>2851</v>
      </c>
    </row>
    <row r="990" spans="1:7">
      <c r="A990" s="6">
        <v>42914</v>
      </c>
      <c r="B990" s="3" t="s">
        <v>2053</v>
      </c>
      <c r="C990" s="3" t="s">
        <v>14</v>
      </c>
      <c r="D990" s="8" t="str">
        <f>HYPERLINK("http://npthd.inbcu.com/ViewContent.aspx?filename=NPMR_CBS_2017-06-28_E.MP4$2363$2375","Big Brother (Live Feed)")</f>
        <v>Big Brother (Live Feed)</v>
      </c>
      <c r="E990" s="3" t="s">
        <v>2057</v>
      </c>
      <c r="F990" s="3" t="s">
        <v>2851</v>
      </c>
      <c r="G990" s="3" t="s">
        <v>517</v>
      </c>
    </row>
    <row r="991" spans="1:7">
      <c r="A991" s="6">
        <v>42914</v>
      </c>
      <c r="B991" s="3" t="s">
        <v>2053</v>
      </c>
      <c r="C991" s="3" t="s">
        <v>18</v>
      </c>
      <c r="D991" s="8" t="str">
        <f>HYPERLINK("http://npthd.inbcu.com/ViewContent.aspx?filename=NPMR_CBS_2017-06-28_E.MP4$2375$2751","BIG BROTHER 19:")</f>
        <v>BIG BROTHER 19:</v>
      </c>
      <c r="E991" s="3" t="s">
        <v>79</v>
      </c>
      <c r="F991" s="3" t="s">
        <v>517</v>
      </c>
      <c r="G991" s="3" t="s">
        <v>2852</v>
      </c>
    </row>
    <row r="992" spans="1:7">
      <c r="A992" s="6">
        <v>42914</v>
      </c>
      <c r="B992" s="3" t="s">
        <v>2053</v>
      </c>
      <c r="C992" s="3" t="s">
        <v>21</v>
      </c>
      <c r="D992" s="8" t="str">
        <f>HYPERLINK("http://npthd.inbcu.com/ViewContent.aspx?filename=NPMR_CBS_2017-06-28_E.MP4$2751$2902","COMMERCIAL")</f>
        <v>COMMERCIAL</v>
      </c>
      <c r="E992" s="3" t="s">
        <v>91</v>
      </c>
      <c r="F992" s="3" t="s">
        <v>2852</v>
      </c>
      <c r="G992" s="3" t="s">
        <v>2853</v>
      </c>
    </row>
    <row r="993" spans="1:7">
      <c r="A993" s="6">
        <v>42914</v>
      </c>
      <c r="B993" s="3" t="s">
        <v>2053</v>
      </c>
      <c r="C993" s="3" t="s">
        <v>14</v>
      </c>
      <c r="D993" s="8" t="str">
        <f>HYPERLINK("http://npthd.inbcu.com/ViewContent.aspx?filename=NPMR_CBS_2017-06-28_E.MP4$2902$2912","Talk, The")</f>
        <v>Talk, The</v>
      </c>
      <c r="E993" s="3" t="s">
        <v>197</v>
      </c>
      <c r="F993" s="3" t="s">
        <v>2853</v>
      </c>
      <c r="G993" s="3" t="s">
        <v>2854</v>
      </c>
    </row>
    <row r="994" spans="1:7">
      <c r="A994" s="6">
        <v>42914</v>
      </c>
      <c r="B994" s="3" t="s">
        <v>2053</v>
      </c>
      <c r="C994" s="3" t="s">
        <v>14</v>
      </c>
      <c r="D994" s="8" t="str">
        <f>HYPERLINK("http://npthd.inbcu.com/ViewContent.aspx?filename=NPMR_CBS_2017-06-28_E.MP4$2912$2932","Zoo")</f>
        <v>Zoo</v>
      </c>
      <c r="E994" s="3" t="s">
        <v>1805</v>
      </c>
      <c r="F994" s="3" t="s">
        <v>2854</v>
      </c>
      <c r="G994" s="3" t="s">
        <v>715</v>
      </c>
    </row>
    <row r="995" spans="1:7">
      <c r="A995" s="6">
        <v>42914</v>
      </c>
      <c r="B995" s="3" t="s">
        <v>2053</v>
      </c>
      <c r="C995" s="3" t="s">
        <v>32</v>
      </c>
      <c r="D995" s="8" t="str">
        <f>HYPERLINK("http://npthd.inbcu.com/ViewContent.aspx?filename=NPMR_CBS_2017-06-28_E.MP4$2932$2996","LOCAL")</f>
        <v>LOCAL</v>
      </c>
      <c r="E995" s="3" t="s">
        <v>1902</v>
      </c>
      <c r="F995" s="3" t="s">
        <v>715</v>
      </c>
      <c r="G995" s="3" t="s">
        <v>2855</v>
      </c>
    </row>
    <row r="996" spans="1:7">
      <c r="A996" s="6">
        <v>42914</v>
      </c>
      <c r="B996" s="3" t="s">
        <v>2053</v>
      </c>
      <c r="C996" s="3" t="s">
        <v>18</v>
      </c>
      <c r="D996" s="8" t="str">
        <f>HYPERLINK("http://npthd.inbcu.com/ViewContent.aspx?filename=NPMR_CBS_2017-06-28_E.MP4$2996$3580","BIG BROTHER 19:")</f>
        <v>BIG BROTHER 19:</v>
      </c>
      <c r="E996" s="3" t="s">
        <v>2856</v>
      </c>
      <c r="F996" s="3" t="s">
        <v>2855</v>
      </c>
      <c r="G996" s="3" t="s">
        <v>2857</v>
      </c>
    </row>
    <row r="997" spans="1:7">
      <c r="A997" s="6">
        <v>42914</v>
      </c>
      <c r="B997" s="3" t="s">
        <v>2053</v>
      </c>
      <c r="C997" s="3" t="s">
        <v>21</v>
      </c>
      <c r="D997" s="8" t="str">
        <f>HYPERLINK("http://npthd.inbcu.com/ViewContent.aspx?filename=NPMR_CBS_2017-06-28_E.MP4$3580$3747","COMMERCIAL")</f>
        <v>COMMERCIAL</v>
      </c>
      <c r="E997" s="3" t="s">
        <v>1217</v>
      </c>
      <c r="F997" s="3" t="s">
        <v>2857</v>
      </c>
      <c r="G997" s="3" t="s">
        <v>2858</v>
      </c>
    </row>
    <row r="998" spans="1:7">
      <c r="A998" s="6">
        <v>42914</v>
      </c>
      <c r="B998" s="3" t="s">
        <v>2053</v>
      </c>
      <c r="C998" s="3" t="s">
        <v>14</v>
      </c>
      <c r="D998" s="8" t="str">
        <f>HYPERLINK("http://npthd.inbcu.com/ViewContent.aspx?filename=NPMR_CBS_2017-06-28_E.MP4$3747$3787","Salvation")</f>
        <v>Salvation</v>
      </c>
      <c r="E998" s="3" t="s">
        <v>619</v>
      </c>
      <c r="F998" s="3" t="s">
        <v>2858</v>
      </c>
      <c r="G998" s="3" t="s">
        <v>2859</v>
      </c>
    </row>
    <row r="999" spans="1:7">
      <c r="A999" s="6">
        <v>42914</v>
      </c>
      <c r="B999" s="3" t="s">
        <v>2053</v>
      </c>
      <c r="C999" s="3" t="s">
        <v>18</v>
      </c>
      <c r="D999" s="8" t="str">
        <f>HYPERLINK("http://npthd.inbcu.com/ViewContent.aspx?filename=NPMR_CBS_2017-06-28_E.MP4$3787$4440","BIG BROTHER 19:")</f>
        <v>BIG BROTHER 19:</v>
      </c>
      <c r="E999" s="3" t="s">
        <v>2435</v>
      </c>
      <c r="F999" s="3" t="s">
        <v>2859</v>
      </c>
      <c r="G999" s="3" t="s">
        <v>2860</v>
      </c>
    </row>
    <row r="1000" spans="1:7">
      <c r="A1000" s="6">
        <v>42914</v>
      </c>
      <c r="B1000" s="3" t="s">
        <v>2053</v>
      </c>
      <c r="C1000" s="3" t="s">
        <v>21</v>
      </c>
      <c r="D1000" s="8" t="str">
        <f>HYPERLINK("http://npthd.inbcu.com/ViewContent.aspx?filename=NPMR_CBS_2017-06-28_E.MP4$4440$4562","COMMERCIAL")</f>
        <v>COMMERCIAL</v>
      </c>
      <c r="E1000" s="3" t="s">
        <v>252</v>
      </c>
      <c r="F1000" s="3" t="s">
        <v>2860</v>
      </c>
      <c r="G1000" s="3" t="s">
        <v>2861</v>
      </c>
    </row>
    <row r="1001" spans="1:7">
      <c r="A1001" s="6">
        <v>42914</v>
      </c>
      <c r="B1001" s="3" t="s">
        <v>2053</v>
      </c>
      <c r="C1001" s="3" t="s">
        <v>32</v>
      </c>
      <c r="D1001" s="8" t="str">
        <f>HYPERLINK("http://npthd.inbcu.com/ViewContent.aspx?filename=NPMR_CBS_2017-06-28_E.MP4$4562$4688","LOCAL")</f>
        <v>LOCAL</v>
      </c>
      <c r="E1001" s="3" t="s">
        <v>2828</v>
      </c>
      <c r="F1001" s="3" t="s">
        <v>2861</v>
      </c>
      <c r="G1001" s="3" t="s">
        <v>2862</v>
      </c>
    </row>
    <row r="1002" spans="1:7">
      <c r="A1002" s="6">
        <v>42914</v>
      </c>
      <c r="B1002" s="3" t="s">
        <v>2053</v>
      </c>
      <c r="C1002" s="3" t="s">
        <v>18</v>
      </c>
      <c r="D1002" s="8" t="str">
        <f>HYPERLINK("http://npthd.inbcu.com/ViewContent.aspx?filename=NPMR_CBS_2017-06-28_E.MP4$4688$5263","BIG BROTHER 19:")</f>
        <v>BIG BROTHER 19:</v>
      </c>
      <c r="E1002" s="3" t="s">
        <v>89</v>
      </c>
      <c r="F1002" s="3" t="s">
        <v>2862</v>
      </c>
      <c r="G1002" s="3" t="s">
        <v>1567</v>
      </c>
    </row>
    <row r="1003" spans="1:7">
      <c r="A1003" s="6">
        <v>42914</v>
      </c>
      <c r="B1003" s="3" t="s">
        <v>2053</v>
      </c>
      <c r="C1003" s="3" t="s">
        <v>21</v>
      </c>
      <c r="D1003" s="8" t="str">
        <f>HYPERLINK("http://npthd.inbcu.com/ViewContent.aspx?filename=NPMR_CBS_2017-06-28_E.MP4$5263$5430","COMMERCIAL")</f>
        <v>COMMERCIAL</v>
      </c>
      <c r="E1003" s="3" t="s">
        <v>1217</v>
      </c>
      <c r="F1003" s="3" t="s">
        <v>1567</v>
      </c>
      <c r="G1003" s="3" t="s">
        <v>2863</v>
      </c>
    </row>
    <row r="1004" spans="1:7">
      <c r="A1004" s="6">
        <v>42914</v>
      </c>
      <c r="B1004" s="3" t="s">
        <v>2053</v>
      </c>
      <c r="C1004" s="3" t="s">
        <v>14</v>
      </c>
      <c r="D1004" s="8" t="str">
        <f>HYPERLINK("http://npthd.inbcu.com/ViewContent.aspx?filename=NPMR_CBS_2017-06-28_E.MP4$5430$5450","Big Bang Theory")</f>
        <v>Big Bang Theory</v>
      </c>
      <c r="E1004" s="3" t="s">
        <v>1805</v>
      </c>
      <c r="F1004" s="3" t="s">
        <v>2863</v>
      </c>
      <c r="G1004" s="3" t="s">
        <v>2864</v>
      </c>
    </row>
    <row r="1005" spans="1:7">
      <c r="A1005" s="6">
        <v>42914</v>
      </c>
      <c r="B1005" s="3" t="s">
        <v>2053</v>
      </c>
      <c r="C1005" s="3" t="s">
        <v>14</v>
      </c>
      <c r="D1005" s="8" t="str">
        <f>HYPERLINK("http://npthd.inbcu.com/ViewContent.aspx?filename=NPMR_CBS_2017-06-28_E.MP4$5450$5480","Candy Crush")</f>
        <v>Candy Crush</v>
      </c>
      <c r="E1005" s="3" t="s">
        <v>38</v>
      </c>
      <c r="F1005" s="3" t="s">
        <v>2864</v>
      </c>
      <c r="G1005" s="3" t="s">
        <v>2865</v>
      </c>
    </row>
    <row r="1006" spans="1:7">
      <c r="A1006" s="6">
        <v>42914</v>
      </c>
      <c r="B1006" s="3" t="s">
        <v>2053</v>
      </c>
      <c r="C1006" s="3" t="s">
        <v>18</v>
      </c>
      <c r="D1006" s="8" t="str">
        <f>HYPERLINK("http://npthd.inbcu.com/ViewContent.aspx?filename=NPMR_CBS_2017-06-28_E.MP4$5480$5830","BIG BROTHER 19:")</f>
        <v>BIG BROTHER 19:</v>
      </c>
      <c r="E1006" s="3" t="s">
        <v>636</v>
      </c>
      <c r="F1006" s="3" t="s">
        <v>2865</v>
      </c>
      <c r="G1006" s="3" t="s">
        <v>2866</v>
      </c>
    </row>
    <row r="1007" spans="1:7">
      <c r="A1007" s="6">
        <v>42914</v>
      </c>
      <c r="B1007" s="3" t="s">
        <v>2053</v>
      </c>
      <c r="C1007" s="3" t="s">
        <v>21</v>
      </c>
      <c r="D1007" s="8" t="str">
        <f>HYPERLINK("http://npthd.inbcu.com/ViewContent.aspx?filename=NPMR_CBS_2017-06-28_E.MP4$5830$5982","COMMERCIAL")</f>
        <v>COMMERCIAL</v>
      </c>
      <c r="E1007" s="3" t="s">
        <v>128</v>
      </c>
      <c r="F1007" s="3" t="s">
        <v>2866</v>
      </c>
      <c r="G1007" s="3" t="s">
        <v>1648</v>
      </c>
    </row>
    <row r="1008" spans="1:7">
      <c r="A1008" s="6">
        <v>42914</v>
      </c>
      <c r="B1008" s="3" t="s">
        <v>2053</v>
      </c>
      <c r="C1008" s="3" t="s">
        <v>14</v>
      </c>
      <c r="D1008" s="8" t="str">
        <f>HYPERLINK("http://npthd.inbcu.com/ViewContent.aspx?filename=NPMR_CBS_2017-06-28_E.MP4$5982$5992","Late Show with Stephen Colbert")</f>
        <v>Late Show with Stephen Colbert</v>
      </c>
      <c r="E1008" s="3" t="s">
        <v>197</v>
      </c>
      <c r="F1008" s="3" t="s">
        <v>1648</v>
      </c>
      <c r="G1008" s="3" t="s">
        <v>170</v>
      </c>
    </row>
    <row r="1009" spans="1:7">
      <c r="A1009" s="6">
        <v>42914</v>
      </c>
      <c r="B1009" s="3" t="s">
        <v>2053</v>
      </c>
      <c r="C1009" s="3" t="s">
        <v>14</v>
      </c>
      <c r="D1009" s="8" t="str">
        <f>HYPERLINK("http://npthd.inbcu.com/ViewContent.aspx?filename=NPMR_CBS_2017-06-28_E.MP4$5992$6011","CBS All Access")</f>
        <v>CBS All Access</v>
      </c>
      <c r="E1009" s="3" t="s">
        <v>670</v>
      </c>
      <c r="F1009" s="3" t="s">
        <v>170</v>
      </c>
      <c r="G1009" s="3" t="s">
        <v>2867</v>
      </c>
    </row>
    <row r="1010" spans="1:7">
      <c r="A1010" s="6">
        <v>42914</v>
      </c>
      <c r="B1010" s="3" t="s">
        <v>2053</v>
      </c>
      <c r="C1010" s="3" t="s">
        <v>32</v>
      </c>
      <c r="D1010" s="8" t="str">
        <f>HYPERLINK("http://npthd.inbcu.com/ViewContent.aspx?filename=NPMR_CBS_2017-06-28_E.MP4$6011$6077","LOCAL")</f>
        <v>LOCAL</v>
      </c>
      <c r="E1010" s="3" t="s">
        <v>2088</v>
      </c>
      <c r="F1010" s="3" t="s">
        <v>2867</v>
      </c>
      <c r="G1010" s="3" t="s">
        <v>1439</v>
      </c>
    </row>
    <row r="1011" spans="1:7">
      <c r="A1011" s="6">
        <v>42914</v>
      </c>
      <c r="B1011" s="3" t="s">
        <v>2053</v>
      </c>
      <c r="C1011" s="3" t="s">
        <v>18</v>
      </c>
      <c r="D1011" s="8" t="str">
        <f>HYPERLINK("http://npthd.inbcu.com/ViewContent.aspx?filename=NPMR_CBS_2017-06-28_E.MP4$6077$6526","BIG BROTHER 19:")</f>
        <v>BIG BROTHER 19:</v>
      </c>
      <c r="E1011" s="3" t="s">
        <v>820</v>
      </c>
      <c r="F1011" s="3" t="s">
        <v>1439</v>
      </c>
      <c r="G1011" s="3" t="s">
        <v>2868</v>
      </c>
    </row>
    <row r="1012" spans="1:7">
      <c r="A1012" s="6">
        <v>42914</v>
      </c>
      <c r="B1012" s="3" t="s">
        <v>2053</v>
      </c>
      <c r="C1012" s="3" t="s">
        <v>21</v>
      </c>
      <c r="D1012" s="8" t="str">
        <f>HYPERLINK("http://npthd.inbcu.com/ViewContent.aspx?filename=NPMR_CBS_2017-06-28_E.MP4$6526$6678","COMMERCIAL")</f>
        <v>COMMERCIAL</v>
      </c>
      <c r="E1012" s="3" t="s">
        <v>128</v>
      </c>
      <c r="F1012" s="3" t="s">
        <v>2868</v>
      </c>
      <c r="G1012" s="3" t="s">
        <v>2869</v>
      </c>
    </row>
    <row r="1013" spans="1:7">
      <c r="A1013" s="6">
        <v>42914</v>
      </c>
      <c r="B1013" s="3" t="s">
        <v>2053</v>
      </c>
      <c r="C1013" s="3" t="s">
        <v>14</v>
      </c>
      <c r="D1013" s="8" t="str">
        <f>HYPERLINK("http://npthd.inbcu.com/ViewContent.aspx?filename=NPMR_CBS_2017-06-28_E.MP4$6678$6708","Zoo")</f>
        <v>Zoo</v>
      </c>
      <c r="E1013" s="3" t="s">
        <v>38</v>
      </c>
      <c r="F1013" s="3" t="s">
        <v>2869</v>
      </c>
      <c r="G1013" s="3" t="s">
        <v>2870</v>
      </c>
    </row>
    <row r="1014" spans="1:7">
      <c r="A1014" s="6">
        <v>42914</v>
      </c>
      <c r="B1014" s="3" t="s">
        <v>2053</v>
      </c>
      <c r="C1014" s="3" t="s">
        <v>32</v>
      </c>
      <c r="D1014" s="8" t="str">
        <f>HYPERLINK("http://npthd.inbcu.com/ViewContent.aspx?filename=NPMR_CBS_2017-06-28_E.MP4$6708$6803","LOCAL")</f>
        <v>LOCAL</v>
      </c>
      <c r="E1014" s="3" t="s">
        <v>2076</v>
      </c>
      <c r="F1014" s="3" t="s">
        <v>2870</v>
      </c>
      <c r="G1014" s="3" t="s">
        <v>2871</v>
      </c>
    </row>
    <row r="1015" spans="1:7">
      <c r="A1015" s="6">
        <v>42914</v>
      </c>
      <c r="B1015" s="3" t="s">
        <v>2053</v>
      </c>
      <c r="C1015" s="3" t="s">
        <v>18</v>
      </c>
      <c r="D1015" s="8" t="str">
        <f>HYPERLINK("http://npthd.inbcu.com/ViewContent.aspx?filename=NPMR_CBS_2017-06-28_E.MP4$6803$7189","BIG BROTHER 19:")</f>
        <v>BIG BROTHER 19:</v>
      </c>
      <c r="E1015" s="3" t="s">
        <v>732</v>
      </c>
      <c r="F1015" s="3" t="s">
        <v>2871</v>
      </c>
      <c r="G1015" s="3" t="s">
        <v>2872</v>
      </c>
    </row>
    <row r="1016" spans="1:7">
      <c r="A1016" s="6">
        <v>42914</v>
      </c>
      <c r="B1016" s="3" t="s">
        <v>2053</v>
      </c>
      <c r="C1016" s="3" t="s">
        <v>21</v>
      </c>
      <c r="D1016" s="8" t="str">
        <f>HYPERLINK("http://npthd.inbcu.com/ViewContent.aspx?filename=NPMR_CBS_2017-06-28_E.MP4$7189$7250","COMMERCIAL")</f>
        <v>COMMERCIAL</v>
      </c>
      <c r="E1016" s="3" t="s">
        <v>33</v>
      </c>
      <c r="F1016" s="3" t="s">
        <v>2872</v>
      </c>
      <c r="G1016" s="3" t="s">
        <v>2873</v>
      </c>
    </row>
    <row r="1017" spans="1:7">
      <c r="A1017" s="6">
        <v>42914</v>
      </c>
      <c r="B1017" s="3" t="s">
        <v>2053</v>
      </c>
      <c r="C1017" s="3" t="s">
        <v>14</v>
      </c>
      <c r="D1017" s="8" t="str">
        <f>HYPERLINK("http://npthd.inbcu.com/ViewContent.aspx?filename=NPMR_CBS_2017-06-28_E.MP4$7250$7280","Salvation")</f>
        <v>Salvation</v>
      </c>
      <c r="E1017" s="3" t="s">
        <v>38</v>
      </c>
      <c r="F1017" s="3" t="s">
        <v>2873</v>
      </c>
      <c r="G1017" s="3" t="s">
        <v>1366</v>
      </c>
    </row>
    <row r="1018" spans="1:7">
      <c r="A1018" s="6">
        <v>42914</v>
      </c>
      <c r="B1018" s="3" t="s">
        <v>2053</v>
      </c>
      <c r="C1018" s="3" t="s">
        <v>14</v>
      </c>
      <c r="D1018" s="8" t="str">
        <f>HYPERLINK("http://npthd.inbcu.com/ViewContent.aspx?filename=NPMR_CBS_2017-06-28_E.MP4$7280$7312","Candy Crush")</f>
        <v>Candy Crush</v>
      </c>
      <c r="E1018" s="3" t="s">
        <v>213</v>
      </c>
      <c r="F1018" s="3" t="s">
        <v>1366</v>
      </c>
      <c r="G1018" s="3" t="s">
        <v>750</v>
      </c>
    </row>
    <row r="1019" spans="1:7">
      <c r="A1019" s="6">
        <v>42914</v>
      </c>
      <c r="B1019" s="3" t="s">
        <v>2053</v>
      </c>
      <c r="C1019" s="3" t="s">
        <v>18</v>
      </c>
      <c r="D1019" s="8" t="str">
        <f>HYPERLINK("http://npthd.inbcu.com/ViewContent.aspx?filename=NPMR_CBS_2017-06-28_E.MP4$7312$7317","BIG BROTHER 19:")</f>
        <v>BIG BROTHER 19:</v>
      </c>
      <c r="E1019" s="3" t="s">
        <v>54</v>
      </c>
      <c r="F1019" s="3" t="s">
        <v>750</v>
      </c>
      <c r="G1019" s="3" t="s">
        <v>394</v>
      </c>
    </row>
    <row r="1020" spans="1:7">
      <c r="A1020" s="6">
        <v>42914</v>
      </c>
      <c r="B1020" s="3" t="s">
        <v>2053</v>
      </c>
      <c r="C1020" s="3" t="s">
        <v>14</v>
      </c>
      <c r="D1020" s="8" t="str">
        <f>HYPERLINK("http://npthd.inbcu.com/ViewContent.aspx?filename=NPMR_CBS_2017-06-28_E.MP4$7317$7322","Late Show with Stephen Colbert")</f>
        <v>Late Show with Stephen Colbert</v>
      </c>
      <c r="E1020" s="3" t="s">
        <v>54</v>
      </c>
      <c r="F1020" s="3" t="s">
        <v>394</v>
      </c>
      <c r="G1020" s="3" t="s">
        <v>395</v>
      </c>
    </row>
    <row r="1021" spans="1:7">
      <c r="A1021" s="6">
        <v>42914</v>
      </c>
      <c r="B1021" s="3" t="s">
        <v>2053</v>
      </c>
      <c r="C1021" s="3" t="s">
        <v>18</v>
      </c>
      <c r="D1021" s="8" t="str">
        <f>HYPERLINK("http://npthd.inbcu.com/ViewContent.aspx?filename=NPMR_CBS_2017-06-28_E.MP4$7322$7753","CRIMINAL MINDS: seek &amp; destroy")</f>
        <v>CRIMINAL MINDS: seek &amp; destroy</v>
      </c>
      <c r="E1021" s="3" t="s">
        <v>332</v>
      </c>
      <c r="F1021" s="3" t="s">
        <v>395</v>
      </c>
      <c r="G1021" s="3" t="s">
        <v>2874</v>
      </c>
    </row>
    <row r="1022" spans="1:7">
      <c r="A1022" s="6">
        <v>42914</v>
      </c>
      <c r="B1022" s="3" t="s">
        <v>2053</v>
      </c>
      <c r="C1022" s="3" t="s">
        <v>21</v>
      </c>
      <c r="D1022" s="8" t="str">
        <f>HYPERLINK("http://npthd.inbcu.com/ViewContent.aspx?filename=NPMR_CBS_2017-06-28_E.MP4$7753$7951","COMMERCIAL")</f>
        <v>COMMERCIAL</v>
      </c>
      <c r="E1022" s="3" t="s">
        <v>2776</v>
      </c>
      <c r="F1022" s="3" t="s">
        <v>2874</v>
      </c>
      <c r="G1022" s="3" t="s">
        <v>398</v>
      </c>
    </row>
    <row r="1023" spans="1:7">
      <c r="A1023" s="6">
        <v>42914</v>
      </c>
      <c r="B1023" s="3" t="s">
        <v>2053</v>
      </c>
      <c r="C1023" s="3" t="s">
        <v>18</v>
      </c>
      <c r="D1023" s="8" t="str">
        <f>HYPERLINK("http://npthd.inbcu.com/ViewContent.aspx?filename=NPMR_CBS_2017-06-28_E.MP4$7951$8526","CRIMINAL MINDS: seek &amp; destroy")</f>
        <v>CRIMINAL MINDS: seek &amp; destroy</v>
      </c>
      <c r="E1023" s="3" t="s">
        <v>89</v>
      </c>
      <c r="F1023" s="3" t="s">
        <v>398</v>
      </c>
      <c r="G1023" s="3" t="s">
        <v>2875</v>
      </c>
    </row>
    <row r="1024" spans="1:7">
      <c r="A1024" s="6">
        <v>42914</v>
      </c>
      <c r="B1024" s="3" t="s">
        <v>2053</v>
      </c>
      <c r="C1024" s="3" t="s">
        <v>21</v>
      </c>
      <c r="D1024" s="8" t="str">
        <f>HYPERLINK("http://npthd.inbcu.com/ViewContent.aspx?filename=NPMR_CBS_2017-06-28_E.MP4$8526$8707","COMMERCIAL")</f>
        <v>COMMERCIAL</v>
      </c>
      <c r="E1024" s="3" t="s">
        <v>108</v>
      </c>
      <c r="F1024" s="3" t="s">
        <v>2875</v>
      </c>
      <c r="G1024" s="3" t="s">
        <v>2876</v>
      </c>
    </row>
    <row r="1025" spans="1:7">
      <c r="A1025" s="6">
        <v>42914</v>
      </c>
      <c r="B1025" s="3" t="s">
        <v>2053</v>
      </c>
      <c r="C1025" s="3" t="s">
        <v>14</v>
      </c>
      <c r="D1025" s="8" t="str">
        <f>HYPERLINK("http://npthd.inbcu.com/ViewContent.aspx?filename=NPMR_CBS_2017-06-28_E.MP4$8707$8717","CBS This Morning")</f>
        <v>CBS This Morning</v>
      </c>
      <c r="E1025" s="3" t="s">
        <v>197</v>
      </c>
      <c r="F1025" s="3" t="s">
        <v>2876</v>
      </c>
      <c r="G1025" s="3" t="s">
        <v>2877</v>
      </c>
    </row>
    <row r="1026" spans="1:7">
      <c r="A1026" s="6">
        <v>42914</v>
      </c>
      <c r="B1026" s="3" t="s">
        <v>2053</v>
      </c>
      <c r="C1026" s="3" t="s">
        <v>14</v>
      </c>
      <c r="D1026" s="8" t="str">
        <f>HYPERLINK("http://npthd.inbcu.com/ViewContent.aspx?filename=NPMR_CBS_2017-06-28_E.MP4$8717$8737","Zoo")</f>
        <v>Zoo</v>
      </c>
      <c r="E1026" s="3" t="s">
        <v>1805</v>
      </c>
      <c r="F1026" s="3" t="s">
        <v>2877</v>
      </c>
      <c r="G1026" s="3" t="s">
        <v>2878</v>
      </c>
    </row>
    <row r="1027" spans="1:7">
      <c r="A1027" s="6">
        <v>42914</v>
      </c>
      <c r="B1027" s="3" t="s">
        <v>2053</v>
      </c>
      <c r="C1027" s="3" t="s">
        <v>14</v>
      </c>
      <c r="D1027" s="8" t="str">
        <f>HYPERLINK("http://npthd.inbcu.com/ViewContent.aspx?filename=NPMR_CBS_2017-06-28_E.MP4$8737$8742","Candy Crush")</f>
        <v>Candy Crush</v>
      </c>
      <c r="E1027" s="3" t="s">
        <v>54</v>
      </c>
      <c r="F1027" s="3" t="s">
        <v>2878</v>
      </c>
      <c r="G1027" s="3" t="s">
        <v>402</v>
      </c>
    </row>
    <row r="1028" spans="1:7">
      <c r="A1028" s="6">
        <v>42914</v>
      </c>
      <c r="B1028" s="3" t="s">
        <v>2053</v>
      </c>
      <c r="C1028" s="3" t="s">
        <v>18</v>
      </c>
      <c r="D1028" s="8" t="str">
        <f>HYPERLINK("http://npthd.inbcu.com/ViewContent.aspx?filename=NPMR_CBS_2017-06-28_E.MP4$8742$9238","CRIMINAL MINDS: seek &amp; destroy")</f>
        <v>CRIMINAL MINDS: seek &amp; destroy</v>
      </c>
      <c r="E1028" s="3" t="s">
        <v>784</v>
      </c>
      <c r="F1028" s="3" t="s">
        <v>402</v>
      </c>
      <c r="G1028" s="3" t="s">
        <v>2879</v>
      </c>
    </row>
    <row r="1029" spans="1:7">
      <c r="A1029" s="6">
        <v>42914</v>
      </c>
      <c r="B1029" s="3" t="s">
        <v>2053</v>
      </c>
      <c r="C1029" s="3" t="s">
        <v>21</v>
      </c>
      <c r="D1029" s="8" t="str">
        <f>HYPERLINK("http://npthd.inbcu.com/ViewContent.aspx?filename=NPMR_CBS_2017-06-28_E.MP4$9238$9419","COMMERCIAL")</f>
        <v>COMMERCIAL</v>
      </c>
      <c r="E1029" s="3" t="s">
        <v>108</v>
      </c>
      <c r="F1029" s="3" t="s">
        <v>2879</v>
      </c>
      <c r="G1029" s="3" t="s">
        <v>2880</v>
      </c>
    </row>
    <row r="1030" spans="1:7">
      <c r="A1030" s="6">
        <v>42914</v>
      </c>
      <c r="B1030" s="3" t="s">
        <v>2053</v>
      </c>
      <c r="C1030" s="3" t="s">
        <v>32</v>
      </c>
      <c r="D1030" s="8" t="str">
        <f>HYPERLINK("http://npthd.inbcu.com/ViewContent.aspx?filename=NPMR_CBS_2017-06-28_E.MP4$9419$9560","LOCAL")</f>
        <v>LOCAL</v>
      </c>
      <c r="E1030" s="3" t="s">
        <v>1753</v>
      </c>
      <c r="F1030" s="3" t="s">
        <v>2880</v>
      </c>
      <c r="G1030" s="3" t="s">
        <v>2881</v>
      </c>
    </row>
    <row r="1031" spans="1:7">
      <c r="A1031" s="6">
        <v>42914</v>
      </c>
      <c r="B1031" s="3" t="s">
        <v>2053</v>
      </c>
      <c r="C1031" s="3" t="s">
        <v>18</v>
      </c>
      <c r="D1031" s="8" t="str">
        <f>HYPERLINK("http://npthd.inbcu.com/ViewContent.aspx?filename=NPMR_CBS_2017-06-28_E.MP4$9560$10059","CRIMINAL MINDS: seek &amp; destroy")</f>
        <v>CRIMINAL MINDS: seek &amp; destroy</v>
      </c>
      <c r="E1031" s="3" t="s">
        <v>723</v>
      </c>
      <c r="F1031" s="3" t="s">
        <v>2881</v>
      </c>
      <c r="G1031" s="3" t="s">
        <v>113</v>
      </c>
    </row>
    <row r="1032" spans="1:7">
      <c r="A1032" s="6">
        <v>42914</v>
      </c>
      <c r="B1032" s="3" t="s">
        <v>2053</v>
      </c>
      <c r="C1032" s="3" t="s">
        <v>21</v>
      </c>
      <c r="D1032" s="8" t="str">
        <f>HYPERLINK("http://npthd.inbcu.com/ViewContent.aspx?filename=NPMR_CBS_2017-06-28_E.MP4$10059$10211","COMMERCIAL")</f>
        <v>COMMERCIAL</v>
      </c>
      <c r="E1032" s="3" t="s">
        <v>128</v>
      </c>
      <c r="F1032" s="3" t="s">
        <v>113</v>
      </c>
      <c r="G1032" s="3" t="s">
        <v>2882</v>
      </c>
    </row>
    <row r="1033" spans="1:7">
      <c r="A1033" s="6">
        <v>42914</v>
      </c>
      <c r="B1033" s="3" t="s">
        <v>2053</v>
      </c>
      <c r="C1033" s="3" t="s">
        <v>14</v>
      </c>
      <c r="D1033" s="8" t="str">
        <f>HYPERLINK("http://npthd.inbcu.com/ViewContent.aspx?filename=NPMR_CBS_2017-06-28_E.MP4$10211$10221","Late Show with Stephen Colbert")</f>
        <v>Late Show with Stephen Colbert</v>
      </c>
      <c r="E1033" s="3" t="s">
        <v>197</v>
      </c>
      <c r="F1033" s="3" t="s">
        <v>2882</v>
      </c>
      <c r="G1033" s="3" t="s">
        <v>496</v>
      </c>
    </row>
    <row r="1034" spans="1:7">
      <c r="A1034" s="6">
        <v>42914</v>
      </c>
      <c r="B1034" s="3" t="s">
        <v>2053</v>
      </c>
      <c r="C1034" s="3" t="s">
        <v>14</v>
      </c>
      <c r="D1034" s="8" t="str">
        <f>HYPERLINK("http://npthd.inbcu.com/ViewContent.aspx?filename=NPMR_CBS_2017-06-28_E.MP4$10221$10241","Big Brother")</f>
        <v>Big Brother</v>
      </c>
      <c r="E1034" s="3" t="s">
        <v>1805</v>
      </c>
      <c r="F1034" s="3" t="s">
        <v>496</v>
      </c>
      <c r="G1034" s="3" t="s">
        <v>2842</v>
      </c>
    </row>
    <row r="1035" spans="1:7">
      <c r="A1035" s="6">
        <v>42914</v>
      </c>
      <c r="B1035" s="3" t="s">
        <v>2053</v>
      </c>
      <c r="C1035" s="3" t="s">
        <v>14</v>
      </c>
      <c r="D1035" s="8" t="str">
        <f>HYPERLINK("http://npthd.inbcu.com/ViewContent.aspx?filename=NPMR_CBS_2017-06-28_E.MP4$10241$10261","Salvation")</f>
        <v>Salvation</v>
      </c>
      <c r="E1035" s="3" t="s">
        <v>1805</v>
      </c>
      <c r="F1035" s="3" t="s">
        <v>2842</v>
      </c>
      <c r="G1035" s="3" t="s">
        <v>2883</v>
      </c>
    </row>
    <row r="1036" spans="1:7">
      <c r="A1036" s="6">
        <v>42914</v>
      </c>
      <c r="B1036" s="3" t="s">
        <v>2053</v>
      </c>
      <c r="C1036" s="3" t="s">
        <v>32</v>
      </c>
      <c r="D1036" s="8" t="str">
        <f>HYPERLINK("http://npthd.inbcu.com/ViewContent.aspx?filename=NPMR_CBS_2017-06-28_E.MP4$10261$10386","LOCAL")</f>
        <v>LOCAL</v>
      </c>
      <c r="E1036" s="3" t="s">
        <v>2216</v>
      </c>
      <c r="F1036" s="3" t="s">
        <v>2883</v>
      </c>
      <c r="G1036" s="3" t="s">
        <v>2884</v>
      </c>
    </row>
    <row r="1037" spans="1:7">
      <c r="A1037" s="6">
        <v>42914</v>
      </c>
      <c r="B1037" s="3" t="s">
        <v>2053</v>
      </c>
      <c r="C1037" s="3" t="s">
        <v>18</v>
      </c>
      <c r="D1037" s="8" t="str">
        <f>HYPERLINK("http://npthd.inbcu.com/ViewContent.aspx?filename=NPMR_CBS_2017-06-28_E.MP4$10386$10801","CRIMINAL MINDS: seek &amp; destroy")</f>
        <v>CRIMINAL MINDS: seek &amp; destroy</v>
      </c>
      <c r="E1037" s="3" t="s">
        <v>2146</v>
      </c>
      <c r="F1037" s="3" t="s">
        <v>2884</v>
      </c>
      <c r="G1037" s="3" t="s">
        <v>2122</v>
      </c>
    </row>
    <row r="1038" spans="1:7">
      <c r="A1038" s="6">
        <v>42914</v>
      </c>
      <c r="B1038" s="3" t="s">
        <v>2053</v>
      </c>
      <c r="C1038" s="3" t="s">
        <v>32</v>
      </c>
      <c r="D1038" s="8" t="str">
        <f>HYPERLINK("http://npthd.inbcu.com/ViewContent.aspx?filename=NPMR_CBS_2017-06-28_E.MP4$10801$10813","LOCAL")</f>
        <v>LOCAL</v>
      </c>
      <c r="E1038" s="3" t="s">
        <v>2057</v>
      </c>
      <c r="F1038" s="3" t="s">
        <v>2122</v>
      </c>
      <c r="G1038" s="3" t="s">
        <v>2123</v>
      </c>
    </row>
    <row r="1039" spans="1:7">
      <c r="A1039" s="6">
        <v>42914</v>
      </c>
      <c r="B1039" s="3" t="s">
        <v>2053</v>
      </c>
      <c r="C1039" s="3" t="s">
        <v>21</v>
      </c>
      <c r="D1039" s="8" t="str">
        <f>HYPERLINK("http://npthd.inbcu.com/ViewContent.aspx?filename=NPMR_CBS_2017-06-28_E.MP4$10813$10874","COMMERCIAL")</f>
        <v>COMMERCIAL</v>
      </c>
      <c r="E1039" s="3" t="s">
        <v>33</v>
      </c>
      <c r="F1039" s="3" t="s">
        <v>2123</v>
      </c>
      <c r="G1039" s="3" t="s">
        <v>2175</v>
      </c>
    </row>
    <row r="1040" spans="1:7">
      <c r="A1040" s="6">
        <v>42914</v>
      </c>
      <c r="B1040" s="3" t="s">
        <v>2053</v>
      </c>
      <c r="C1040" s="3" t="s">
        <v>14</v>
      </c>
      <c r="D1040" s="8" t="str">
        <f>HYPERLINK("http://npthd.inbcu.com/ViewContent.aspx?filename=NPMR_CBS_2017-06-28_E.MP4$10874$10879","Late Show with Stephen Colbert")</f>
        <v>Late Show with Stephen Colbert</v>
      </c>
      <c r="E1040" s="3" t="s">
        <v>54</v>
      </c>
      <c r="F1040" s="3" t="s">
        <v>2175</v>
      </c>
      <c r="G1040" s="3" t="s">
        <v>773</v>
      </c>
    </row>
    <row r="1041" spans="1:7">
      <c r="A1041" s="6">
        <v>42914</v>
      </c>
      <c r="B1041" s="3" t="s">
        <v>2053</v>
      </c>
      <c r="C1041" s="3" t="s">
        <v>14</v>
      </c>
      <c r="D1041" s="8" t="str">
        <f>HYPERLINK("http://npthd.inbcu.com/ViewContent.aspx?filename=NPMR_CBS_2017-06-28_E.MP4$10879$10901","Zoo")</f>
        <v>Zoo</v>
      </c>
      <c r="E1041" s="3" t="s">
        <v>2124</v>
      </c>
      <c r="F1041" s="3" t="s">
        <v>773</v>
      </c>
      <c r="G1041" s="3" t="s">
        <v>1181</v>
      </c>
    </row>
    <row r="1042" spans="1:7">
      <c r="A1042" s="6">
        <v>42914</v>
      </c>
      <c r="B1042" s="3" t="s">
        <v>2053</v>
      </c>
      <c r="C1042" s="3" t="s">
        <v>18</v>
      </c>
      <c r="D1042" s="8" t="str">
        <f>HYPERLINK("http://npthd.inbcu.com/ViewContent.aspx?filename=NPMR_CBS_2017-06-28_E.MP4$10901$10906","CRIMINAL MINDS: seek &amp; destroy")</f>
        <v>CRIMINAL MINDS: seek &amp; destroy</v>
      </c>
      <c r="E1042" s="3" t="s">
        <v>54</v>
      </c>
      <c r="F1042" s="3" t="s">
        <v>1181</v>
      </c>
      <c r="G1042" s="3" t="s">
        <v>1939</v>
      </c>
    </row>
    <row r="1043" spans="1:7">
      <c r="A1043" s="6">
        <v>42914</v>
      </c>
      <c r="B1043" s="3" t="s">
        <v>2053</v>
      </c>
      <c r="C1043" s="3" t="s">
        <v>32</v>
      </c>
      <c r="D1043" s="8" t="str">
        <f>HYPERLINK("http://npthd.inbcu.com/ViewContent.aspx?filename=NPMR_CBS_2017-06-28_E.MP4$10906$10917","LOCAL")</f>
        <v>LOCAL</v>
      </c>
      <c r="E1043" s="3" t="s">
        <v>1940</v>
      </c>
      <c r="F1043" s="3" t="s">
        <v>1939</v>
      </c>
      <c r="G1043" s="3" t="s">
        <v>124</v>
      </c>
    </row>
    <row r="1044" spans="1:7">
      <c r="A1044" s="6">
        <v>42919</v>
      </c>
      <c r="B1044" s="3" t="s">
        <v>2053</v>
      </c>
      <c r="C1044" s="3" t="s">
        <v>18</v>
      </c>
      <c r="D1044" s="8" t="str">
        <f>HYPERLINK("http://npthd.inbcu.com/ViewContent.aspx?filename=NPMR_CBS_2017-07-03_E.MP4$93$517","KEVIN CAN WAIT: kevins good story")</f>
        <v>KEVIN CAN WAIT: kevins good story</v>
      </c>
      <c r="E1044" s="3" t="s">
        <v>1818</v>
      </c>
      <c r="F1044" s="3" t="s">
        <v>16</v>
      </c>
      <c r="G1044" s="3" t="s">
        <v>2885</v>
      </c>
    </row>
    <row r="1045" spans="1:7">
      <c r="A1045" s="6">
        <v>42919</v>
      </c>
      <c r="B1045" s="3" t="s">
        <v>2053</v>
      </c>
      <c r="C1045" s="3" t="s">
        <v>21</v>
      </c>
      <c r="D1045" s="8" t="str">
        <f>HYPERLINK("http://npthd.inbcu.com/ViewContent.aspx?filename=NPMR_CBS_2017-07-03_E.MP4$517$640","COMMERCIAL")</f>
        <v>COMMERCIAL</v>
      </c>
      <c r="E1045" s="3" t="s">
        <v>2722</v>
      </c>
      <c r="F1045" s="3" t="s">
        <v>2885</v>
      </c>
      <c r="G1045" s="3" t="s">
        <v>2886</v>
      </c>
    </row>
    <row r="1046" spans="1:7">
      <c r="A1046" s="6">
        <v>42919</v>
      </c>
      <c r="B1046" s="3" t="s">
        <v>2053</v>
      </c>
      <c r="C1046" s="3" t="s">
        <v>14</v>
      </c>
      <c r="D1046" s="8" t="str">
        <f>HYPERLINK("http://npthd.inbcu.com/ViewContent.aspx?filename=NPMR_CBS_2017-07-03_E.MP4$640$650","Big Brother")</f>
        <v>Big Brother</v>
      </c>
      <c r="E1046" s="3" t="s">
        <v>197</v>
      </c>
      <c r="F1046" s="3" t="s">
        <v>2886</v>
      </c>
      <c r="G1046" s="3" t="s">
        <v>2887</v>
      </c>
    </row>
    <row r="1047" spans="1:7">
      <c r="A1047" s="6">
        <v>42919</v>
      </c>
      <c r="B1047" s="3" t="s">
        <v>2053</v>
      </c>
      <c r="C1047" s="3" t="s">
        <v>14</v>
      </c>
      <c r="D1047" s="8" t="str">
        <f>HYPERLINK("http://npthd.inbcu.com/ViewContent.aspx?filename=NPMR_CBS_2017-07-03_E.MP4$650$670","Salvation")</f>
        <v>Salvation</v>
      </c>
      <c r="E1047" s="3" t="s">
        <v>1805</v>
      </c>
      <c r="F1047" s="3" t="s">
        <v>2887</v>
      </c>
      <c r="G1047" s="3" t="s">
        <v>965</v>
      </c>
    </row>
    <row r="1048" spans="1:7">
      <c r="A1048" s="6">
        <v>42919</v>
      </c>
      <c r="B1048" s="3" t="s">
        <v>2053</v>
      </c>
      <c r="C1048" s="3" t="s">
        <v>14</v>
      </c>
      <c r="D1048" s="8" t="str">
        <f>HYPERLINK("http://npthd.inbcu.com/ViewContent.aspx?filename=NPMR_CBS_2017-07-03_E.MP4$670$680","Young Sheldon")</f>
        <v>Young Sheldon</v>
      </c>
      <c r="E1048" s="3" t="s">
        <v>197</v>
      </c>
      <c r="F1048" s="3" t="s">
        <v>965</v>
      </c>
      <c r="G1048" s="3" t="s">
        <v>2888</v>
      </c>
    </row>
    <row r="1049" spans="1:7">
      <c r="A1049" s="6">
        <v>42919</v>
      </c>
      <c r="B1049" s="3" t="s">
        <v>2053</v>
      </c>
      <c r="C1049" s="3" t="s">
        <v>18</v>
      </c>
      <c r="D1049" s="8" t="str">
        <f>HYPERLINK("http://npthd.inbcu.com/ViewContent.aspx?filename=NPMR_CBS_2017-07-03_E.MP4$680$1107","KEVIN CAN WAIT: kevins good story")</f>
        <v>KEVIN CAN WAIT: kevins good story</v>
      </c>
      <c r="E1049" s="3" t="s">
        <v>1709</v>
      </c>
      <c r="F1049" s="3" t="s">
        <v>2888</v>
      </c>
      <c r="G1049" s="3" t="s">
        <v>2889</v>
      </c>
    </row>
    <row r="1050" spans="1:7">
      <c r="A1050" s="6">
        <v>42919</v>
      </c>
      <c r="B1050" s="3" t="s">
        <v>2053</v>
      </c>
      <c r="C1050" s="3" t="s">
        <v>21</v>
      </c>
      <c r="D1050" s="8" t="str">
        <f>HYPERLINK("http://npthd.inbcu.com/ViewContent.aspx?filename=NPMR_CBS_2017-07-03_E.MP4$1107$1259","COMMERCIAL")</f>
        <v>COMMERCIAL</v>
      </c>
      <c r="E1050" s="3" t="s">
        <v>128</v>
      </c>
      <c r="F1050" s="3" t="s">
        <v>2889</v>
      </c>
      <c r="G1050" s="3" t="s">
        <v>2890</v>
      </c>
    </row>
    <row r="1051" spans="1:7">
      <c r="A1051" s="6">
        <v>42919</v>
      </c>
      <c r="B1051" s="3" t="s">
        <v>2053</v>
      </c>
      <c r="C1051" s="3" t="s">
        <v>1618</v>
      </c>
      <c r="D1051" s="8" t="str">
        <f>HYPERLINK("http://npthd.inbcu.com/ViewContent.aspx?filename=NPMR_CBS_2017-07-03_E.MP4$1259$1269","PSA")</f>
        <v>PSA</v>
      </c>
      <c r="E1051" s="3" t="s">
        <v>197</v>
      </c>
      <c r="F1051" s="3" t="s">
        <v>2890</v>
      </c>
      <c r="G1051" s="3" t="s">
        <v>2891</v>
      </c>
    </row>
    <row r="1052" spans="1:7">
      <c r="A1052" s="6">
        <v>42919</v>
      </c>
      <c r="B1052" s="3" t="s">
        <v>2053</v>
      </c>
      <c r="C1052" s="3" t="s">
        <v>14</v>
      </c>
      <c r="D1052" s="8" t="str">
        <f>HYPERLINK("http://npthd.inbcu.com/ViewContent.aspx?filename=NPMR_CBS_2017-07-03_E.MP4$1269$1280","Late Show with Stephen Colbert")</f>
        <v>Late Show with Stephen Colbert</v>
      </c>
      <c r="E1052" s="3" t="s">
        <v>1940</v>
      </c>
      <c r="F1052" s="3" t="s">
        <v>2891</v>
      </c>
      <c r="G1052" s="3" t="s">
        <v>2806</v>
      </c>
    </row>
    <row r="1053" spans="1:7">
      <c r="A1053" s="6">
        <v>42919</v>
      </c>
      <c r="B1053" s="3" t="s">
        <v>2053</v>
      </c>
      <c r="C1053" s="3" t="s">
        <v>32</v>
      </c>
      <c r="D1053" s="8" t="str">
        <f>HYPERLINK("http://npthd.inbcu.com/ViewContent.aspx?filename=NPMR_CBS_2017-07-03_E.MP4$1280$1344","LOCAL")</f>
        <v>LOCAL</v>
      </c>
      <c r="E1053" s="3" t="s">
        <v>1902</v>
      </c>
      <c r="F1053" s="3" t="s">
        <v>2806</v>
      </c>
      <c r="G1053" s="3" t="s">
        <v>2892</v>
      </c>
    </row>
    <row r="1054" spans="1:7">
      <c r="A1054" s="6">
        <v>42919</v>
      </c>
      <c r="B1054" s="3" t="s">
        <v>2053</v>
      </c>
      <c r="C1054" s="3" t="s">
        <v>18</v>
      </c>
      <c r="D1054" s="8" t="str">
        <f>HYPERLINK("http://npthd.inbcu.com/ViewContent.aspx?filename=NPMR_CBS_2017-07-03_E.MP4$1344$1638","KEVIN CAN WAIT: kevins good story")</f>
        <v>KEVIN CAN WAIT: kevins good story</v>
      </c>
      <c r="E1054" s="3" t="s">
        <v>1198</v>
      </c>
      <c r="F1054" s="3" t="s">
        <v>2892</v>
      </c>
      <c r="G1054" s="3" t="s">
        <v>2893</v>
      </c>
    </row>
    <row r="1055" spans="1:7">
      <c r="A1055" s="6">
        <v>42919</v>
      </c>
      <c r="B1055" s="3" t="s">
        <v>2053</v>
      </c>
      <c r="C1055" s="3" t="s">
        <v>21</v>
      </c>
      <c r="D1055" s="8" t="str">
        <f>HYPERLINK("http://npthd.inbcu.com/ViewContent.aspx?filename=NPMR_CBS_2017-07-03_E.MP4$1638$1790","COMMERCIAL")</f>
        <v>COMMERCIAL</v>
      </c>
      <c r="E1055" s="3" t="s">
        <v>128</v>
      </c>
      <c r="F1055" s="3" t="s">
        <v>2893</v>
      </c>
      <c r="G1055" s="3" t="s">
        <v>2894</v>
      </c>
    </row>
    <row r="1056" spans="1:7">
      <c r="A1056" s="6">
        <v>42919</v>
      </c>
      <c r="B1056" s="3" t="s">
        <v>2053</v>
      </c>
      <c r="C1056" s="3" t="s">
        <v>14</v>
      </c>
      <c r="D1056" s="8" t="str">
        <f>HYPERLINK("http://npthd.inbcu.com/ViewContent.aspx?filename=NPMR_CBS_2017-07-03_E.MP4$1790$1800","Candy Crush")</f>
        <v>Candy Crush</v>
      </c>
      <c r="E1056" s="3" t="s">
        <v>197</v>
      </c>
      <c r="F1056" s="3" t="s">
        <v>2894</v>
      </c>
      <c r="G1056" s="3" t="s">
        <v>2895</v>
      </c>
    </row>
    <row r="1057" spans="1:7">
      <c r="A1057" s="6">
        <v>42919</v>
      </c>
      <c r="B1057" s="3" t="s">
        <v>2053</v>
      </c>
      <c r="C1057" s="3" t="s">
        <v>14</v>
      </c>
      <c r="D1057" s="8" t="str">
        <f>HYPERLINK("http://npthd.inbcu.com/ViewContent.aspx?filename=NPMR_CBS_2017-07-03_E.MP4$1800$1810","Me, Myself &amp; I")</f>
        <v>Me, Myself &amp; I</v>
      </c>
      <c r="E1057" s="3" t="s">
        <v>197</v>
      </c>
      <c r="F1057" s="3" t="s">
        <v>2895</v>
      </c>
      <c r="G1057" s="3" t="s">
        <v>2896</v>
      </c>
    </row>
    <row r="1058" spans="1:7">
      <c r="A1058" s="6">
        <v>42919</v>
      </c>
      <c r="B1058" s="3" t="s">
        <v>2053</v>
      </c>
      <c r="C1058" s="3" t="s">
        <v>18</v>
      </c>
      <c r="D1058" s="8" t="str">
        <f>HYPERLINK("http://npthd.inbcu.com/ViewContent.aspx?filename=NPMR_CBS_2017-07-03_E.MP4$1810$1867","KEVIN CAN WAIT: kevins good story")</f>
        <v>KEVIN CAN WAIT: kevins good story</v>
      </c>
      <c r="E1058" s="3" t="s">
        <v>2897</v>
      </c>
      <c r="F1058" s="3" t="s">
        <v>2896</v>
      </c>
      <c r="G1058" s="3" t="s">
        <v>2064</v>
      </c>
    </row>
    <row r="1059" spans="1:7">
      <c r="A1059" s="6">
        <v>42919</v>
      </c>
      <c r="B1059" s="3" t="s">
        <v>2053</v>
      </c>
      <c r="C1059" s="3" t="s">
        <v>14</v>
      </c>
      <c r="D1059" s="8" t="str">
        <f>HYPERLINK("http://npthd.inbcu.com/ViewContent.aspx?filename=NPMR_CBS_2017-07-03_E.MP4$1867$1887","Big Bang Theory")</f>
        <v>Big Bang Theory</v>
      </c>
      <c r="E1059" s="3" t="s">
        <v>1805</v>
      </c>
      <c r="F1059" s="3" t="s">
        <v>2064</v>
      </c>
      <c r="G1059" s="3" t="s">
        <v>2898</v>
      </c>
    </row>
    <row r="1060" spans="1:7">
      <c r="A1060" s="6">
        <v>42919</v>
      </c>
      <c r="B1060" s="3" t="s">
        <v>2053</v>
      </c>
      <c r="C1060" s="3" t="s">
        <v>18</v>
      </c>
      <c r="D1060" s="8" t="str">
        <f>HYPERLINK("http://npthd.inbcu.com/ViewContent.aspx?filename=NPMR_CBS_2017-07-03_E.MP4$1887$1892","KEVIN CAN WAIT: kevins good story")</f>
        <v>KEVIN CAN WAIT: kevins good story</v>
      </c>
      <c r="E1060" s="3" t="s">
        <v>54</v>
      </c>
      <c r="F1060" s="3" t="s">
        <v>2898</v>
      </c>
      <c r="G1060" s="3" t="s">
        <v>1410</v>
      </c>
    </row>
    <row r="1061" spans="1:7">
      <c r="A1061" s="6">
        <v>42919</v>
      </c>
      <c r="B1061" s="3" t="s">
        <v>2053</v>
      </c>
      <c r="C1061" s="3" t="s">
        <v>14</v>
      </c>
      <c r="D1061" s="8" t="str">
        <f>HYPERLINK("http://npthd.inbcu.com/ViewContent.aspx?filename=NPMR_CBS_2017-07-03_E.MP4$1892$1897","Salvation")</f>
        <v>Salvation</v>
      </c>
      <c r="E1061" s="3" t="s">
        <v>54</v>
      </c>
      <c r="F1061" s="3" t="s">
        <v>1410</v>
      </c>
      <c r="G1061" s="3" t="s">
        <v>2273</v>
      </c>
    </row>
    <row r="1062" spans="1:7">
      <c r="A1062" s="6">
        <v>42919</v>
      </c>
      <c r="B1062" s="3" t="s">
        <v>2053</v>
      </c>
      <c r="C1062" s="3" t="s">
        <v>18</v>
      </c>
      <c r="D1062" s="8" t="str">
        <f>HYPERLINK("http://npthd.inbcu.com/ViewContent.aspx?filename=NPMR_CBS_2017-07-03_E.MP4$1897$2090","MAN WITH A PLAN: the talk")</f>
        <v>MAN WITH A PLAN: the talk</v>
      </c>
      <c r="E1062" s="3" t="s">
        <v>2899</v>
      </c>
      <c r="F1062" s="3" t="s">
        <v>2273</v>
      </c>
      <c r="G1062" s="3" t="s">
        <v>2900</v>
      </c>
    </row>
    <row r="1063" spans="1:7">
      <c r="A1063" s="6">
        <v>42919</v>
      </c>
      <c r="B1063" s="3" t="s">
        <v>2053</v>
      </c>
      <c r="C1063" s="3" t="s">
        <v>1618</v>
      </c>
      <c r="D1063" s="8" t="str">
        <f>HYPERLINK("http://npthd.inbcu.com/ViewContent.aspx?filename=NPMR_CBS_2017-07-03_E.MP4$2090$2107","PSA")</f>
        <v>PSA</v>
      </c>
      <c r="E1063" s="3" t="s">
        <v>576</v>
      </c>
      <c r="F1063" s="3" t="s">
        <v>2900</v>
      </c>
      <c r="G1063" s="3" t="s">
        <v>2901</v>
      </c>
    </row>
    <row r="1064" spans="1:7">
      <c r="A1064" s="6">
        <v>42919</v>
      </c>
      <c r="B1064" s="3" t="s">
        <v>2053</v>
      </c>
      <c r="C1064" s="3" t="s">
        <v>21</v>
      </c>
      <c r="D1064" s="8" t="str">
        <f>HYPERLINK("http://npthd.inbcu.com/ViewContent.aspx?filename=NPMR_CBS_2017-07-03_E.MP4$2107$2197","COMMERCIAL")</f>
        <v>COMMERCIAL</v>
      </c>
      <c r="E1064" s="3" t="s">
        <v>46</v>
      </c>
      <c r="F1064" s="3" t="s">
        <v>2901</v>
      </c>
      <c r="G1064" s="3" t="s">
        <v>2902</v>
      </c>
    </row>
    <row r="1065" spans="1:7">
      <c r="A1065" s="6">
        <v>42919</v>
      </c>
      <c r="B1065" s="3" t="s">
        <v>2053</v>
      </c>
      <c r="C1065" s="3" t="s">
        <v>14</v>
      </c>
      <c r="D1065" s="8" t="str">
        <f>HYPERLINK("http://npthd.inbcu.com/ViewContent.aspx?filename=NPMR_CBS_2017-07-03_E.MP4$2197$2208","Big Brother")</f>
        <v>Big Brother</v>
      </c>
      <c r="E1065" s="3" t="s">
        <v>1940</v>
      </c>
      <c r="F1065" s="3" t="s">
        <v>2902</v>
      </c>
      <c r="G1065" s="3" t="s">
        <v>2903</v>
      </c>
    </row>
    <row r="1066" spans="1:7">
      <c r="A1066" s="6">
        <v>42919</v>
      </c>
      <c r="B1066" s="3" t="s">
        <v>2053</v>
      </c>
      <c r="C1066" s="3" t="s">
        <v>18</v>
      </c>
      <c r="D1066" s="8" t="str">
        <f>HYPERLINK("http://npthd.inbcu.com/ViewContent.aspx?filename=NPMR_CBS_2017-07-03_E.MP4$2208$2658","MAN WITH A PLAN: the talk")</f>
        <v>MAN WITH A PLAN: the talk</v>
      </c>
      <c r="E1066" s="3" t="s">
        <v>2904</v>
      </c>
      <c r="F1066" s="3" t="s">
        <v>2903</v>
      </c>
      <c r="G1066" s="3" t="s">
        <v>2905</v>
      </c>
    </row>
    <row r="1067" spans="1:7">
      <c r="A1067" s="6">
        <v>42919</v>
      </c>
      <c r="B1067" s="3" t="s">
        <v>2053</v>
      </c>
      <c r="C1067" s="3" t="s">
        <v>21</v>
      </c>
      <c r="D1067" s="8" t="str">
        <f>HYPERLINK("http://npthd.inbcu.com/ViewContent.aspx?filename=NPMR_CBS_2017-07-03_E.MP4$2658$2811","COMMERCIAL")</f>
        <v>COMMERCIAL</v>
      </c>
      <c r="E1067" s="3" t="s">
        <v>1735</v>
      </c>
      <c r="F1067" s="3" t="s">
        <v>2905</v>
      </c>
      <c r="G1067" s="3" t="s">
        <v>2906</v>
      </c>
    </row>
    <row r="1068" spans="1:7">
      <c r="A1068" s="6">
        <v>42919</v>
      </c>
      <c r="B1068" s="3" t="s">
        <v>2053</v>
      </c>
      <c r="C1068" s="3" t="s">
        <v>14</v>
      </c>
      <c r="D1068" s="8" t="str">
        <f>HYPERLINK("http://npthd.inbcu.com/ViewContent.aspx?filename=NPMR_CBS_2017-07-03_E.MP4$2811$2821","Candy Crush")</f>
        <v>Candy Crush</v>
      </c>
      <c r="E1068" s="3" t="s">
        <v>197</v>
      </c>
      <c r="F1068" s="3" t="s">
        <v>2906</v>
      </c>
      <c r="G1068" s="3" t="s">
        <v>2907</v>
      </c>
    </row>
    <row r="1069" spans="1:7">
      <c r="A1069" s="6">
        <v>42919</v>
      </c>
      <c r="B1069" s="3" t="s">
        <v>2053</v>
      </c>
      <c r="C1069" s="3" t="s">
        <v>32</v>
      </c>
      <c r="D1069" s="8" t="str">
        <f>HYPERLINK("http://npthd.inbcu.com/ViewContent.aspx?filename=NPMR_CBS_2017-07-03_E.MP4$2821$2886","LOCAL")</f>
        <v>LOCAL</v>
      </c>
      <c r="E1069" s="3" t="s">
        <v>580</v>
      </c>
      <c r="F1069" s="3" t="s">
        <v>2907</v>
      </c>
      <c r="G1069" s="3" t="s">
        <v>2908</v>
      </c>
    </row>
    <row r="1070" spans="1:7">
      <c r="A1070" s="6">
        <v>42919</v>
      </c>
      <c r="B1070" s="3" t="s">
        <v>2053</v>
      </c>
      <c r="C1070" s="3" t="s">
        <v>18</v>
      </c>
      <c r="D1070" s="8" t="str">
        <f>HYPERLINK("http://npthd.inbcu.com/ViewContent.aspx?filename=NPMR_CBS_2017-07-03_E.MP4$2886$3448","MAN WITH A PLAN: the talk")</f>
        <v>MAN WITH A PLAN: the talk</v>
      </c>
      <c r="E1070" s="3" t="s">
        <v>2909</v>
      </c>
      <c r="F1070" s="3" t="s">
        <v>2908</v>
      </c>
      <c r="G1070" s="3" t="s">
        <v>2910</v>
      </c>
    </row>
    <row r="1071" spans="1:7">
      <c r="A1071" s="6">
        <v>42919</v>
      </c>
      <c r="B1071" s="3" t="s">
        <v>2053</v>
      </c>
      <c r="C1071" s="3" t="s">
        <v>21</v>
      </c>
      <c r="D1071" s="8" t="str">
        <f>HYPERLINK("http://npthd.inbcu.com/ViewContent.aspx?filename=NPMR_CBS_2017-07-03_E.MP4$3448$3613","COMMERCIAL")</f>
        <v>COMMERCIAL</v>
      </c>
      <c r="E1071" s="3" t="s">
        <v>428</v>
      </c>
      <c r="F1071" s="3" t="s">
        <v>2910</v>
      </c>
      <c r="G1071" s="3" t="s">
        <v>529</v>
      </c>
    </row>
    <row r="1072" spans="1:7">
      <c r="A1072" s="6">
        <v>42919</v>
      </c>
      <c r="B1072" s="3" t="s">
        <v>2053</v>
      </c>
      <c r="C1072" s="3" t="s">
        <v>14</v>
      </c>
      <c r="D1072" s="8" t="str">
        <f>HYPERLINK("http://npthd.inbcu.com/ViewContent.aspx?filename=NPMR_CBS_2017-07-03_E.MP4$3613$3644","Salvation")</f>
        <v>Salvation</v>
      </c>
      <c r="E1072" s="3" t="s">
        <v>98</v>
      </c>
      <c r="F1072" s="3" t="s">
        <v>529</v>
      </c>
      <c r="G1072" s="3" t="s">
        <v>2911</v>
      </c>
    </row>
    <row r="1073" spans="1:7">
      <c r="A1073" s="6">
        <v>42919</v>
      </c>
      <c r="B1073" s="3" t="s">
        <v>2053</v>
      </c>
      <c r="C1073" s="3" t="s">
        <v>18</v>
      </c>
      <c r="D1073" s="8" t="str">
        <f>HYPERLINK("http://npthd.inbcu.com/ViewContent.aspx?filename=NPMR_CBS_2017-07-03_E.MP4$3644$3667","MAN WITH A PLAN: the talk")</f>
        <v>MAN WITH A PLAN: the talk</v>
      </c>
      <c r="E1073" s="3" t="s">
        <v>2512</v>
      </c>
      <c r="F1073" s="3" t="s">
        <v>2911</v>
      </c>
      <c r="G1073" s="3" t="s">
        <v>2407</v>
      </c>
    </row>
    <row r="1074" spans="1:7">
      <c r="A1074" s="6">
        <v>42919</v>
      </c>
      <c r="B1074" s="3" t="s">
        <v>2053</v>
      </c>
      <c r="C1074" s="3" t="s">
        <v>14</v>
      </c>
      <c r="D1074" s="8" t="str">
        <f>HYPERLINK("http://npthd.inbcu.com/ViewContent.aspx?filename=NPMR_CBS_2017-07-03_E.MP4$3667$3687","Bull")</f>
        <v>Bull</v>
      </c>
      <c r="E1074" s="3" t="s">
        <v>1805</v>
      </c>
      <c r="F1074" s="3" t="s">
        <v>2407</v>
      </c>
      <c r="G1074" s="3" t="s">
        <v>2624</v>
      </c>
    </row>
    <row r="1075" spans="1:7">
      <c r="A1075" s="6">
        <v>42919</v>
      </c>
      <c r="B1075" s="3" t="s">
        <v>2053</v>
      </c>
      <c r="C1075" s="3" t="s">
        <v>18</v>
      </c>
      <c r="D1075" s="8" t="str">
        <f>HYPERLINK("http://npthd.inbcu.com/ViewContent.aspx?filename=NPMR_CBS_2017-07-03_E.MP4$3687$3692","MAN WITH A PLAN: the talk")</f>
        <v>MAN WITH A PLAN: the talk</v>
      </c>
      <c r="E1075" s="3" t="s">
        <v>54</v>
      </c>
      <c r="F1075" s="3" t="s">
        <v>2624</v>
      </c>
      <c r="G1075" s="3" t="s">
        <v>2283</v>
      </c>
    </row>
    <row r="1076" spans="1:7">
      <c r="A1076" s="6">
        <v>42919</v>
      </c>
      <c r="B1076" s="3" t="s">
        <v>2053</v>
      </c>
      <c r="C1076" s="3" t="s">
        <v>14</v>
      </c>
      <c r="D1076" s="8" t="str">
        <f>HYPERLINK("http://npthd.inbcu.com/ViewContent.aspx?filename=NPMR_CBS_2017-07-03_E.MP4$3692$3697","Late Show with Stephen Colbert")</f>
        <v>Late Show with Stephen Colbert</v>
      </c>
      <c r="E1076" s="3" t="s">
        <v>54</v>
      </c>
      <c r="F1076" s="3" t="s">
        <v>2283</v>
      </c>
      <c r="G1076" s="3" t="s">
        <v>988</v>
      </c>
    </row>
    <row r="1077" spans="1:7">
      <c r="A1077" s="6">
        <v>42919</v>
      </c>
      <c r="B1077" s="3" t="s">
        <v>2053</v>
      </c>
      <c r="C1077" s="3" t="s">
        <v>18</v>
      </c>
      <c r="D1077" s="8" t="str">
        <f>HYPERLINK("http://npthd.inbcu.com/ViewContent.aspx?filename=NPMR_CBS_2017-07-03_E.MP4$3697$3889","MOM: wind chimes and a bottomless pit of sadness")</f>
        <v>MOM: wind chimes and a bottomless pit of sadness</v>
      </c>
      <c r="E1077" s="3" t="s">
        <v>2912</v>
      </c>
      <c r="F1077" s="3" t="s">
        <v>988</v>
      </c>
      <c r="G1077" s="3" t="s">
        <v>2913</v>
      </c>
    </row>
    <row r="1078" spans="1:7">
      <c r="A1078" s="6">
        <v>42919</v>
      </c>
      <c r="B1078" s="3" t="s">
        <v>2053</v>
      </c>
      <c r="C1078" s="3" t="s">
        <v>21</v>
      </c>
      <c r="D1078" s="8" t="str">
        <f>HYPERLINK("http://npthd.inbcu.com/ViewContent.aspx?filename=NPMR_CBS_2017-07-03_E.MP4$3889$3981","COMMERCIAL")</f>
        <v>COMMERCIAL</v>
      </c>
      <c r="E1078" s="3" t="s">
        <v>267</v>
      </c>
      <c r="F1078" s="3" t="s">
        <v>2913</v>
      </c>
      <c r="G1078" s="3" t="s">
        <v>2914</v>
      </c>
    </row>
    <row r="1079" spans="1:7">
      <c r="A1079" s="6">
        <v>42919</v>
      </c>
      <c r="B1079" s="3" t="s">
        <v>2053</v>
      </c>
      <c r="C1079" s="3" t="s">
        <v>14</v>
      </c>
      <c r="D1079" s="8" t="str">
        <f>HYPERLINK("http://npthd.inbcu.com/ViewContent.aspx?filename=NPMR_CBS_2017-07-03_E.MP4$3981$4001","Candy Crush")</f>
        <v>Candy Crush</v>
      </c>
      <c r="E1079" s="3" t="s">
        <v>1805</v>
      </c>
      <c r="F1079" s="3" t="s">
        <v>2914</v>
      </c>
      <c r="G1079" s="3" t="s">
        <v>2915</v>
      </c>
    </row>
    <row r="1080" spans="1:7">
      <c r="A1080" s="6">
        <v>42919</v>
      </c>
      <c r="B1080" s="3" t="s">
        <v>2053</v>
      </c>
      <c r="C1080" s="3" t="s">
        <v>14</v>
      </c>
      <c r="D1080" s="8" t="str">
        <f>HYPERLINK("http://npthd.inbcu.com/ViewContent.aspx?filename=NPMR_CBS_2017-07-03_E.MP4$4001$4011","Young Sheldon")</f>
        <v>Young Sheldon</v>
      </c>
      <c r="E1080" s="3" t="s">
        <v>197</v>
      </c>
      <c r="F1080" s="3" t="s">
        <v>2915</v>
      </c>
      <c r="G1080" s="3" t="s">
        <v>2916</v>
      </c>
    </row>
    <row r="1081" spans="1:7">
      <c r="A1081" s="6">
        <v>42919</v>
      </c>
      <c r="B1081" s="3" t="s">
        <v>2053</v>
      </c>
      <c r="C1081" s="3" t="s">
        <v>18</v>
      </c>
      <c r="D1081" s="8" t="str">
        <f>HYPERLINK("http://npthd.inbcu.com/ViewContent.aspx?filename=NPMR_CBS_2017-07-03_E.MP4$4011$4560","MOM: wind chimes and a bottomless pit of sadness")</f>
        <v>MOM: wind chimes and a bottomless pit of sadness</v>
      </c>
      <c r="E1081" s="3" t="s">
        <v>41</v>
      </c>
      <c r="F1081" s="3" t="s">
        <v>2916</v>
      </c>
      <c r="G1081" s="3" t="s">
        <v>2917</v>
      </c>
    </row>
    <row r="1082" spans="1:7">
      <c r="A1082" s="6">
        <v>42919</v>
      </c>
      <c r="B1082" s="3" t="s">
        <v>2053</v>
      </c>
      <c r="C1082" s="3" t="s">
        <v>21</v>
      </c>
      <c r="D1082" s="8" t="str">
        <f>HYPERLINK("http://npthd.inbcu.com/ViewContent.aspx?filename=NPMR_CBS_2017-07-03_E.MP4$4560$4711","COMMERCIAL")</f>
        <v>COMMERCIAL</v>
      </c>
      <c r="E1082" s="3" t="s">
        <v>91</v>
      </c>
      <c r="F1082" s="3" t="s">
        <v>2917</v>
      </c>
      <c r="G1082" s="3" t="s">
        <v>2918</v>
      </c>
    </row>
    <row r="1083" spans="1:7">
      <c r="A1083" s="6">
        <v>42919</v>
      </c>
      <c r="B1083" s="3" t="s">
        <v>2053</v>
      </c>
      <c r="C1083" s="3" t="s">
        <v>14</v>
      </c>
      <c r="D1083" s="8" t="str">
        <f>HYPERLINK("http://npthd.inbcu.com/ViewContent.aspx?filename=NPMR_CBS_2017-07-03_E.MP4$4711$4728","Salvation")</f>
        <v>Salvation</v>
      </c>
      <c r="E1083" s="3" t="s">
        <v>576</v>
      </c>
      <c r="F1083" s="3" t="s">
        <v>2918</v>
      </c>
      <c r="G1083" s="3" t="s">
        <v>2919</v>
      </c>
    </row>
    <row r="1084" spans="1:7">
      <c r="A1084" s="6">
        <v>42919</v>
      </c>
      <c r="B1084" s="3" t="s">
        <v>2053</v>
      </c>
      <c r="C1084" s="3" t="s">
        <v>32</v>
      </c>
      <c r="D1084" s="8" t="str">
        <f>HYPERLINK("http://npthd.inbcu.com/ViewContent.aspx?filename=NPMR_CBS_2017-07-03_E.MP4$4728$4793","LOCAL")</f>
        <v>LOCAL</v>
      </c>
      <c r="E1084" s="3" t="s">
        <v>580</v>
      </c>
      <c r="F1084" s="3" t="s">
        <v>2919</v>
      </c>
      <c r="G1084" s="3" t="s">
        <v>2285</v>
      </c>
    </row>
    <row r="1085" spans="1:7">
      <c r="A1085" s="6">
        <v>42919</v>
      </c>
      <c r="B1085" s="3" t="s">
        <v>2053</v>
      </c>
      <c r="C1085" s="3" t="s">
        <v>18</v>
      </c>
      <c r="D1085" s="8" t="str">
        <f>HYPERLINK("http://npthd.inbcu.com/ViewContent.aspx?filename=NPMR_CBS_2017-07-03_E.MP4$4793$5202","MOM: wind chimes and a bottomless pit of sadness")</f>
        <v>MOM: wind chimes and a bottomless pit of sadness</v>
      </c>
      <c r="E1085" s="3" t="s">
        <v>2920</v>
      </c>
      <c r="F1085" s="3" t="s">
        <v>2285</v>
      </c>
      <c r="G1085" s="3" t="s">
        <v>2921</v>
      </c>
    </row>
    <row r="1086" spans="1:7">
      <c r="A1086" s="6">
        <v>42919</v>
      </c>
      <c r="B1086" s="3" t="s">
        <v>2053</v>
      </c>
      <c r="C1086" s="3" t="s">
        <v>21</v>
      </c>
      <c r="D1086" s="8" t="str">
        <f>HYPERLINK("http://npthd.inbcu.com/ViewContent.aspx?filename=NPMR_CBS_2017-07-03_E.MP4$5202$5369","COMMERCIAL")</f>
        <v>COMMERCIAL</v>
      </c>
      <c r="E1086" s="3" t="s">
        <v>1217</v>
      </c>
      <c r="F1086" s="3" t="s">
        <v>2921</v>
      </c>
      <c r="G1086" s="3" t="s">
        <v>2922</v>
      </c>
    </row>
    <row r="1087" spans="1:7">
      <c r="A1087" s="6">
        <v>42919</v>
      </c>
      <c r="B1087" s="3" t="s">
        <v>2053</v>
      </c>
      <c r="C1087" s="3" t="s">
        <v>14</v>
      </c>
      <c r="D1087" s="8" t="str">
        <f>HYPERLINK("http://npthd.inbcu.com/ViewContent.aspx?filename=NPMR_CBS_2017-07-03_E.MP4$5369$5379","Big Brother")</f>
        <v>Big Brother</v>
      </c>
      <c r="E1087" s="3" t="s">
        <v>197</v>
      </c>
      <c r="F1087" s="3" t="s">
        <v>2922</v>
      </c>
      <c r="G1087" s="3" t="s">
        <v>2923</v>
      </c>
    </row>
    <row r="1088" spans="1:7">
      <c r="A1088" s="6">
        <v>42919</v>
      </c>
      <c r="B1088" s="3" t="s">
        <v>2053</v>
      </c>
      <c r="C1088" s="3" t="s">
        <v>14</v>
      </c>
      <c r="D1088" s="8" t="str">
        <f>HYPERLINK("http://npthd.inbcu.com/ViewContent.aspx?filename=NPMR_CBS_2017-07-03_E.MP4$5379$5391","Me, Myself &amp; I")</f>
        <v>Me, Myself &amp; I</v>
      </c>
      <c r="E1088" s="3" t="s">
        <v>2057</v>
      </c>
      <c r="F1088" s="3" t="s">
        <v>2923</v>
      </c>
      <c r="G1088" s="3" t="s">
        <v>2924</v>
      </c>
    </row>
    <row r="1089" spans="1:7">
      <c r="A1089" s="6">
        <v>42919</v>
      </c>
      <c r="B1089" s="3" t="s">
        <v>2053</v>
      </c>
      <c r="C1089" s="3" t="s">
        <v>18</v>
      </c>
      <c r="D1089" s="8" t="str">
        <f>HYPERLINK("http://npthd.inbcu.com/ViewContent.aspx?filename=NPMR_CBS_2017-07-03_E.MP4$5391$5467","MOM: wind chimes and a bottomless pit of sadness")</f>
        <v>MOM: wind chimes and a bottomless pit of sadness</v>
      </c>
      <c r="E1089" s="3" t="s">
        <v>594</v>
      </c>
      <c r="F1089" s="3" t="s">
        <v>2924</v>
      </c>
      <c r="G1089" s="3" t="s">
        <v>2925</v>
      </c>
    </row>
    <row r="1090" spans="1:7">
      <c r="A1090" s="6">
        <v>42919</v>
      </c>
      <c r="B1090" s="3" t="s">
        <v>2053</v>
      </c>
      <c r="C1090" s="3" t="s">
        <v>14</v>
      </c>
      <c r="D1090" s="8" t="str">
        <f>HYPERLINK("http://npthd.inbcu.com/ViewContent.aspx?filename=NPMR_CBS_2017-07-03_E.MP4$5467$5487","Big Brother")</f>
        <v>Big Brother</v>
      </c>
      <c r="E1090" s="3" t="s">
        <v>1805</v>
      </c>
      <c r="F1090" s="3" t="s">
        <v>2925</v>
      </c>
      <c r="G1090" s="3" t="s">
        <v>2926</v>
      </c>
    </row>
    <row r="1091" spans="1:7">
      <c r="A1091" s="6">
        <v>42919</v>
      </c>
      <c r="B1091" s="3" t="s">
        <v>2053</v>
      </c>
      <c r="C1091" s="3" t="s">
        <v>18</v>
      </c>
      <c r="D1091" s="8" t="str">
        <f>HYPERLINK("http://npthd.inbcu.com/ViewContent.aspx?filename=NPMR_CBS_2017-07-03_E.MP4$5487$5492","MOM: wind chimes and a bottomless pit of sadness")</f>
        <v>MOM: wind chimes and a bottomless pit of sadness</v>
      </c>
      <c r="E1091" s="3" t="s">
        <v>54</v>
      </c>
      <c r="F1091" s="3" t="s">
        <v>2926</v>
      </c>
      <c r="G1091" s="3" t="s">
        <v>2093</v>
      </c>
    </row>
    <row r="1092" spans="1:7">
      <c r="A1092" s="6">
        <v>42919</v>
      </c>
      <c r="B1092" s="3" t="s">
        <v>2053</v>
      </c>
      <c r="C1092" s="3" t="s">
        <v>14</v>
      </c>
      <c r="D1092" s="8" t="str">
        <f>HYPERLINK("http://npthd.inbcu.com/ViewContent.aspx?filename=NPMR_CBS_2017-07-03_E.MP4$5492$5497","Young Sheldon")</f>
        <v>Young Sheldon</v>
      </c>
      <c r="E1092" s="3" t="s">
        <v>54</v>
      </c>
      <c r="F1092" s="3" t="s">
        <v>2093</v>
      </c>
      <c r="G1092" s="3" t="s">
        <v>2927</v>
      </c>
    </row>
    <row r="1093" spans="1:7">
      <c r="A1093" s="6">
        <v>42919</v>
      </c>
      <c r="B1093" s="3" t="s">
        <v>2053</v>
      </c>
      <c r="C1093" s="3" t="s">
        <v>18</v>
      </c>
      <c r="D1093" s="8" t="str">
        <f>HYPERLINK("http://npthd.inbcu.com/ViewContent.aspx?filename=NPMR_CBS_2017-07-03_E.MP4$5497$6089","LIFE IN PIECES: annulled roommate pill shower")</f>
        <v>LIFE IN PIECES: annulled roommate pill shower</v>
      </c>
      <c r="E1093" s="3" t="s">
        <v>2928</v>
      </c>
      <c r="F1093" s="3" t="s">
        <v>2927</v>
      </c>
      <c r="G1093" s="3" t="s">
        <v>2153</v>
      </c>
    </row>
    <row r="1094" spans="1:7">
      <c r="A1094" s="6">
        <v>42919</v>
      </c>
      <c r="B1094" s="3" t="s">
        <v>2053</v>
      </c>
      <c r="C1094" s="3" t="s">
        <v>21</v>
      </c>
      <c r="D1094" s="8" t="str">
        <f>HYPERLINK("http://npthd.inbcu.com/ViewContent.aspx?filename=NPMR_CBS_2017-07-03_E.MP4$6089$6212","COMMERCIAL")</f>
        <v>COMMERCIAL</v>
      </c>
      <c r="E1094" s="3" t="s">
        <v>2722</v>
      </c>
      <c r="F1094" s="3" t="s">
        <v>2153</v>
      </c>
      <c r="G1094" s="3" t="s">
        <v>2929</v>
      </c>
    </row>
    <row r="1095" spans="1:7">
      <c r="A1095" s="6">
        <v>42919</v>
      </c>
      <c r="B1095" s="3" t="s">
        <v>2053</v>
      </c>
      <c r="C1095" s="3" t="s">
        <v>14</v>
      </c>
      <c r="D1095" s="8" t="str">
        <f>HYPERLINK("http://npthd.inbcu.com/ViewContent.aspx?filename=NPMR_CBS_2017-07-03_E.MP4$6212$6222","Candy Crush")</f>
        <v>Candy Crush</v>
      </c>
      <c r="E1095" s="3" t="s">
        <v>197</v>
      </c>
      <c r="F1095" s="3" t="s">
        <v>2929</v>
      </c>
      <c r="G1095" s="3" t="s">
        <v>2930</v>
      </c>
    </row>
    <row r="1096" spans="1:7">
      <c r="A1096" s="6">
        <v>42919</v>
      </c>
      <c r="B1096" s="3" t="s">
        <v>2053</v>
      </c>
      <c r="C1096" s="3" t="s">
        <v>14</v>
      </c>
      <c r="D1096" s="8" t="str">
        <f>HYPERLINK("http://npthd.inbcu.com/ViewContent.aspx?filename=NPMR_CBS_2017-07-03_E.MP4$6222$6232","9JKL")</f>
        <v>9JKL</v>
      </c>
      <c r="E1096" s="3" t="s">
        <v>197</v>
      </c>
      <c r="F1096" s="3" t="s">
        <v>2930</v>
      </c>
      <c r="G1096" s="3" t="s">
        <v>2475</v>
      </c>
    </row>
    <row r="1097" spans="1:7">
      <c r="A1097" s="6">
        <v>42919</v>
      </c>
      <c r="B1097" s="3" t="s">
        <v>2053</v>
      </c>
      <c r="C1097" s="3" t="s">
        <v>18</v>
      </c>
      <c r="D1097" s="8" t="str">
        <f>HYPERLINK("http://npthd.inbcu.com/ViewContent.aspx?filename=NPMR_CBS_2017-07-03_E.MP4$6232$6485","LIFE IN PIECES: annulled roommate pill shower")</f>
        <v>LIFE IN PIECES: annulled roommate pill shower</v>
      </c>
      <c r="E1097" s="3" t="s">
        <v>2105</v>
      </c>
      <c r="F1097" s="3" t="s">
        <v>2475</v>
      </c>
      <c r="G1097" s="3" t="s">
        <v>2931</v>
      </c>
    </row>
    <row r="1098" spans="1:7">
      <c r="A1098" s="6">
        <v>42919</v>
      </c>
      <c r="B1098" s="3" t="s">
        <v>2053</v>
      </c>
      <c r="C1098" s="3" t="s">
        <v>21</v>
      </c>
      <c r="D1098" s="8" t="str">
        <f>HYPERLINK("http://npthd.inbcu.com/ViewContent.aspx?filename=NPMR_CBS_2017-07-03_E.MP4$6485$6637","COMMERCIAL")</f>
        <v>COMMERCIAL</v>
      </c>
      <c r="E1098" s="3" t="s">
        <v>128</v>
      </c>
      <c r="F1098" s="3" t="s">
        <v>2931</v>
      </c>
      <c r="G1098" s="3" t="s">
        <v>1862</v>
      </c>
    </row>
    <row r="1099" spans="1:7">
      <c r="A1099" s="6">
        <v>42919</v>
      </c>
      <c r="B1099" s="3" t="s">
        <v>2053</v>
      </c>
      <c r="C1099" s="3" t="s">
        <v>14</v>
      </c>
      <c r="D1099" s="8" t="str">
        <f>HYPERLINK("http://npthd.inbcu.com/ViewContent.aspx?filename=NPMR_CBS_2017-07-03_E.MP4$6637$6647","Big Brother")</f>
        <v>Big Brother</v>
      </c>
      <c r="E1099" s="3" t="s">
        <v>197</v>
      </c>
      <c r="F1099" s="3" t="s">
        <v>1862</v>
      </c>
      <c r="G1099" s="3" t="s">
        <v>2932</v>
      </c>
    </row>
    <row r="1100" spans="1:7">
      <c r="A1100" s="6">
        <v>42919</v>
      </c>
      <c r="B1100" s="3" t="s">
        <v>2053</v>
      </c>
      <c r="C1100" s="3" t="s">
        <v>32</v>
      </c>
      <c r="D1100" s="8" t="str">
        <f>HYPERLINK("http://npthd.inbcu.com/ViewContent.aspx?filename=NPMR_CBS_2017-07-03_E.MP4$6647$6712","LOCAL")</f>
        <v>LOCAL</v>
      </c>
      <c r="E1100" s="3" t="s">
        <v>580</v>
      </c>
      <c r="F1100" s="3" t="s">
        <v>2932</v>
      </c>
      <c r="G1100" s="3" t="s">
        <v>2933</v>
      </c>
    </row>
    <row r="1101" spans="1:7">
      <c r="A1101" s="6">
        <v>42919</v>
      </c>
      <c r="B1101" s="3" t="s">
        <v>2053</v>
      </c>
      <c r="C1101" s="3" t="s">
        <v>18</v>
      </c>
      <c r="D1101" s="8" t="str">
        <f>HYPERLINK("http://npthd.inbcu.com/ViewContent.aspx?filename=NPMR_CBS_2017-07-03_E.MP4$6712$6924","LIFE IN PIECES: annulled roommate pill shower")</f>
        <v>LIFE IN PIECES: annulled roommate pill shower</v>
      </c>
      <c r="E1101" s="3" t="s">
        <v>891</v>
      </c>
      <c r="F1101" s="3" t="s">
        <v>2933</v>
      </c>
      <c r="G1101" s="3" t="s">
        <v>2934</v>
      </c>
    </row>
    <row r="1102" spans="1:7">
      <c r="A1102" s="6">
        <v>42919</v>
      </c>
      <c r="B1102" s="3" t="s">
        <v>2053</v>
      </c>
      <c r="C1102" s="3" t="s">
        <v>21</v>
      </c>
      <c r="D1102" s="8" t="str">
        <f>HYPERLINK("http://npthd.inbcu.com/ViewContent.aspx?filename=NPMR_CBS_2017-07-03_E.MP4$6924$7060","COMMERCIAL")</f>
        <v>COMMERCIAL</v>
      </c>
      <c r="E1102" s="3" t="s">
        <v>668</v>
      </c>
      <c r="F1102" s="3" t="s">
        <v>2934</v>
      </c>
      <c r="G1102" s="3" t="s">
        <v>2935</v>
      </c>
    </row>
    <row r="1103" spans="1:7">
      <c r="A1103" s="6">
        <v>42919</v>
      </c>
      <c r="B1103" s="3" t="s">
        <v>2053</v>
      </c>
      <c r="C1103" s="3" t="s">
        <v>14</v>
      </c>
      <c r="D1103" s="8" t="str">
        <f>HYPERLINK("http://npthd.inbcu.com/ViewContent.aspx?filename=NPMR_CBS_2017-07-03_E.MP4$7060$7072","Talk, The")</f>
        <v>Talk, The</v>
      </c>
      <c r="E1103" s="3" t="s">
        <v>2057</v>
      </c>
      <c r="F1103" s="3" t="s">
        <v>2935</v>
      </c>
      <c r="G1103" s="3" t="s">
        <v>2936</v>
      </c>
    </row>
    <row r="1104" spans="1:7">
      <c r="A1104" s="6">
        <v>42919</v>
      </c>
      <c r="B1104" s="3" t="s">
        <v>2053</v>
      </c>
      <c r="C1104" s="3" t="s">
        <v>18</v>
      </c>
      <c r="D1104" s="8" t="str">
        <f>HYPERLINK("http://npthd.inbcu.com/ViewContent.aspx?filename=NPMR_CBS_2017-07-03_E.MP4$7072$7266","LIFE IN PIECES: annulled roommate pill shower")</f>
        <v>LIFE IN PIECES: annulled roommate pill shower</v>
      </c>
      <c r="E1104" s="3" t="s">
        <v>2937</v>
      </c>
      <c r="F1104" s="3" t="s">
        <v>2936</v>
      </c>
      <c r="G1104" s="3" t="s">
        <v>2299</v>
      </c>
    </row>
    <row r="1105" spans="1:7">
      <c r="A1105" s="6">
        <v>42919</v>
      </c>
      <c r="B1105" s="3" t="s">
        <v>2053</v>
      </c>
      <c r="C1105" s="3" t="s">
        <v>14</v>
      </c>
      <c r="D1105" s="8" t="str">
        <f>HYPERLINK("http://npthd.inbcu.com/ViewContent.aspx?filename=NPMR_CBS_2017-07-03_E.MP4$7266$7287","Bull")</f>
        <v>Bull</v>
      </c>
      <c r="E1105" s="3" t="s">
        <v>2067</v>
      </c>
      <c r="F1105" s="3" t="s">
        <v>2299</v>
      </c>
      <c r="G1105" s="3" t="s">
        <v>183</v>
      </c>
    </row>
    <row r="1106" spans="1:7">
      <c r="A1106" s="6">
        <v>42919</v>
      </c>
      <c r="B1106" s="3" t="s">
        <v>2053</v>
      </c>
      <c r="C1106" s="3" t="s">
        <v>18</v>
      </c>
      <c r="D1106" s="8" t="str">
        <f>HYPERLINK("http://npthd.inbcu.com/ViewContent.aspx?filename=NPMR_CBS_2017-07-03_E.MP4$7287$7292","LIFE IN PIECES: annulled roommate pill shower")</f>
        <v>LIFE IN PIECES: annulled roommate pill shower</v>
      </c>
      <c r="E1106" s="3" t="s">
        <v>54</v>
      </c>
      <c r="F1106" s="3" t="s">
        <v>183</v>
      </c>
      <c r="G1106" s="3" t="s">
        <v>1008</v>
      </c>
    </row>
    <row r="1107" spans="1:7">
      <c r="A1107" s="6">
        <v>42919</v>
      </c>
      <c r="B1107" s="3" t="s">
        <v>2053</v>
      </c>
      <c r="C1107" s="3" t="s">
        <v>14</v>
      </c>
      <c r="D1107" s="8" t="str">
        <f>HYPERLINK("http://npthd.inbcu.com/ViewContent.aspx?filename=NPMR_CBS_2017-07-03_E.MP4$7292$7297","Late Show with Stephen Colbert")</f>
        <v>Late Show with Stephen Colbert</v>
      </c>
      <c r="E1107" s="3" t="s">
        <v>54</v>
      </c>
      <c r="F1107" s="3" t="s">
        <v>1008</v>
      </c>
      <c r="G1107" s="3" t="s">
        <v>1009</v>
      </c>
    </row>
    <row r="1108" spans="1:7">
      <c r="A1108" s="6">
        <v>42919</v>
      </c>
      <c r="B1108" s="3" t="s">
        <v>2053</v>
      </c>
      <c r="C1108" s="3" t="s">
        <v>18</v>
      </c>
      <c r="D1108" s="8" t="str">
        <f>HYPERLINK("http://npthd.inbcu.com/ViewContent.aspx?filename=NPMR_CBS_2017-07-03_E.MP4$7297$7790","SCORPION: faux monkey maux problems")</f>
        <v>SCORPION: faux monkey maux problems</v>
      </c>
      <c r="E1108" s="3" t="s">
        <v>2751</v>
      </c>
      <c r="F1108" s="3" t="s">
        <v>1009</v>
      </c>
      <c r="G1108" s="3" t="s">
        <v>2938</v>
      </c>
    </row>
    <row r="1109" spans="1:7">
      <c r="A1109" s="6">
        <v>42919</v>
      </c>
      <c r="B1109" s="3" t="s">
        <v>2053</v>
      </c>
      <c r="C1109" s="3" t="s">
        <v>21</v>
      </c>
      <c r="D1109" s="8" t="str">
        <f>HYPERLINK("http://npthd.inbcu.com/ViewContent.aspx?filename=NPMR_CBS_2017-07-03_E.MP4$7790$7942","COMMERCIAL")</f>
        <v>COMMERCIAL</v>
      </c>
      <c r="E1109" s="3" t="s">
        <v>128</v>
      </c>
      <c r="F1109" s="3" t="s">
        <v>2938</v>
      </c>
      <c r="G1109" s="3" t="s">
        <v>399</v>
      </c>
    </row>
    <row r="1110" spans="1:7">
      <c r="A1110" s="6">
        <v>42919</v>
      </c>
      <c r="B1110" s="3" t="s">
        <v>2053</v>
      </c>
      <c r="C1110" s="3" t="s">
        <v>14</v>
      </c>
      <c r="D1110" s="8" t="str">
        <f>HYPERLINK("http://npthd.inbcu.com/ViewContent.aspx?filename=NPMR_CBS_2017-07-03_E.MP4$7942$7962","Salvation")</f>
        <v>Salvation</v>
      </c>
      <c r="E1110" s="3" t="s">
        <v>1805</v>
      </c>
      <c r="F1110" s="3" t="s">
        <v>399</v>
      </c>
      <c r="G1110" s="3" t="s">
        <v>2939</v>
      </c>
    </row>
    <row r="1111" spans="1:7">
      <c r="A1111" s="6">
        <v>42919</v>
      </c>
      <c r="B1111" s="3" t="s">
        <v>2053</v>
      </c>
      <c r="C1111" s="3" t="s">
        <v>14</v>
      </c>
      <c r="D1111" s="8" t="str">
        <f>HYPERLINK("http://npthd.inbcu.com/ViewContent.aspx?filename=NPMR_CBS_2017-07-03_E.MP4$7962$7977","CBS All Access")</f>
        <v>CBS All Access</v>
      </c>
      <c r="E1111" s="3" t="s">
        <v>30</v>
      </c>
      <c r="F1111" s="3" t="s">
        <v>2939</v>
      </c>
      <c r="G1111" s="3" t="s">
        <v>2940</v>
      </c>
    </row>
    <row r="1112" spans="1:7">
      <c r="A1112" s="6">
        <v>42919</v>
      </c>
      <c r="B1112" s="3" t="s">
        <v>2053</v>
      </c>
      <c r="C1112" s="3" t="s">
        <v>18</v>
      </c>
      <c r="D1112" s="8" t="str">
        <f>HYPERLINK("http://npthd.inbcu.com/ViewContent.aspx?filename=NPMR_CBS_2017-07-03_E.MP4$7977$8669","SCORPION: faux monkey maux problems")</f>
        <v>SCORPION: faux monkey maux problems</v>
      </c>
      <c r="E1112" s="3" t="s">
        <v>2941</v>
      </c>
      <c r="F1112" s="3" t="s">
        <v>2940</v>
      </c>
      <c r="G1112" s="3" t="s">
        <v>2942</v>
      </c>
    </row>
    <row r="1113" spans="1:7">
      <c r="A1113" s="6">
        <v>42919</v>
      </c>
      <c r="B1113" s="3" t="s">
        <v>2053</v>
      </c>
      <c r="C1113" s="3" t="s">
        <v>21</v>
      </c>
      <c r="D1113" s="8" t="str">
        <f>HYPERLINK("http://npthd.inbcu.com/ViewContent.aspx?filename=NPMR_CBS_2017-07-03_E.MP4$8669$8819","COMMERCIAL")</f>
        <v>COMMERCIAL</v>
      </c>
      <c r="E1113" s="3" t="s">
        <v>28</v>
      </c>
      <c r="F1113" s="3" t="s">
        <v>2942</v>
      </c>
      <c r="G1113" s="3" t="s">
        <v>1377</v>
      </c>
    </row>
    <row r="1114" spans="1:7">
      <c r="A1114" s="6">
        <v>42919</v>
      </c>
      <c r="B1114" s="3" t="s">
        <v>2053</v>
      </c>
      <c r="C1114" s="3" t="s">
        <v>14</v>
      </c>
      <c r="D1114" s="8" t="str">
        <f>HYPERLINK("http://npthd.inbcu.com/ViewContent.aspx?filename=NPMR_CBS_2017-07-03_E.MP4$8819$8834","Big Brother")</f>
        <v>Big Brother</v>
      </c>
      <c r="E1114" s="3" t="s">
        <v>30</v>
      </c>
      <c r="F1114" s="3" t="s">
        <v>1377</v>
      </c>
      <c r="G1114" s="3" t="s">
        <v>917</v>
      </c>
    </row>
    <row r="1115" spans="1:7">
      <c r="A1115" s="6">
        <v>42919</v>
      </c>
      <c r="B1115" s="3" t="s">
        <v>2053</v>
      </c>
      <c r="C1115" s="3" t="s">
        <v>14</v>
      </c>
      <c r="D1115" s="8" t="str">
        <f>HYPERLINK("http://npthd.inbcu.com/ViewContent.aspx?filename=NPMR_CBS_2017-07-03_E.MP4$8834$8854","Candy Crush")</f>
        <v>Candy Crush</v>
      </c>
      <c r="E1115" s="3" t="s">
        <v>1805</v>
      </c>
      <c r="F1115" s="3" t="s">
        <v>917</v>
      </c>
      <c r="G1115" s="3" t="s">
        <v>2943</v>
      </c>
    </row>
    <row r="1116" spans="1:7">
      <c r="A1116" s="6">
        <v>42919</v>
      </c>
      <c r="B1116" s="3" t="s">
        <v>2053</v>
      </c>
      <c r="C1116" s="3" t="s">
        <v>18</v>
      </c>
      <c r="D1116" s="8" t="str">
        <f>HYPERLINK("http://npthd.inbcu.com/ViewContent.aspx?filename=NPMR_CBS_2017-07-03_E.MP4$8854$9339","SCORPION: faux monkey maux problems")</f>
        <v>SCORPION: faux monkey maux problems</v>
      </c>
      <c r="E1116" s="3" t="s">
        <v>727</v>
      </c>
      <c r="F1116" s="3" t="s">
        <v>2943</v>
      </c>
      <c r="G1116" s="3" t="s">
        <v>2944</v>
      </c>
    </row>
    <row r="1117" spans="1:7">
      <c r="A1117" s="6">
        <v>42919</v>
      </c>
      <c r="B1117" s="3" t="s">
        <v>2053</v>
      </c>
      <c r="C1117" s="3" t="s">
        <v>21</v>
      </c>
      <c r="D1117" s="8" t="str">
        <f>HYPERLINK("http://npthd.inbcu.com/ViewContent.aspx?filename=NPMR_CBS_2017-07-03_E.MP4$9339$9462","COMMERCIAL")</f>
        <v>COMMERCIAL</v>
      </c>
      <c r="E1117" s="3" t="s">
        <v>2722</v>
      </c>
      <c r="F1117" s="3" t="s">
        <v>2944</v>
      </c>
      <c r="G1117" s="3" t="s">
        <v>2945</v>
      </c>
    </row>
    <row r="1118" spans="1:7">
      <c r="A1118" s="6">
        <v>42919</v>
      </c>
      <c r="B1118" s="3" t="s">
        <v>2053</v>
      </c>
      <c r="C1118" s="3" t="s">
        <v>32</v>
      </c>
      <c r="D1118" s="8" t="str">
        <f>HYPERLINK("http://npthd.inbcu.com/ViewContent.aspx?filename=NPMR_CBS_2017-07-03_E.MP4$9462$9601","LOCAL")</f>
        <v>LOCAL</v>
      </c>
      <c r="E1118" s="3" t="s">
        <v>1958</v>
      </c>
      <c r="F1118" s="3" t="s">
        <v>2945</v>
      </c>
      <c r="G1118" s="3" t="s">
        <v>2946</v>
      </c>
    </row>
    <row r="1119" spans="1:7">
      <c r="A1119" s="6">
        <v>42919</v>
      </c>
      <c r="B1119" s="3" t="s">
        <v>2053</v>
      </c>
      <c r="C1119" s="3" t="s">
        <v>18</v>
      </c>
      <c r="D1119" s="8" t="str">
        <f>HYPERLINK("http://npthd.inbcu.com/ViewContent.aspx?filename=NPMR_CBS_2017-07-03_E.MP4$9601$10079","SCORPION: faux monkey maux problems")</f>
        <v>SCORPION: faux monkey maux problems</v>
      </c>
      <c r="E1119" s="3" t="s">
        <v>908</v>
      </c>
      <c r="F1119" s="3" t="s">
        <v>2946</v>
      </c>
      <c r="G1119" s="3" t="s">
        <v>2947</v>
      </c>
    </row>
    <row r="1120" spans="1:7">
      <c r="A1120" s="6">
        <v>42919</v>
      </c>
      <c r="B1120" s="3" t="s">
        <v>2053</v>
      </c>
      <c r="C1120" s="3" t="s">
        <v>21</v>
      </c>
      <c r="D1120" s="8" t="str">
        <f>HYPERLINK("http://npthd.inbcu.com/ViewContent.aspx?filename=NPMR_CBS_2017-07-03_E.MP4$10079$10261","COMMERCIAL")</f>
        <v>COMMERCIAL</v>
      </c>
      <c r="E1120" s="3" t="s">
        <v>275</v>
      </c>
      <c r="F1120" s="3" t="s">
        <v>2947</v>
      </c>
      <c r="G1120" s="3" t="s">
        <v>2948</v>
      </c>
    </row>
    <row r="1121" spans="1:7">
      <c r="A1121" s="6">
        <v>42919</v>
      </c>
      <c r="B1121" s="3" t="s">
        <v>2053</v>
      </c>
      <c r="C1121" s="3" t="s">
        <v>14</v>
      </c>
      <c r="D1121" s="8" t="str">
        <f>HYPERLINK("http://npthd.inbcu.com/ViewContent.aspx?filename=NPMR_CBS_2017-07-03_E.MP4$10261$10272","Late Show with Stephen Colbert")</f>
        <v>Late Show with Stephen Colbert</v>
      </c>
      <c r="E1121" s="3" t="s">
        <v>1940</v>
      </c>
      <c r="F1121" s="3" t="s">
        <v>2948</v>
      </c>
      <c r="G1121" s="3" t="s">
        <v>2949</v>
      </c>
    </row>
    <row r="1122" spans="1:7">
      <c r="A1122" s="6">
        <v>42919</v>
      </c>
      <c r="B1122" s="3" t="s">
        <v>2053</v>
      </c>
      <c r="C1122" s="3" t="s">
        <v>14</v>
      </c>
      <c r="D1122" s="8" t="str">
        <f>HYPERLINK("http://npthd.inbcu.com/ViewContent.aspx?filename=NPMR_CBS_2017-07-03_E.MP4$10272$10282","Bull")</f>
        <v>Bull</v>
      </c>
      <c r="E1122" s="3" t="s">
        <v>197</v>
      </c>
      <c r="F1122" s="3" t="s">
        <v>2949</v>
      </c>
      <c r="G1122" s="3" t="s">
        <v>2950</v>
      </c>
    </row>
    <row r="1123" spans="1:7">
      <c r="A1123" s="6">
        <v>42919</v>
      </c>
      <c r="B1123" s="3" t="s">
        <v>2053</v>
      </c>
      <c r="C1123" s="3" t="s">
        <v>14</v>
      </c>
      <c r="D1123" s="8" t="str">
        <f>HYPERLINK("http://npthd.inbcu.com/ViewContent.aspx?filename=NPMR_CBS_2017-07-03_E.MP4$10282$10302","Wisdom of the Crowd")</f>
        <v>Wisdom of the Crowd</v>
      </c>
      <c r="E1123" s="3" t="s">
        <v>1805</v>
      </c>
      <c r="F1123" s="3" t="s">
        <v>2950</v>
      </c>
      <c r="G1123" s="3" t="s">
        <v>2120</v>
      </c>
    </row>
    <row r="1124" spans="1:7">
      <c r="A1124" s="6">
        <v>42919</v>
      </c>
      <c r="B1124" s="3" t="s">
        <v>2053</v>
      </c>
      <c r="C1124" s="3" t="s">
        <v>32</v>
      </c>
      <c r="D1124" s="8" t="str">
        <f>HYPERLINK("http://npthd.inbcu.com/ViewContent.aspx?filename=NPMR_CBS_2017-07-03_E.MP4$10302$10397","LOCAL")</f>
        <v>LOCAL</v>
      </c>
      <c r="E1124" s="3" t="s">
        <v>2076</v>
      </c>
      <c r="F1124" s="3" t="s">
        <v>2120</v>
      </c>
      <c r="G1124" s="3" t="s">
        <v>2121</v>
      </c>
    </row>
    <row r="1125" spans="1:7">
      <c r="A1125" s="6">
        <v>42919</v>
      </c>
      <c r="B1125" s="3" t="s">
        <v>2053</v>
      </c>
      <c r="C1125" s="3" t="s">
        <v>18</v>
      </c>
      <c r="D1125" s="8" t="str">
        <f>HYPERLINK("http://npthd.inbcu.com/ViewContent.aspx?filename=NPMR_CBS_2017-07-03_E.MP4$10397$10775","SCORPION: faux monkey maux problems")</f>
        <v>SCORPION: faux monkey maux problems</v>
      </c>
      <c r="E1125" s="3" t="s">
        <v>2618</v>
      </c>
      <c r="F1125" s="3" t="s">
        <v>2121</v>
      </c>
      <c r="G1125" s="3" t="s">
        <v>2313</v>
      </c>
    </row>
    <row r="1126" spans="1:7">
      <c r="A1126" s="6">
        <v>42919</v>
      </c>
      <c r="B1126" s="3" t="s">
        <v>2053</v>
      </c>
      <c r="C1126" s="3" t="s">
        <v>32</v>
      </c>
      <c r="D1126" s="8" t="str">
        <f>HYPERLINK("http://npthd.inbcu.com/ViewContent.aspx?filename=NPMR_CBS_2017-07-03_E.MP4$10775$10787","LOCAL")</f>
        <v>LOCAL</v>
      </c>
      <c r="E1126" s="3" t="s">
        <v>2057</v>
      </c>
      <c r="F1126" s="3" t="s">
        <v>2313</v>
      </c>
      <c r="G1126" s="3" t="s">
        <v>2951</v>
      </c>
    </row>
    <row r="1127" spans="1:7">
      <c r="A1127" s="6">
        <v>42919</v>
      </c>
      <c r="B1127" s="3" t="s">
        <v>2053</v>
      </c>
      <c r="C1127" s="3" t="s">
        <v>21</v>
      </c>
      <c r="D1127" s="8" t="str">
        <f>HYPERLINK("http://npthd.inbcu.com/ViewContent.aspx?filename=NPMR_CBS_2017-07-03_E.MP4$10787$10847","COMMERCIAL")</f>
        <v>COMMERCIAL</v>
      </c>
      <c r="E1127" s="3" t="s">
        <v>66</v>
      </c>
      <c r="F1127" s="3" t="s">
        <v>2951</v>
      </c>
      <c r="G1127" s="3" t="s">
        <v>2952</v>
      </c>
    </row>
    <row r="1128" spans="1:7">
      <c r="A1128" s="6">
        <v>42919</v>
      </c>
      <c r="B1128" s="3" t="s">
        <v>2053</v>
      </c>
      <c r="C1128" s="3" t="s">
        <v>14</v>
      </c>
      <c r="D1128" s="8" t="str">
        <f>HYPERLINK("http://npthd.inbcu.com/ViewContent.aspx?filename=NPMR_CBS_2017-07-03_E.MP4$10847$10853","Late Show with Stephen Colbert")</f>
        <v>Late Show with Stephen Colbert</v>
      </c>
      <c r="E1128" s="3" t="s">
        <v>15</v>
      </c>
      <c r="F1128" s="3" t="s">
        <v>2952</v>
      </c>
      <c r="G1128" s="3" t="s">
        <v>2387</v>
      </c>
    </row>
    <row r="1129" spans="1:7">
      <c r="A1129" s="6">
        <v>42919</v>
      </c>
      <c r="B1129" s="3" t="s">
        <v>2053</v>
      </c>
      <c r="C1129" s="3" t="s">
        <v>14</v>
      </c>
      <c r="D1129" s="8" t="str">
        <f>HYPERLINK("http://npthd.inbcu.com/ViewContent.aspx?filename=NPMR_CBS_2017-07-03_E.MP4$10853$10874","Bull")</f>
        <v>Bull</v>
      </c>
      <c r="E1129" s="3" t="s">
        <v>2067</v>
      </c>
      <c r="F1129" s="3" t="s">
        <v>2387</v>
      </c>
      <c r="G1129" s="3" t="s">
        <v>1603</v>
      </c>
    </row>
    <row r="1130" spans="1:7">
      <c r="A1130" s="6">
        <v>42919</v>
      </c>
      <c r="B1130" s="3" t="s">
        <v>2053</v>
      </c>
      <c r="C1130" s="3" t="s">
        <v>18</v>
      </c>
      <c r="D1130" s="8" t="str">
        <f>HYPERLINK("http://npthd.inbcu.com/ViewContent.aspx?filename=NPMR_CBS_2017-07-03_E.MP4$10874$10879","SCORPION: faux monkey maux problems")</f>
        <v>SCORPION: faux monkey maux problems</v>
      </c>
      <c r="E1130" s="3" t="s">
        <v>54</v>
      </c>
      <c r="F1130" s="3" t="s">
        <v>1603</v>
      </c>
      <c r="G1130" s="3" t="s">
        <v>698</v>
      </c>
    </row>
    <row r="1131" spans="1:7">
      <c r="A1131" s="6">
        <v>42919</v>
      </c>
      <c r="B1131" s="3" t="s">
        <v>2053</v>
      </c>
      <c r="C1131" s="3" t="s">
        <v>32</v>
      </c>
      <c r="D1131" s="8" t="str">
        <f>HYPERLINK("http://npthd.inbcu.com/ViewContent.aspx?filename=NPMR_CBS_2017-07-03_E.MP4$10879$10893","LOCAL")</f>
        <v>LOCAL</v>
      </c>
      <c r="E1131" s="3" t="s">
        <v>342</v>
      </c>
      <c r="F1131" s="3" t="s">
        <v>698</v>
      </c>
      <c r="G1131" s="3" t="s">
        <v>124</v>
      </c>
    </row>
    <row r="1132" spans="1:7">
      <c r="A1132" s="6">
        <v>42920</v>
      </c>
      <c r="B1132" s="3" t="s">
        <v>2053</v>
      </c>
      <c r="C1132" s="3" t="s">
        <v>18</v>
      </c>
      <c r="D1132" s="8" t="str">
        <f>HYPERLINK("http://npthd.inbcu.com/ViewContent.aspx?filename=NPMR_CBS_2017-07-04_E.MP4$119$626","NCIS: rogue")</f>
        <v>NCIS: rogue</v>
      </c>
      <c r="E1132" s="3" t="s">
        <v>1581</v>
      </c>
      <c r="F1132" s="3" t="s">
        <v>16</v>
      </c>
      <c r="G1132" s="3" t="s">
        <v>2953</v>
      </c>
    </row>
    <row r="1133" spans="1:7">
      <c r="A1133" s="6">
        <v>42920</v>
      </c>
      <c r="B1133" s="3" t="s">
        <v>2053</v>
      </c>
      <c r="C1133" s="3" t="s">
        <v>21</v>
      </c>
      <c r="D1133" s="8" t="str">
        <f>HYPERLINK("http://npthd.inbcu.com/ViewContent.aspx?filename=NPMR_CBS_2017-07-04_E.MP4$626$808","COMMERCIAL")</f>
        <v>COMMERCIAL</v>
      </c>
      <c r="E1133" s="3" t="s">
        <v>275</v>
      </c>
      <c r="F1133" s="3" t="s">
        <v>2953</v>
      </c>
      <c r="G1133" s="3" t="s">
        <v>2954</v>
      </c>
    </row>
    <row r="1134" spans="1:7">
      <c r="A1134" s="6">
        <v>42920</v>
      </c>
      <c r="B1134" s="3" t="s">
        <v>2053</v>
      </c>
      <c r="C1134" s="3" t="s">
        <v>14</v>
      </c>
      <c r="D1134" s="8" t="str">
        <f>HYPERLINK("http://npthd.inbcu.com/ViewContent.aspx?filename=NPMR_CBS_2017-07-04_E.MP4$808$818","Bull")</f>
        <v>Bull</v>
      </c>
      <c r="E1134" s="3" t="s">
        <v>197</v>
      </c>
      <c r="F1134" s="3" t="s">
        <v>2954</v>
      </c>
      <c r="G1134" s="3" t="s">
        <v>2502</v>
      </c>
    </row>
    <row r="1135" spans="1:7">
      <c r="A1135" s="6">
        <v>42920</v>
      </c>
      <c r="B1135" s="3" t="s">
        <v>2053</v>
      </c>
      <c r="C1135" s="3" t="s">
        <v>14</v>
      </c>
      <c r="D1135" s="8" t="str">
        <f>HYPERLINK("http://npthd.inbcu.com/ViewContent.aspx?filename=NPMR_CBS_2017-07-04_E.MP4$818$838","Zoo")</f>
        <v>Zoo</v>
      </c>
      <c r="E1135" s="3" t="s">
        <v>1805</v>
      </c>
      <c r="F1135" s="3" t="s">
        <v>2502</v>
      </c>
      <c r="G1135" s="3" t="s">
        <v>2955</v>
      </c>
    </row>
    <row r="1136" spans="1:7">
      <c r="A1136" s="6">
        <v>42920</v>
      </c>
      <c r="B1136" s="3" t="s">
        <v>2053</v>
      </c>
      <c r="C1136" s="3" t="s">
        <v>18</v>
      </c>
      <c r="D1136" s="8" t="str">
        <f>HYPERLINK("http://npthd.inbcu.com/ViewContent.aspx?filename=NPMR_CBS_2017-07-04_E.MP4$838$1281","NCIS: rogue")</f>
        <v>NCIS: rogue</v>
      </c>
      <c r="E1136" s="3" t="s">
        <v>2348</v>
      </c>
      <c r="F1136" s="3" t="s">
        <v>2955</v>
      </c>
      <c r="G1136" s="3" t="s">
        <v>2956</v>
      </c>
    </row>
    <row r="1137" spans="1:7">
      <c r="A1137" s="6">
        <v>42920</v>
      </c>
      <c r="B1137" s="3" t="s">
        <v>2053</v>
      </c>
      <c r="C1137" s="3" t="s">
        <v>21</v>
      </c>
      <c r="D1137" s="8" t="str">
        <f>HYPERLINK("http://npthd.inbcu.com/ViewContent.aspx?filename=NPMR_CBS_2017-07-04_E.MP4$1281$1433","COMMERCIAL")</f>
        <v>COMMERCIAL</v>
      </c>
      <c r="E1137" s="3" t="s">
        <v>128</v>
      </c>
      <c r="F1137" s="3" t="s">
        <v>2956</v>
      </c>
      <c r="G1137" s="3" t="s">
        <v>2957</v>
      </c>
    </row>
    <row r="1138" spans="1:7">
      <c r="A1138" s="6">
        <v>42920</v>
      </c>
      <c r="B1138" s="3" t="s">
        <v>2053</v>
      </c>
      <c r="C1138" s="3" t="s">
        <v>1618</v>
      </c>
      <c r="D1138" s="8" t="str">
        <f>HYPERLINK("http://npthd.inbcu.com/ViewContent.aspx?filename=NPMR_CBS_2017-07-04_E.MP4$1433$1443","PSA")</f>
        <v>PSA</v>
      </c>
      <c r="E1138" s="3" t="s">
        <v>197</v>
      </c>
      <c r="F1138" s="3" t="s">
        <v>2957</v>
      </c>
      <c r="G1138" s="3" t="s">
        <v>2958</v>
      </c>
    </row>
    <row r="1139" spans="1:7">
      <c r="A1139" s="6">
        <v>42920</v>
      </c>
      <c r="B1139" s="3" t="s">
        <v>2053</v>
      </c>
      <c r="C1139" s="3" t="s">
        <v>32</v>
      </c>
      <c r="D1139" s="8" t="str">
        <f>HYPERLINK("http://npthd.inbcu.com/ViewContent.aspx?filename=NPMR_CBS_2017-07-04_E.MP4$1443$1473","LOCAL")</f>
        <v>LOCAL</v>
      </c>
      <c r="E1139" s="3" t="s">
        <v>38</v>
      </c>
      <c r="F1139" s="3" t="s">
        <v>2958</v>
      </c>
      <c r="G1139" s="3" t="s">
        <v>2959</v>
      </c>
    </row>
    <row r="1140" spans="1:7">
      <c r="A1140" s="6">
        <v>42920</v>
      </c>
      <c r="B1140" s="3" t="s">
        <v>2053</v>
      </c>
      <c r="C1140" s="3" t="s">
        <v>14</v>
      </c>
      <c r="D1140" s="8" t="str">
        <f>HYPERLINK("http://npthd.inbcu.com/ViewContent.aspx?filename=NPMR_CBS_2017-07-04_E.MP4$1473$1483","CBS This Morning")</f>
        <v>CBS This Morning</v>
      </c>
      <c r="E1140" s="3" t="s">
        <v>197</v>
      </c>
      <c r="F1140" s="3" t="s">
        <v>2959</v>
      </c>
      <c r="G1140" s="3" t="s">
        <v>2960</v>
      </c>
    </row>
    <row r="1141" spans="1:7">
      <c r="A1141" s="6">
        <v>42920</v>
      </c>
      <c r="B1141" s="3" t="s">
        <v>2053</v>
      </c>
      <c r="C1141" s="3" t="s">
        <v>18</v>
      </c>
      <c r="D1141" s="8" t="str">
        <f>HYPERLINK("http://npthd.inbcu.com/ViewContent.aspx?filename=NPMR_CBS_2017-07-04_E.MP4$1483$2011","NCIS: rogue")</f>
        <v>NCIS: rogue</v>
      </c>
      <c r="E1141" s="3" t="s">
        <v>532</v>
      </c>
      <c r="F1141" s="3" t="s">
        <v>2960</v>
      </c>
      <c r="G1141" s="3" t="s">
        <v>2961</v>
      </c>
    </row>
    <row r="1142" spans="1:7">
      <c r="A1142" s="6">
        <v>42920</v>
      </c>
      <c r="B1142" s="3" t="s">
        <v>2053</v>
      </c>
      <c r="C1142" s="3" t="s">
        <v>21</v>
      </c>
      <c r="D1142" s="8" t="str">
        <f>HYPERLINK("http://npthd.inbcu.com/ViewContent.aspx?filename=NPMR_CBS_2017-07-04_E.MP4$2011$2164","COMMERCIAL")</f>
        <v>COMMERCIAL</v>
      </c>
      <c r="E1142" s="3" t="s">
        <v>1735</v>
      </c>
      <c r="F1142" s="3" t="s">
        <v>2961</v>
      </c>
      <c r="G1142" s="3" t="s">
        <v>2962</v>
      </c>
    </row>
    <row r="1143" spans="1:7">
      <c r="A1143" s="6">
        <v>42920</v>
      </c>
      <c r="B1143" s="3" t="s">
        <v>2053</v>
      </c>
      <c r="C1143" s="3" t="s">
        <v>14</v>
      </c>
      <c r="D1143" s="8" t="str">
        <f>HYPERLINK("http://npthd.inbcu.com/ViewContent.aspx?filename=NPMR_CBS_2017-07-04_E.MP4$2164$2204","Salvation")</f>
        <v>Salvation</v>
      </c>
      <c r="E1143" s="3" t="s">
        <v>619</v>
      </c>
      <c r="F1143" s="3" t="s">
        <v>2962</v>
      </c>
      <c r="G1143" s="3" t="s">
        <v>2963</v>
      </c>
    </row>
    <row r="1144" spans="1:7">
      <c r="A1144" s="6">
        <v>42920</v>
      </c>
      <c r="B1144" s="3" t="s">
        <v>2053</v>
      </c>
      <c r="C1144" s="3" t="s">
        <v>32</v>
      </c>
      <c r="D1144" s="8" t="str">
        <f>HYPERLINK("http://npthd.inbcu.com/ViewContent.aspx?filename=NPMR_CBS_2017-07-04_E.MP4$2204$2299","LOCAL")</f>
        <v>LOCAL</v>
      </c>
      <c r="E1144" s="3" t="s">
        <v>2076</v>
      </c>
      <c r="F1144" s="3" t="s">
        <v>2963</v>
      </c>
      <c r="G1144" s="3" t="s">
        <v>2964</v>
      </c>
    </row>
    <row r="1145" spans="1:7">
      <c r="A1145" s="6">
        <v>42920</v>
      </c>
      <c r="B1145" s="3" t="s">
        <v>2053</v>
      </c>
      <c r="C1145" s="3" t="s">
        <v>18</v>
      </c>
      <c r="D1145" s="8" t="str">
        <f>HYPERLINK("http://npthd.inbcu.com/ViewContent.aspx?filename=NPMR_CBS_2017-07-04_E.MP4$2299$2699","NCIS: rogue")</f>
        <v>NCIS: rogue</v>
      </c>
      <c r="E1145" s="3" t="s">
        <v>857</v>
      </c>
      <c r="F1145" s="3" t="s">
        <v>2964</v>
      </c>
      <c r="G1145" s="3" t="s">
        <v>980</v>
      </c>
    </row>
    <row r="1146" spans="1:7">
      <c r="A1146" s="6">
        <v>42920</v>
      </c>
      <c r="B1146" s="3" t="s">
        <v>2053</v>
      </c>
      <c r="C1146" s="3" t="s">
        <v>21</v>
      </c>
      <c r="D1146" s="8" t="str">
        <f>HYPERLINK("http://npthd.inbcu.com/ViewContent.aspx?filename=NPMR_CBS_2017-07-04_E.MP4$2699$2821","COMMERCIAL")</f>
        <v>COMMERCIAL</v>
      </c>
      <c r="E1146" s="3" t="s">
        <v>252</v>
      </c>
      <c r="F1146" s="3" t="s">
        <v>980</v>
      </c>
      <c r="G1146" s="3" t="s">
        <v>2278</v>
      </c>
    </row>
    <row r="1147" spans="1:7">
      <c r="A1147" s="6">
        <v>42920</v>
      </c>
      <c r="B1147" s="3" t="s">
        <v>2053</v>
      </c>
      <c r="C1147" s="3" t="s">
        <v>14</v>
      </c>
      <c r="D1147" s="8" t="str">
        <f>HYPERLINK("http://npthd.inbcu.com/ViewContent.aspx?filename=NPMR_CBS_2017-07-04_E.MP4$2821$2832","Candy Crush")</f>
        <v>Candy Crush</v>
      </c>
      <c r="E1147" s="3" t="s">
        <v>1940</v>
      </c>
      <c r="F1147" s="3" t="s">
        <v>2278</v>
      </c>
      <c r="G1147" s="3" t="s">
        <v>358</v>
      </c>
    </row>
    <row r="1148" spans="1:7">
      <c r="A1148" s="6">
        <v>42920</v>
      </c>
      <c r="B1148" s="3" t="s">
        <v>2053</v>
      </c>
      <c r="C1148" s="3" t="s">
        <v>14</v>
      </c>
      <c r="D1148" s="8" t="str">
        <f>HYPERLINK("http://npthd.inbcu.com/ViewContent.aspx?filename=NPMR_CBS_2017-07-04_E.MP4$2832$2851","Seal Team")</f>
        <v>Seal Team</v>
      </c>
      <c r="E1148" s="3" t="s">
        <v>670</v>
      </c>
      <c r="F1148" s="3" t="s">
        <v>358</v>
      </c>
      <c r="G1148" s="3" t="s">
        <v>2279</v>
      </c>
    </row>
    <row r="1149" spans="1:7">
      <c r="A1149" s="6">
        <v>42920</v>
      </c>
      <c r="B1149" s="3" t="s">
        <v>2053</v>
      </c>
      <c r="C1149" s="3" t="s">
        <v>32</v>
      </c>
      <c r="D1149" s="8" t="str">
        <f>HYPERLINK("http://npthd.inbcu.com/ViewContent.aspx?filename=NPMR_CBS_2017-07-04_E.MP4$2851$2947","LOCAL")</f>
        <v>LOCAL</v>
      </c>
      <c r="E1149" s="3" t="s">
        <v>2101</v>
      </c>
      <c r="F1149" s="3" t="s">
        <v>2279</v>
      </c>
      <c r="G1149" s="3" t="s">
        <v>1892</v>
      </c>
    </row>
    <row r="1150" spans="1:7">
      <c r="A1150" s="6">
        <v>42920</v>
      </c>
      <c r="B1150" s="3" t="s">
        <v>2053</v>
      </c>
      <c r="C1150" s="3" t="s">
        <v>18</v>
      </c>
      <c r="D1150" s="8" t="str">
        <f>HYPERLINK("http://npthd.inbcu.com/ViewContent.aspx?filename=NPMR_CBS_2017-07-04_E.MP4$2947$3541","NCIS: rogue")</f>
        <v>NCIS: rogue</v>
      </c>
      <c r="E1150" s="3" t="s">
        <v>2965</v>
      </c>
      <c r="F1150" s="3" t="s">
        <v>1892</v>
      </c>
      <c r="G1150" s="3" t="s">
        <v>2282</v>
      </c>
    </row>
    <row r="1151" spans="1:7">
      <c r="A1151" s="6">
        <v>42920</v>
      </c>
      <c r="B1151" s="3" t="s">
        <v>2053</v>
      </c>
      <c r="C1151" s="3" t="s">
        <v>21</v>
      </c>
      <c r="D1151" s="8" t="str">
        <f>HYPERLINK("http://npthd.inbcu.com/ViewContent.aspx?filename=NPMR_CBS_2017-07-04_E.MP4$3541$3662","COMMERCIAL")</f>
        <v>COMMERCIAL</v>
      </c>
      <c r="E1151" s="3" t="s">
        <v>175</v>
      </c>
      <c r="F1151" s="3" t="s">
        <v>2282</v>
      </c>
      <c r="G1151" s="3" t="s">
        <v>2966</v>
      </c>
    </row>
    <row r="1152" spans="1:7">
      <c r="A1152" s="6">
        <v>42920</v>
      </c>
      <c r="B1152" s="3" t="s">
        <v>2053</v>
      </c>
      <c r="C1152" s="3" t="s">
        <v>14</v>
      </c>
      <c r="D1152" s="8" t="str">
        <f>HYPERLINK("http://npthd.inbcu.com/ViewContent.aspx?filename=NPMR_CBS_2017-07-04_E.MP4$3662$3678","Big Brother")</f>
        <v>Big Brother</v>
      </c>
      <c r="E1152" s="3" t="s">
        <v>64</v>
      </c>
      <c r="F1152" s="3" t="s">
        <v>2966</v>
      </c>
      <c r="G1152" s="3" t="s">
        <v>2967</v>
      </c>
    </row>
    <row r="1153" spans="1:7">
      <c r="A1153" s="6">
        <v>42920</v>
      </c>
      <c r="B1153" s="3" t="s">
        <v>2053</v>
      </c>
      <c r="C1153" s="3" t="s">
        <v>14</v>
      </c>
      <c r="D1153" s="8" t="str">
        <f>HYPERLINK("http://npthd.inbcu.com/ViewContent.aspx?filename=NPMR_CBS_2017-07-04_E.MP4$3678$3693","CBS All Access")</f>
        <v>CBS All Access</v>
      </c>
      <c r="E1153" s="3" t="s">
        <v>30</v>
      </c>
      <c r="F1153" s="3" t="s">
        <v>2967</v>
      </c>
      <c r="G1153" s="3" t="s">
        <v>2407</v>
      </c>
    </row>
    <row r="1154" spans="1:7">
      <c r="A1154" s="6">
        <v>42920</v>
      </c>
      <c r="B1154" s="3" t="s">
        <v>2053</v>
      </c>
      <c r="C1154" s="3" t="s">
        <v>14</v>
      </c>
      <c r="D1154" s="8" t="str">
        <f>HYPERLINK("http://npthd.inbcu.com/ViewContent.aspx?filename=NPMR_CBS_2017-07-04_E.MP4$3693$3714","Bull")</f>
        <v>Bull</v>
      </c>
      <c r="E1154" s="3" t="s">
        <v>2067</v>
      </c>
      <c r="F1154" s="3" t="s">
        <v>2407</v>
      </c>
      <c r="G1154" s="3" t="s">
        <v>2196</v>
      </c>
    </row>
    <row r="1155" spans="1:7">
      <c r="A1155" s="6">
        <v>42920</v>
      </c>
      <c r="B1155" s="3" t="s">
        <v>2053</v>
      </c>
      <c r="C1155" s="3" t="s">
        <v>18</v>
      </c>
      <c r="D1155" s="8" t="str">
        <f>HYPERLINK("http://npthd.inbcu.com/ViewContent.aspx?filename=NPMR_CBS_2017-07-04_E.MP4$3714$3719","NCIS: rogue")</f>
        <v>NCIS: rogue</v>
      </c>
      <c r="E1155" s="3" t="s">
        <v>54</v>
      </c>
      <c r="F1155" s="3" t="s">
        <v>2196</v>
      </c>
      <c r="G1155" s="3" t="s">
        <v>242</v>
      </c>
    </row>
    <row r="1156" spans="1:7">
      <c r="A1156" s="6">
        <v>42920</v>
      </c>
      <c r="B1156" s="3" t="s">
        <v>2053</v>
      </c>
      <c r="C1156" s="3" t="s">
        <v>14</v>
      </c>
      <c r="D1156" s="8" t="str">
        <f>HYPERLINK("http://npthd.inbcu.com/ViewContent.aspx?filename=NPMR_CBS_2017-07-04_E.MP4$3719$3724","Late Show with Stephen Colbert")</f>
        <v>Late Show with Stephen Colbert</v>
      </c>
      <c r="E1156" s="3" t="s">
        <v>54</v>
      </c>
      <c r="F1156" s="3" t="s">
        <v>242</v>
      </c>
      <c r="G1156" s="3" t="s">
        <v>243</v>
      </c>
    </row>
    <row r="1157" spans="1:7">
      <c r="A1157" s="6">
        <v>42920</v>
      </c>
      <c r="B1157" s="3" t="s">
        <v>2053</v>
      </c>
      <c r="C1157" s="3" t="s">
        <v>18</v>
      </c>
      <c r="D1157" s="8" t="str">
        <f>HYPERLINK("http://npthd.inbcu.com/ViewContent.aspx?filename=NPMR_CBS_2017-07-04_E.MP4$3724$4248","BULL: light my fire")</f>
        <v>BULL: light my fire</v>
      </c>
      <c r="E1157" s="3" t="s">
        <v>1139</v>
      </c>
      <c r="F1157" s="3" t="s">
        <v>243</v>
      </c>
      <c r="G1157" s="3" t="s">
        <v>2968</v>
      </c>
    </row>
    <row r="1158" spans="1:7">
      <c r="A1158" s="6">
        <v>42920</v>
      </c>
      <c r="B1158" s="3" t="s">
        <v>2053</v>
      </c>
      <c r="C1158" s="3" t="s">
        <v>21</v>
      </c>
      <c r="D1158" s="8" t="str">
        <f>HYPERLINK("http://npthd.inbcu.com/ViewContent.aspx?filename=NPMR_CBS_2017-07-04_E.MP4$4248$4372","COMMERCIAL")</f>
        <v>COMMERCIAL</v>
      </c>
      <c r="E1158" s="3" t="s">
        <v>2013</v>
      </c>
      <c r="F1158" s="3" t="s">
        <v>2968</v>
      </c>
      <c r="G1158" s="3" t="s">
        <v>2969</v>
      </c>
    </row>
    <row r="1159" spans="1:7">
      <c r="A1159" s="6">
        <v>42920</v>
      </c>
      <c r="B1159" s="3" t="s">
        <v>2053</v>
      </c>
      <c r="C1159" s="3" t="s">
        <v>14</v>
      </c>
      <c r="D1159" s="8" t="str">
        <f>HYPERLINK("http://npthd.inbcu.com/ViewContent.aspx?filename=NPMR_CBS_2017-07-04_E.MP4$4372$4402","Zoo")</f>
        <v>Zoo</v>
      </c>
      <c r="E1159" s="3" t="s">
        <v>38</v>
      </c>
      <c r="F1159" s="3" t="s">
        <v>2969</v>
      </c>
      <c r="G1159" s="3" t="s">
        <v>2970</v>
      </c>
    </row>
    <row r="1160" spans="1:7">
      <c r="A1160" s="6">
        <v>42920</v>
      </c>
      <c r="B1160" s="3" t="s">
        <v>2053</v>
      </c>
      <c r="C1160" s="3" t="s">
        <v>14</v>
      </c>
      <c r="D1160" s="8" t="str">
        <f>HYPERLINK("http://npthd.inbcu.com/ViewContent.aspx?filename=NPMR_CBS_2017-07-04_E.MP4$4402$4432","Seal Team")</f>
        <v>Seal Team</v>
      </c>
      <c r="E1160" s="3" t="s">
        <v>38</v>
      </c>
      <c r="F1160" s="3" t="s">
        <v>2970</v>
      </c>
      <c r="G1160" s="3" t="s">
        <v>2971</v>
      </c>
    </row>
    <row r="1161" spans="1:7">
      <c r="A1161" s="6">
        <v>42920</v>
      </c>
      <c r="B1161" s="3" t="s">
        <v>2053</v>
      </c>
      <c r="C1161" s="3" t="s">
        <v>18</v>
      </c>
      <c r="D1161" s="8" t="str">
        <f>HYPERLINK("http://npthd.inbcu.com/ViewContent.aspx?filename=NPMR_CBS_2017-07-04_E.MP4$4432$4922","BULL: light my fire")</f>
        <v>BULL: light my fire</v>
      </c>
      <c r="E1161" s="3" t="s">
        <v>227</v>
      </c>
      <c r="F1161" s="3" t="s">
        <v>2971</v>
      </c>
      <c r="G1161" s="3" t="s">
        <v>2972</v>
      </c>
    </row>
    <row r="1162" spans="1:7">
      <c r="A1162" s="6">
        <v>42920</v>
      </c>
      <c r="B1162" s="3" t="s">
        <v>2053</v>
      </c>
      <c r="C1162" s="3" t="s">
        <v>21</v>
      </c>
      <c r="D1162" s="8" t="str">
        <f>HYPERLINK("http://npthd.inbcu.com/ViewContent.aspx?filename=NPMR_CBS_2017-07-04_E.MP4$4922$5074","COMMERCIAL")</f>
        <v>COMMERCIAL</v>
      </c>
      <c r="E1162" s="3" t="s">
        <v>128</v>
      </c>
      <c r="F1162" s="3" t="s">
        <v>2972</v>
      </c>
      <c r="G1162" s="3" t="s">
        <v>2973</v>
      </c>
    </row>
    <row r="1163" spans="1:7">
      <c r="A1163" s="6">
        <v>42920</v>
      </c>
      <c r="B1163" s="3" t="s">
        <v>2053</v>
      </c>
      <c r="C1163" s="3" t="s">
        <v>14</v>
      </c>
      <c r="D1163" s="8" t="str">
        <f>HYPERLINK("http://npthd.inbcu.com/ViewContent.aspx?filename=NPMR_CBS_2017-07-04_E.MP4$5074$5134","Salvation")</f>
        <v>Salvation</v>
      </c>
      <c r="E1163" s="3" t="s">
        <v>66</v>
      </c>
      <c r="F1163" s="3" t="s">
        <v>2973</v>
      </c>
      <c r="G1163" s="3" t="s">
        <v>2974</v>
      </c>
    </row>
    <row r="1164" spans="1:7">
      <c r="A1164" s="6">
        <v>42920</v>
      </c>
      <c r="B1164" s="3" t="s">
        <v>2053</v>
      </c>
      <c r="C1164" s="3" t="s">
        <v>14</v>
      </c>
      <c r="D1164" s="8" t="str">
        <f>HYPERLINK("http://npthd.inbcu.com/ViewContent.aspx?filename=NPMR_CBS_2017-07-04_E.MP4$5134$5154","CBS All Access")</f>
        <v>CBS All Access</v>
      </c>
      <c r="E1164" s="3" t="s">
        <v>1805</v>
      </c>
      <c r="F1164" s="3" t="s">
        <v>2974</v>
      </c>
      <c r="G1164" s="3" t="s">
        <v>2975</v>
      </c>
    </row>
    <row r="1165" spans="1:7">
      <c r="A1165" s="6">
        <v>42920</v>
      </c>
      <c r="B1165" s="3" t="s">
        <v>2053</v>
      </c>
      <c r="C1165" s="3" t="s">
        <v>14</v>
      </c>
      <c r="D1165" s="8" t="str">
        <f>HYPERLINK("http://npthd.inbcu.com/ViewContent.aspx?filename=NPMR_CBS_2017-07-04_E.MP4$5154$5164","Young Sheldon")</f>
        <v>Young Sheldon</v>
      </c>
      <c r="E1165" s="3" t="s">
        <v>197</v>
      </c>
      <c r="F1165" s="3" t="s">
        <v>2975</v>
      </c>
      <c r="G1165" s="3" t="s">
        <v>2976</v>
      </c>
    </row>
    <row r="1166" spans="1:7">
      <c r="A1166" s="6">
        <v>42920</v>
      </c>
      <c r="B1166" s="3" t="s">
        <v>2053</v>
      </c>
      <c r="C1166" s="3" t="s">
        <v>18</v>
      </c>
      <c r="D1166" s="8" t="str">
        <f>HYPERLINK("http://npthd.inbcu.com/ViewContent.aspx?filename=NPMR_CBS_2017-07-04_E.MP4$5164$5699","BULL: light my fire")</f>
        <v>BULL: light my fire</v>
      </c>
      <c r="E1166" s="3" t="s">
        <v>1724</v>
      </c>
      <c r="F1166" s="3" t="s">
        <v>2976</v>
      </c>
      <c r="G1166" s="3" t="s">
        <v>2977</v>
      </c>
    </row>
    <row r="1167" spans="1:7">
      <c r="A1167" s="6">
        <v>42920</v>
      </c>
      <c r="B1167" s="3" t="s">
        <v>2053</v>
      </c>
      <c r="C1167" s="3" t="s">
        <v>21</v>
      </c>
      <c r="D1167" s="8" t="str">
        <f>HYPERLINK("http://npthd.inbcu.com/ViewContent.aspx?filename=NPMR_CBS_2017-07-04_E.MP4$5699$5851","COMMERCIAL")</f>
        <v>COMMERCIAL</v>
      </c>
      <c r="E1167" s="3" t="s">
        <v>128</v>
      </c>
      <c r="F1167" s="3" t="s">
        <v>2977</v>
      </c>
      <c r="G1167" s="3" t="s">
        <v>1287</v>
      </c>
    </row>
    <row r="1168" spans="1:7">
      <c r="A1168" s="6">
        <v>42920</v>
      </c>
      <c r="B1168" s="3" t="s">
        <v>2053</v>
      </c>
      <c r="C1168" s="3" t="s">
        <v>14</v>
      </c>
      <c r="D1168" s="8" t="str">
        <f>HYPERLINK("http://npthd.inbcu.com/ViewContent.aspx?filename=NPMR_CBS_2017-07-04_E.MP4$5851$5872","Big Brother")</f>
        <v>Big Brother</v>
      </c>
      <c r="E1168" s="3" t="s">
        <v>2067</v>
      </c>
      <c r="F1168" s="3" t="s">
        <v>1287</v>
      </c>
      <c r="G1168" s="3" t="s">
        <v>1505</v>
      </c>
    </row>
    <row r="1169" spans="1:7">
      <c r="A1169" s="6">
        <v>42920</v>
      </c>
      <c r="B1169" s="3" t="s">
        <v>2053</v>
      </c>
      <c r="C1169" s="3" t="s">
        <v>14</v>
      </c>
      <c r="D1169" s="8" t="str">
        <f>HYPERLINK("http://npthd.inbcu.com/ViewContent.aspx?filename=NPMR_CBS_2017-07-04_E.MP4$5872$5902","Candy Crush")</f>
        <v>Candy Crush</v>
      </c>
      <c r="E1169" s="3" t="s">
        <v>38</v>
      </c>
      <c r="F1169" s="3" t="s">
        <v>1505</v>
      </c>
      <c r="G1169" s="3" t="s">
        <v>815</v>
      </c>
    </row>
    <row r="1170" spans="1:7">
      <c r="A1170" s="6">
        <v>42920</v>
      </c>
      <c r="B1170" s="3" t="s">
        <v>2053</v>
      </c>
      <c r="C1170" s="3" t="s">
        <v>14</v>
      </c>
      <c r="D1170" s="8" t="str">
        <f>HYPERLINK("http://npthd.inbcu.com/ViewContent.aspx?filename=NPMR_CBS_2017-07-04_E.MP4$5902$5931","Wisdom of the Crowd")</f>
        <v>Wisdom of the Crowd</v>
      </c>
      <c r="E1170" s="3" t="s">
        <v>24</v>
      </c>
      <c r="F1170" s="3" t="s">
        <v>815</v>
      </c>
      <c r="G1170" s="3" t="s">
        <v>2978</v>
      </c>
    </row>
    <row r="1171" spans="1:7">
      <c r="A1171" s="6">
        <v>42920</v>
      </c>
      <c r="B1171" s="3" t="s">
        <v>2053</v>
      </c>
      <c r="C1171" s="3" t="s">
        <v>32</v>
      </c>
      <c r="D1171" s="8" t="str">
        <f>HYPERLINK("http://npthd.inbcu.com/ViewContent.aspx?filename=NPMR_CBS_2017-07-04_E.MP4$5931$5997","LOCAL")</f>
        <v>LOCAL</v>
      </c>
      <c r="E1171" s="3" t="s">
        <v>2088</v>
      </c>
      <c r="F1171" s="3" t="s">
        <v>2978</v>
      </c>
      <c r="G1171" s="3" t="s">
        <v>1969</v>
      </c>
    </row>
    <row r="1172" spans="1:7">
      <c r="A1172" s="6">
        <v>42920</v>
      </c>
      <c r="B1172" s="3" t="s">
        <v>2053</v>
      </c>
      <c r="C1172" s="3" t="s">
        <v>18</v>
      </c>
      <c r="D1172" s="8" t="str">
        <f>HYPERLINK("http://npthd.inbcu.com/ViewContent.aspx?filename=NPMR_CBS_2017-07-04_E.MP4$5997$6329","BULL: light my fire")</f>
        <v>BULL: light my fire</v>
      </c>
      <c r="E1172" s="3" t="s">
        <v>201</v>
      </c>
      <c r="F1172" s="3" t="s">
        <v>1969</v>
      </c>
      <c r="G1172" s="3" t="s">
        <v>2979</v>
      </c>
    </row>
    <row r="1173" spans="1:7">
      <c r="A1173" s="6">
        <v>42920</v>
      </c>
      <c r="B1173" s="3" t="s">
        <v>2053</v>
      </c>
      <c r="C1173" s="3" t="s">
        <v>21</v>
      </c>
      <c r="D1173" s="8" t="str">
        <f>HYPERLINK("http://npthd.inbcu.com/ViewContent.aspx?filename=NPMR_CBS_2017-07-04_E.MP4$6329$6451","COMMERCIAL")</f>
        <v>COMMERCIAL</v>
      </c>
      <c r="E1173" s="3" t="s">
        <v>252</v>
      </c>
      <c r="F1173" s="3" t="s">
        <v>2979</v>
      </c>
      <c r="G1173" s="3" t="s">
        <v>896</v>
      </c>
    </row>
    <row r="1174" spans="1:7">
      <c r="A1174" s="6">
        <v>42920</v>
      </c>
      <c r="B1174" s="3" t="s">
        <v>2053</v>
      </c>
      <c r="C1174" s="3" t="s">
        <v>32</v>
      </c>
      <c r="D1174" s="8" t="str">
        <f>HYPERLINK("http://npthd.inbcu.com/ViewContent.aspx?filename=NPMR_CBS_2017-07-04_E.MP4$6451$6577","LOCAL")</f>
        <v>LOCAL</v>
      </c>
      <c r="E1174" s="3" t="s">
        <v>2828</v>
      </c>
      <c r="F1174" s="3" t="s">
        <v>896</v>
      </c>
      <c r="G1174" s="3" t="s">
        <v>2980</v>
      </c>
    </row>
    <row r="1175" spans="1:7">
      <c r="A1175" s="6">
        <v>42920</v>
      </c>
      <c r="B1175" s="3" t="s">
        <v>2053</v>
      </c>
      <c r="C1175" s="3" t="s">
        <v>18</v>
      </c>
      <c r="D1175" s="8" t="str">
        <f>HYPERLINK("http://npthd.inbcu.com/ViewContent.aspx?filename=NPMR_CBS_2017-07-04_E.MP4$6577$7079","BULL: light my fire")</f>
        <v>BULL: light my fire</v>
      </c>
      <c r="E1175" s="3" t="s">
        <v>2004</v>
      </c>
      <c r="F1175" s="3" t="s">
        <v>2980</v>
      </c>
      <c r="G1175" s="3" t="s">
        <v>2981</v>
      </c>
    </row>
    <row r="1176" spans="1:7">
      <c r="A1176" s="6">
        <v>42920</v>
      </c>
      <c r="B1176" s="3" t="s">
        <v>2053</v>
      </c>
      <c r="C1176" s="3" t="s">
        <v>21</v>
      </c>
      <c r="D1176" s="8" t="str">
        <f>HYPERLINK("http://npthd.inbcu.com/ViewContent.aspx?filename=NPMR_CBS_2017-07-04_E.MP4$7079$7231","COMMERCIAL")</f>
        <v>COMMERCIAL</v>
      </c>
      <c r="E1176" s="3" t="s">
        <v>128</v>
      </c>
      <c r="F1176" s="3" t="s">
        <v>2981</v>
      </c>
      <c r="G1176" s="3" t="s">
        <v>2982</v>
      </c>
    </row>
    <row r="1177" spans="1:7">
      <c r="A1177" s="6">
        <v>42920</v>
      </c>
      <c r="B1177" s="3" t="s">
        <v>2053</v>
      </c>
      <c r="C1177" s="3" t="s">
        <v>14</v>
      </c>
      <c r="D1177" s="8" t="str">
        <f>HYPERLINK("http://npthd.inbcu.com/ViewContent.aspx?filename=NPMR_CBS_2017-07-04_E.MP4$7231$7252","Big Bang Theory")</f>
        <v>Big Bang Theory</v>
      </c>
      <c r="E1177" s="3" t="s">
        <v>2067</v>
      </c>
      <c r="F1177" s="3" t="s">
        <v>2982</v>
      </c>
      <c r="G1177" s="3" t="s">
        <v>2873</v>
      </c>
    </row>
    <row r="1178" spans="1:7">
      <c r="A1178" s="6">
        <v>42920</v>
      </c>
      <c r="B1178" s="3" t="s">
        <v>2053</v>
      </c>
      <c r="C1178" s="3" t="s">
        <v>14</v>
      </c>
      <c r="D1178" s="8" t="str">
        <f>HYPERLINK("http://npthd.inbcu.com/ViewContent.aspx?filename=NPMR_CBS_2017-07-04_E.MP4$7252$7282","Salvation")</f>
        <v>Salvation</v>
      </c>
      <c r="E1178" s="3" t="s">
        <v>38</v>
      </c>
      <c r="F1178" s="3" t="s">
        <v>2873</v>
      </c>
      <c r="G1178" s="3" t="s">
        <v>1366</v>
      </c>
    </row>
    <row r="1179" spans="1:7">
      <c r="A1179" s="6">
        <v>42920</v>
      </c>
      <c r="B1179" s="3" t="s">
        <v>2053</v>
      </c>
      <c r="C1179" s="3" t="s">
        <v>14</v>
      </c>
      <c r="D1179" s="8" t="str">
        <f>HYPERLINK("http://npthd.inbcu.com/ViewContent.aspx?filename=NPMR_CBS_2017-07-04_E.MP4$7282$7292","9JKL")</f>
        <v>9JKL</v>
      </c>
      <c r="E1179" s="3" t="s">
        <v>197</v>
      </c>
      <c r="F1179" s="3" t="s">
        <v>1366</v>
      </c>
      <c r="G1179" s="3" t="s">
        <v>2299</v>
      </c>
    </row>
    <row r="1180" spans="1:7">
      <c r="A1180" s="6">
        <v>42920</v>
      </c>
      <c r="B1180" s="3" t="s">
        <v>2053</v>
      </c>
      <c r="C1180" s="3" t="s">
        <v>14</v>
      </c>
      <c r="D1180" s="8" t="str">
        <f>HYPERLINK("http://npthd.inbcu.com/ViewContent.aspx?filename=NPMR_CBS_2017-07-04_E.MP4$7292$7314","Candy Crush")</f>
        <v>Candy Crush</v>
      </c>
      <c r="E1180" s="3" t="s">
        <v>2124</v>
      </c>
      <c r="F1180" s="3" t="s">
        <v>2299</v>
      </c>
      <c r="G1180" s="3" t="s">
        <v>750</v>
      </c>
    </row>
    <row r="1181" spans="1:7">
      <c r="A1181" s="6">
        <v>42920</v>
      </c>
      <c r="B1181" s="3" t="s">
        <v>2053</v>
      </c>
      <c r="C1181" s="3" t="s">
        <v>18</v>
      </c>
      <c r="D1181" s="8" t="str">
        <f>HYPERLINK("http://npthd.inbcu.com/ViewContent.aspx?filename=NPMR_CBS_2017-07-04_E.MP4$7314$7319","BULL: light my fire")</f>
        <v>BULL: light my fire</v>
      </c>
      <c r="E1181" s="3" t="s">
        <v>54</v>
      </c>
      <c r="F1181" s="3" t="s">
        <v>750</v>
      </c>
      <c r="G1181" s="3" t="s">
        <v>394</v>
      </c>
    </row>
    <row r="1182" spans="1:7">
      <c r="A1182" s="6">
        <v>42920</v>
      </c>
      <c r="B1182" s="3" t="s">
        <v>2053</v>
      </c>
      <c r="C1182" s="3" t="s">
        <v>14</v>
      </c>
      <c r="D1182" s="8" t="str">
        <f>HYPERLINK("http://npthd.inbcu.com/ViewContent.aspx?filename=NPMR_CBS_2017-07-04_E.MP4$7319$7324","Late Show with Stephen Colbert")</f>
        <v>Late Show with Stephen Colbert</v>
      </c>
      <c r="E1182" s="3" t="s">
        <v>54</v>
      </c>
      <c r="F1182" s="3" t="s">
        <v>394</v>
      </c>
      <c r="G1182" s="3" t="s">
        <v>395</v>
      </c>
    </row>
    <row r="1183" spans="1:7">
      <c r="A1183" s="6">
        <v>42920</v>
      </c>
      <c r="B1183" s="3" t="s">
        <v>2053</v>
      </c>
      <c r="C1183" s="3" t="s">
        <v>18</v>
      </c>
      <c r="D1183" s="8" t="str">
        <f>HYPERLINK("http://npthd.inbcu.com/ViewContent.aspx?filename=NPMR_CBS_2017-07-04_E.MP4$7324$7777","NCIS: NEW ORLEANS: follow the money")</f>
        <v>NCIS: NEW ORLEANS: follow the money</v>
      </c>
      <c r="E1183" s="3" t="s">
        <v>1758</v>
      </c>
      <c r="F1183" s="3" t="s">
        <v>395</v>
      </c>
      <c r="G1183" s="3" t="s">
        <v>2983</v>
      </c>
    </row>
    <row r="1184" spans="1:7">
      <c r="A1184" s="6">
        <v>42920</v>
      </c>
      <c r="B1184" s="3" t="s">
        <v>2053</v>
      </c>
      <c r="C1184" s="3" t="s">
        <v>21</v>
      </c>
      <c r="D1184" s="8" t="str">
        <f>HYPERLINK("http://npthd.inbcu.com/ViewContent.aspx?filename=NPMR_CBS_2017-07-04_E.MP4$7777$7929","COMMERCIAL")</f>
        <v>COMMERCIAL</v>
      </c>
      <c r="E1184" s="3" t="s">
        <v>128</v>
      </c>
      <c r="F1184" s="3" t="s">
        <v>2983</v>
      </c>
      <c r="G1184" s="3" t="s">
        <v>2984</v>
      </c>
    </row>
    <row r="1185" spans="1:7">
      <c r="A1185" s="6">
        <v>42920</v>
      </c>
      <c r="B1185" s="3" t="s">
        <v>2053</v>
      </c>
      <c r="C1185" s="3" t="s">
        <v>14</v>
      </c>
      <c r="D1185" s="8" t="str">
        <f>HYPERLINK("http://npthd.inbcu.com/ViewContent.aspx?filename=NPMR_CBS_2017-07-04_E.MP4$7929$7934","Zoo")</f>
        <v>Zoo</v>
      </c>
      <c r="E1185" s="3" t="s">
        <v>54</v>
      </c>
      <c r="F1185" s="3" t="s">
        <v>2984</v>
      </c>
      <c r="G1185" s="3" t="s">
        <v>2985</v>
      </c>
    </row>
    <row r="1186" spans="1:7">
      <c r="A1186" s="6">
        <v>42920</v>
      </c>
      <c r="B1186" s="3" t="s">
        <v>2053</v>
      </c>
      <c r="C1186" s="3" t="s">
        <v>14</v>
      </c>
      <c r="D1186" s="8" t="str">
        <f>HYPERLINK("http://npthd.inbcu.com/ViewContent.aspx?filename=NPMR_CBS_2017-07-04_E.MP4$7934$7954","Candy Crush")</f>
        <v>Candy Crush</v>
      </c>
      <c r="E1186" s="3" t="s">
        <v>1805</v>
      </c>
      <c r="F1186" s="3" t="s">
        <v>2985</v>
      </c>
      <c r="G1186" s="3" t="s">
        <v>284</v>
      </c>
    </row>
    <row r="1187" spans="1:7">
      <c r="A1187" s="6">
        <v>42920</v>
      </c>
      <c r="B1187" s="3" t="s">
        <v>2053</v>
      </c>
      <c r="C1187" s="3" t="s">
        <v>18</v>
      </c>
      <c r="D1187" s="8" t="str">
        <f>HYPERLINK("http://npthd.inbcu.com/ViewContent.aspx?filename=NPMR_CBS_2017-07-04_E.MP4$7954$8498","NCIS: NEW ORLEANS: follow the money")</f>
        <v>NCIS: NEW ORLEANS: follow the money</v>
      </c>
      <c r="E1187" s="3" t="s">
        <v>295</v>
      </c>
      <c r="F1187" s="3" t="s">
        <v>284</v>
      </c>
      <c r="G1187" s="3" t="s">
        <v>2986</v>
      </c>
    </row>
    <row r="1188" spans="1:7">
      <c r="A1188" s="6">
        <v>42920</v>
      </c>
      <c r="B1188" s="3" t="s">
        <v>2053</v>
      </c>
      <c r="C1188" s="3" t="s">
        <v>21</v>
      </c>
      <c r="D1188" s="8" t="str">
        <f>HYPERLINK("http://npthd.inbcu.com/ViewContent.aspx?filename=NPMR_CBS_2017-07-04_E.MP4$8498$8650","COMMERCIAL")</f>
        <v>COMMERCIAL</v>
      </c>
      <c r="E1188" s="3" t="s">
        <v>128</v>
      </c>
      <c r="F1188" s="3" t="s">
        <v>2986</v>
      </c>
      <c r="G1188" s="3" t="s">
        <v>1089</v>
      </c>
    </row>
    <row r="1189" spans="1:7">
      <c r="A1189" s="6">
        <v>42920</v>
      </c>
      <c r="B1189" s="3" t="s">
        <v>2053</v>
      </c>
      <c r="C1189" s="3" t="s">
        <v>14</v>
      </c>
      <c r="D1189" s="8" t="str">
        <f>HYPERLINK("http://npthd.inbcu.com/ViewContent.aspx?filename=NPMR_CBS_2017-07-04_E.MP4$8650$8665","Big Brother")</f>
        <v>Big Brother</v>
      </c>
      <c r="E1189" s="3" t="s">
        <v>30</v>
      </c>
      <c r="F1189" s="3" t="s">
        <v>1089</v>
      </c>
      <c r="G1189" s="3" t="s">
        <v>2987</v>
      </c>
    </row>
    <row r="1190" spans="1:7">
      <c r="A1190" s="6">
        <v>42920</v>
      </c>
      <c r="B1190" s="3" t="s">
        <v>2053</v>
      </c>
      <c r="C1190" s="3" t="s">
        <v>14</v>
      </c>
      <c r="D1190" s="8" t="str">
        <f>HYPERLINK("http://npthd.inbcu.com/ViewContent.aspx?filename=NPMR_CBS_2017-07-04_E.MP4$8665$8685","Salvation")</f>
        <v>Salvation</v>
      </c>
      <c r="E1190" s="3" t="s">
        <v>1805</v>
      </c>
      <c r="F1190" s="3" t="s">
        <v>2987</v>
      </c>
      <c r="G1190" s="3" t="s">
        <v>2988</v>
      </c>
    </row>
    <row r="1191" spans="1:7">
      <c r="A1191" s="6">
        <v>42920</v>
      </c>
      <c r="B1191" s="3" t="s">
        <v>2053</v>
      </c>
      <c r="C1191" s="3" t="s">
        <v>18</v>
      </c>
      <c r="D1191" s="8" t="str">
        <f>HYPERLINK("http://npthd.inbcu.com/ViewContent.aspx?filename=NPMR_CBS_2017-07-04_E.MP4$8685$9157","NCIS: NEW ORLEANS: follow the money")</f>
        <v>NCIS: NEW ORLEANS: follow the money</v>
      </c>
      <c r="E1191" s="3" t="s">
        <v>2989</v>
      </c>
      <c r="F1191" s="3" t="s">
        <v>2988</v>
      </c>
      <c r="G1191" s="3" t="s">
        <v>2990</v>
      </c>
    </row>
    <row r="1192" spans="1:7">
      <c r="A1192" s="6">
        <v>42920</v>
      </c>
      <c r="B1192" s="3" t="s">
        <v>2053</v>
      </c>
      <c r="C1192" s="3" t="s">
        <v>21</v>
      </c>
      <c r="D1192" s="8" t="str">
        <f>HYPERLINK("http://npthd.inbcu.com/ViewContent.aspx?filename=NPMR_CBS_2017-07-04_E.MP4$9157$9279","COMMERCIAL")</f>
        <v>COMMERCIAL</v>
      </c>
      <c r="E1192" s="3" t="s">
        <v>252</v>
      </c>
      <c r="F1192" s="3" t="s">
        <v>2990</v>
      </c>
      <c r="G1192" s="3" t="s">
        <v>2991</v>
      </c>
    </row>
    <row r="1193" spans="1:7">
      <c r="A1193" s="6">
        <v>42920</v>
      </c>
      <c r="B1193" s="3" t="s">
        <v>2053</v>
      </c>
      <c r="C1193" s="3" t="s">
        <v>32</v>
      </c>
      <c r="D1193" s="8" t="str">
        <f>HYPERLINK("http://npthd.inbcu.com/ViewContent.aspx?filename=NPMR_CBS_2017-07-04_E.MP4$9279$9420","LOCAL")</f>
        <v>LOCAL</v>
      </c>
      <c r="E1193" s="3" t="s">
        <v>1753</v>
      </c>
      <c r="F1193" s="3" t="s">
        <v>2991</v>
      </c>
      <c r="G1193" s="3" t="s">
        <v>2992</v>
      </c>
    </row>
    <row r="1194" spans="1:7">
      <c r="A1194" s="6">
        <v>42920</v>
      </c>
      <c r="B1194" s="3" t="s">
        <v>2053</v>
      </c>
      <c r="C1194" s="3" t="s">
        <v>18</v>
      </c>
      <c r="D1194" s="8" t="str">
        <f>HYPERLINK("http://npthd.inbcu.com/ViewContent.aspx?filename=NPMR_CBS_2017-07-04_E.MP4$9420$10049","NCIS: NEW ORLEANS: follow the money")</f>
        <v>NCIS: NEW ORLEANS: follow the money</v>
      </c>
      <c r="E1194" s="3" t="s">
        <v>406</v>
      </c>
      <c r="F1194" s="3" t="s">
        <v>2992</v>
      </c>
      <c r="G1194" s="3" t="s">
        <v>2993</v>
      </c>
    </row>
    <row r="1195" spans="1:7">
      <c r="A1195" s="6">
        <v>42920</v>
      </c>
      <c r="B1195" s="3" t="s">
        <v>2053</v>
      </c>
      <c r="C1195" s="3" t="s">
        <v>21</v>
      </c>
      <c r="D1195" s="8" t="str">
        <f>HYPERLINK("http://npthd.inbcu.com/ViewContent.aspx?filename=NPMR_CBS_2017-07-04_E.MP4$10049$10231","COMMERCIAL")</f>
        <v>COMMERCIAL</v>
      </c>
      <c r="E1195" s="3" t="s">
        <v>275</v>
      </c>
      <c r="F1195" s="3" t="s">
        <v>2993</v>
      </c>
      <c r="G1195" s="3" t="s">
        <v>2994</v>
      </c>
    </row>
    <row r="1196" spans="1:7">
      <c r="A1196" s="6">
        <v>42920</v>
      </c>
      <c r="B1196" s="3" t="s">
        <v>2053</v>
      </c>
      <c r="C1196" s="3" t="s">
        <v>14</v>
      </c>
      <c r="D1196" s="8" t="str">
        <f>HYPERLINK("http://npthd.inbcu.com/ViewContent.aspx?filename=NPMR_CBS_2017-07-04_E.MP4$10231$10243","Late Show with Stephen Colbert")</f>
        <v>Late Show with Stephen Colbert</v>
      </c>
      <c r="E1196" s="3" t="s">
        <v>2057</v>
      </c>
      <c r="F1196" s="3" t="s">
        <v>2994</v>
      </c>
      <c r="G1196" s="3" t="s">
        <v>2842</v>
      </c>
    </row>
    <row r="1197" spans="1:7">
      <c r="A1197" s="6">
        <v>42920</v>
      </c>
      <c r="B1197" s="3" t="s">
        <v>2053</v>
      </c>
      <c r="C1197" s="3" t="s">
        <v>14</v>
      </c>
      <c r="D1197" s="8" t="str">
        <f>HYPERLINK("http://npthd.inbcu.com/ViewContent.aspx?filename=NPMR_CBS_2017-07-04_E.MP4$10243$10253","Talk, The")</f>
        <v>Talk, The</v>
      </c>
      <c r="E1197" s="3" t="s">
        <v>197</v>
      </c>
      <c r="F1197" s="3" t="s">
        <v>2842</v>
      </c>
      <c r="G1197" s="3" t="s">
        <v>2995</v>
      </c>
    </row>
    <row r="1198" spans="1:7">
      <c r="A1198" s="6">
        <v>42920</v>
      </c>
      <c r="B1198" s="3" t="s">
        <v>2053</v>
      </c>
      <c r="C1198" s="3" t="s">
        <v>32</v>
      </c>
      <c r="D1198" s="8" t="str">
        <f>HYPERLINK("http://npthd.inbcu.com/ViewContent.aspx?filename=NPMR_CBS_2017-07-04_E.MP4$10253$10348","LOCAL")</f>
        <v>LOCAL</v>
      </c>
      <c r="E1198" s="3" t="s">
        <v>2076</v>
      </c>
      <c r="F1198" s="3" t="s">
        <v>2995</v>
      </c>
      <c r="G1198" s="3" t="s">
        <v>2996</v>
      </c>
    </row>
    <row r="1199" spans="1:7">
      <c r="A1199" s="6">
        <v>42920</v>
      </c>
      <c r="B1199" s="3" t="s">
        <v>2053</v>
      </c>
      <c r="C1199" s="3" t="s">
        <v>18</v>
      </c>
      <c r="D1199" s="8" t="str">
        <f>HYPERLINK("http://npthd.inbcu.com/ViewContent.aspx?filename=NPMR_CBS_2017-07-04_E.MP4$10348$10801","NCIS: NEW ORLEANS: follow the money")</f>
        <v>NCIS: NEW ORLEANS: follow the money</v>
      </c>
      <c r="E1199" s="3" t="s">
        <v>1758</v>
      </c>
      <c r="F1199" s="3" t="s">
        <v>2996</v>
      </c>
      <c r="G1199" s="3" t="s">
        <v>2313</v>
      </c>
    </row>
    <row r="1200" spans="1:7">
      <c r="A1200" s="6">
        <v>42920</v>
      </c>
      <c r="B1200" s="3" t="s">
        <v>2053</v>
      </c>
      <c r="C1200" s="3" t="s">
        <v>32</v>
      </c>
      <c r="D1200" s="8" t="str">
        <f>HYPERLINK("http://npthd.inbcu.com/ViewContent.aspx?filename=NPMR_CBS_2017-07-04_E.MP4$10801$10813","LOCAL")</f>
        <v>LOCAL</v>
      </c>
      <c r="E1200" s="3" t="s">
        <v>2057</v>
      </c>
      <c r="F1200" s="3" t="s">
        <v>2313</v>
      </c>
      <c r="G1200" s="3" t="s">
        <v>2951</v>
      </c>
    </row>
    <row r="1201" spans="1:7">
      <c r="A1201" s="6">
        <v>42920</v>
      </c>
      <c r="B1201" s="3" t="s">
        <v>2053</v>
      </c>
      <c r="C1201" s="3" t="s">
        <v>21</v>
      </c>
      <c r="D1201" s="8" t="str">
        <f>HYPERLINK("http://npthd.inbcu.com/ViewContent.aspx?filename=NPMR_CBS_2017-07-04_E.MP4$10813$10875","COMMERCIAL")</f>
        <v>COMMERCIAL</v>
      </c>
      <c r="E1201" s="3" t="s">
        <v>257</v>
      </c>
      <c r="F1201" s="3" t="s">
        <v>2951</v>
      </c>
      <c r="G1201" s="3" t="s">
        <v>938</v>
      </c>
    </row>
    <row r="1202" spans="1:7">
      <c r="A1202" s="6">
        <v>42920</v>
      </c>
      <c r="B1202" s="3" t="s">
        <v>2053</v>
      </c>
      <c r="C1202" s="3" t="s">
        <v>14</v>
      </c>
      <c r="D1202" s="8" t="str">
        <f>HYPERLINK("http://npthd.inbcu.com/ViewContent.aspx?filename=NPMR_CBS_2017-07-04_E.MP4$10875$10881","Late Show with Stephen Colbert")</f>
        <v>Late Show with Stephen Colbert</v>
      </c>
      <c r="E1202" s="3" t="s">
        <v>15</v>
      </c>
      <c r="F1202" s="3" t="s">
        <v>938</v>
      </c>
      <c r="G1202" s="3" t="s">
        <v>773</v>
      </c>
    </row>
    <row r="1203" spans="1:7">
      <c r="A1203" s="6">
        <v>42920</v>
      </c>
      <c r="B1203" s="3" t="s">
        <v>2053</v>
      </c>
      <c r="C1203" s="3" t="s">
        <v>14</v>
      </c>
      <c r="D1203" s="8" t="str">
        <f>HYPERLINK("http://npthd.inbcu.com/ViewContent.aspx?filename=NPMR_CBS_2017-07-04_E.MP4$10881$10902","Zoo")</f>
        <v>Zoo</v>
      </c>
      <c r="E1203" s="3" t="s">
        <v>2067</v>
      </c>
      <c r="F1203" s="3" t="s">
        <v>773</v>
      </c>
      <c r="G1203" s="3" t="s">
        <v>2316</v>
      </c>
    </row>
    <row r="1204" spans="1:7">
      <c r="A1204" s="6">
        <v>42920</v>
      </c>
      <c r="B1204" s="3" t="s">
        <v>2053</v>
      </c>
      <c r="C1204" s="3" t="s">
        <v>18</v>
      </c>
      <c r="D1204" s="8" t="str">
        <f>HYPERLINK("http://npthd.inbcu.com/ViewContent.aspx?filename=NPMR_CBS_2017-07-04_E.MP4$10902$10907","NCIS: NEW ORLEANS: follow the money")</f>
        <v>NCIS: NEW ORLEANS: follow the money</v>
      </c>
      <c r="E1204" s="3" t="s">
        <v>54</v>
      </c>
      <c r="F1204" s="3" t="s">
        <v>2316</v>
      </c>
      <c r="G1204" s="3" t="s">
        <v>2317</v>
      </c>
    </row>
    <row r="1205" spans="1:7">
      <c r="A1205" s="6">
        <v>42920</v>
      </c>
      <c r="B1205" s="3" t="s">
        <v>2053</v>
      </c>
      <c r="C1205" s="3" t="s">
        <v>32</v>
      </c>
      <c r="D1205" s="8" t="str">
        <f>HYPERLINK("http://npthd.inbcu.com/ViewContent.aspx?filename=NPMR_CBS_2017-07-04_E.MP4$10907$10919","LOCAL")</f>
        <v>LOCAL</v>
      </c>
      <c r="E1205" s="3" t="s">
        <v>2057</v>
      </c>
      <c r="F1205" s="3" t="s">
        <v>2317</v>
      </c>
      <c r="G1205" s="3" t="s">
        <v>124</v>
      </c>
    </row>
    <row r="1206" spans="1:7">
      <c r="A1206" s="6">
        <v>42921</v>
      </c>
      <c r="B1206" s="3" t="s">
        <v>2053</v>
      </c>
      <c r="C1206" s="3" t="s">
        <v>18</v>
      </c>
      <c r="D1206" s="8" t="str">
        <f>HYPERLINK("http://npthd.inbcu.com/ViewContent.aspx?filename=NPMR_CBS_2017-07-05_E.MP4$118$1116","BIG BROTHER 19: 1904")</f>
        <v>BIG BROTHER 19: 1904</v>
      </c>
      <c r="E1206" s="3" t="s">
        <v>2997</v>
      </c>
      <c r="F1206" s="3" t="s">
        <v>16</v>
      </c>
      <c r="G1206" s="3" t="s">
        <v>2998</v>
      </c>
    </row>
    <row r="1207" spans="1:7">
      <c r="A1207" s="6">
        <v>42921</v>
      </c>
      <c r="B1207" s="3" t="s">
        <v>2053</v>
      </c>
      <c r="C1207" s="3" t="s">
        <v>21</v>
      </c>
      <c r="D1207" s="8" t="str">
        <f>HYPERLINK("http://npthd.inbcu.com/ViewContent.aspx?filename=NPMR_CBS_2017-07-05_E.MP4$1116$1268","COMMERCIAL")</f>
        <v>COMMERCIAL</v>
      </c>
      <c r="E1207" s="3" t="s">
        <v>128</v>
      </c>
      <c r="F1207" s="3" t="s">
        <v>2998</v>
      </c>
      <c r="G1207" s="3" t="s">
        <v>2999</v>
      </c>
    </row>
    <row r="1208" spans="1:7">
      <c r="A1208" s="6">
        <v>42921</v>
      </c>
      <c r="B1208" s="3" t="s">
        <v>2053</v>
      </c>
      <c r="C1208" s="3" t="s">
        <v>14</v>
      </c>
      <c r="D1208" s="8" t="str">
        <f>HYPERLINK("http://npthd.inbcu.com/ViewContent.aspx?filename=NPMR_CBS_2017-07-05_E.MP4$1268$1279","Candy Crush")</f>
        <v>Candy Crush</v>
      </c>
      <c r="E1208" s="3" t="s">
        <v>1940</v>
      </c>
      <c r="F1208" s="3" t="s">
        <v>2999</v>
      </c>
      <c r="G1208" s="3" t="s">
        <v>3000</v>
      </c>
    </row>
    <row r="1209" spans="1:7">
      <c r="A1209" s="6">
        <v>42921</v>
      </c>
      <c r="B1209" s="3" t="s">
        <v>2053</v>
      </c>
      <c r="C1209" s="3" t="s">
        <v>14</v>
      </c>
      <c r="D1209" s="8" t="str">
        <f>HYPERLINK("http://npthd.inbcu.com/ViewContent.aspx?filename=NPMR_CBS_2017-07-05_E.MP4$1279$1289","Young Sheldon")</f>
        <v>Young Sheldon</v>
      </c>
      <c r="E1209" s="3" t="s">
        <v>197</v>
      </c>
      <c r="F1209" s="3" t="s">
        <v>3000</v>
      </c>
      <c r="G1209" s="3" t="s">
        <v>3001</v>
      </c>
    </row>
    <row r="1210" spans="1:7">
      <c r="A1210" s="6">
        <v>42921</v>
      </c>
      <c r="B1210" s="3" t="s">
        <v>2053</v>
      </c>
      <c r="C1210" s="3" t="s">
        <v>14</v>
      </c>
      <c r="D1210" s="8" t="str">
        <f>HYPERLINK("http://npthd.inbcu.com/ViewContent.aspx?filename=NPMR_CBS_2017-07-05_E.MP4$1289$1299","cbs.com/BigBrother (Live Feed)")</f>
        <v>cbs.com/BigBrother (Live Feed)</v>
      </c>
      <c r="E1210" s="3" t="s">
        <v>197</v>
      </c>
      <c r="F1210" s="3" t="s">
        <v>3001</v>
      </c>
      <c r="G1210" s="3" t="s">
        <v>3002</v>
      </c>
    </row>
    <row r="1211" spans="1:7">
      <c r="A1211" s="6">
        <v>42921</v>
      </c>
      <c r="B1211" s="3" t="s">
        <v>2053</v>
      </c>
      <c r="C1211" s="3" t="s">
        <v>18</v>
      </c>
      <c r="D1211" s="8" t="str">
        <f>HYPERLINK("http://npthd.inbcu.com/ViewContent.aspx?filename=NPMR_CBS_2017-07-05_E.MP4$1299$1833","BIG BROTHER 19: 1904")</f>
        <v>BIG BROTHER 19: 1904</v>
      </c>
      <c r="E1211" s="3" t="s">
        <v>1773</v>
      </c>
      <c r="F1211" s="3" t="s">
        <v>3002</v>
      </c>
      <c r="G1211" s="3" t="s">
        <v>3003</v>
      </c>
    </row>
    <row r="1212" spans="1:7">
      <c r="A1212" s="6">
        <v>42921</v>
      </c>
      <c r="B1212" s="3" t="s">
        <v>2053</v>
      </c>
      <c r="C1212" s="3" t="s">
        <v>21</v>
      </c>
      <c r="D1212" s="8" t="str">
        <f>HYPERLINK("http://npthd.inbcu.com/ViewContent.aspx?filename=NPMR_CBS_2017-07-05_E.MP4$1833$1984","COMMERCIAL")</f>
        <v>COMMERCIAL</v>
      </c>
      <c r="E1212" s="3" t="s">
        <v>91</v>
      </c>
      <c r="F1212" s="3" t="s">
        <v>3003</v>
      </c>
      <c r="G1212" s="3" t="s">
        <v>3004</v>
      </c>
    </row>
    <row r="1213" spans="1:7">
      <c r="A1213" s="6">
        <v>42921</v>
      </c>
      <c r="B1213" s="3" t="s">
        <v>2053</v>
      </c>
      <c r="C1213" s="3" t="s">
        <v>1618</v>
      </c>
      <c r="D1213" s="8" t="str">
        <f>HYPERLINK("http://npthd.inbcu.com/ViewContent.aspx?filename=NPMR_CBS_2017-07-05_E.MP4$1984$1994","PSA")</f>
        <v>PSA</v>
      </c>
      <c r="E1213" s="3" t="s">
        <v>197</v>
      </c>
      <c r="F1213" s="3" t="s">
        <v>3004</v>
      </c>
      <c r="G1213" s="3" t="s">
        <v>3005</v>
      </c>
    </row>
    <row r="1214" spans="1:7">
      <c r="A1214" s="6">
        <v>42921</v>
      </c>
      <c r="B1214" s="3" t="s">
        <v>2053</v>
      </c>
      <c r="C1214" s="3" t="s">
        <v>14</v>
      </c>
      <c r="D1214" s="8" t="str">
        <f>HYPERLINK("http://npthd.inbcu.com/ViewContent.aspx?filename=NPMR_CBS_2017-07-05_E.MP4$1994$2005","Zoo")</f>
        <v>Zoo</v>
      </c>
      <c r="E1214" s="3" t="s">
        <v>1940</v>
      </c>
      <c r="F1214" s="3" t="s">
        <v>3005</v>
      </c>
      <c r="G1214" s="3" t="s">
        <v>3006</v>
      </c>
    </row>
    <row r="1215" spans="1:7">
      <c r="A1215" s="6">
        <v>42921</v>
      </c>
      <c r="B1215" s="3" t="s">
        <v>2053</v>
      </c>
      <c r="C1215" s="3" t="s">
        <v>14</v>
      </c>
      <c r="D1215" s="8" t="str">
        <f>HYPERLINK("http://npthd.inbcu.com/ViewContent.aspx?filename=NPMR_CBS_2017-07-05_E.MP4$2005$2025","Salvation")</f>
        <v>Salvation</v>
      </c>
      <c r="E1215" s="3" t="s">
        <v>1805</v>
      </c>
      <c r="F1215" s="3" t="s">
        <v>3006</v>
      </c>
      <c r="G1215" s="3" t="s">
        <v>3007</v>
      </c>
    </row>
    <row r="1216" spans="1:7">
      <c r="A1216" s="6">
        <v>42921</v>
      </c>
      <c r="B1216" s="3" t="s">
        <v>2053</v>
      </c>
      <c r="C1216" s="3" t="s">
        <v>14</v>
      </c>
      <c r="D1216" s="8" t="str">
        <f>HYPERLINK("http://npthd.inbcu.com/ViewContent.aspx?filename=NPMR_CBS_2017-07-05_E.MP4$2025$2037","CBS.com/App")</f>
        <v>CBS.com/App</v>
      </c>
      <c r="E1216" s="3" t="s">
        <v>2057</v>
      </c>
      <c r="F1216" s="3" t="s">
        <v>3007</v>
      </c>
      <c r="G1216" s="3" t="s">
        <v>3008</v>
      </c>
    </row>
    <row r="1217" spans="1:7">
      <c r="A1217" s="6">
        <v>42921</v>
      </c>
      <c r="B1217" s="3" t="s">
        <v>2053</v>
      </c>
      <c r="C1217" s="3" t="s">
        <v>18</v>
      </c>
      <c r="D1217" s="8" t="str">
        <f>HYPERLINK("http://npthd.inbcu.com/ViewContent.aspx?filename=NPMR_CBS_2017-07-05_E.MP4$2037$2268","BIG BROTHER 19: 1904")</f>
        <v>BIG BROTHER 19: 1904</v>
      </c>
      <c r="E1217" s="3" t="s">
        <v>215</v>
      </c>
      <c r="F1217" s="3" t="s">
        <v>3008</v>
      </c>
      <c r="G1217" s="3" t="s">
        <v>3009</v>
      </c>
    </row>
    <row r="1218" spans="1:7">
      <c r="A1218" s="6">
        <v>42921</v>
      </c>
      <c r="B1218" s="3" t="s">
        <v>2053</v>
      </c>
      <c r="C1218" s="3" t="s">
        <v>21</v>
      </c>
      <c r="D1218" s="8" t="str">
        <f>HYPERLINK("http://npthd.inbcu.com/ViewContent.aspx?filename=NPMR_CBS_2017-07-05_E.MP4$2268$2418","COMMERCIAL")</f>
        <v>COMMERCIAL</v>
      </c>
      <c r="E1218" s="3" t="s">
        <v>28</v>
      </c>
      <c r="F1218" s="3" t="s">
        <v>3009</v>
      </c>
      <c r="G1218" s="3" t="s">
        <v>3010</v>
      </c>
    </row>
    <row r="1219" spans="1:7">
      <c r="A1219" s="6">
        <v>42921</v>
      </c>
      <c r="B1219" s="3" t="s">
        <v>2053</v>
      </c>
      <c r="C1219" s="3" t="s">
        <v>32</v>
      </c>
      <c r="D1219" s="8" t="str">
        <f>HYPERLINK("http://npthd.inbcu.com/ViewContent.aspx?filename=NPMR_CBS_2017-07-05_E.MP4$2418$2483","LOCAL")</f>
        <v>LOCAL</v>
      </c>
      <c r="E1219" s="3" t="s">
        <v>580</v>
      </c>
      <c r="F1219" s="3" t="s">
        <v>3010</v>
      </c>
      <c r="G1219" s="3" t="s">
        <v>3011</v>
      </c>
    </row>
    <row r="1220" spans="1:7">
      <c r="A1220" s="6">
        <v>42921</v>
      </c>
      <c r="B1220" s="3" t="s">
        <v>2053</v>
      </c>
      <c r="C1220" s="3" t="s">
        <v>14</v>
      </c>
      <c r="D1220" s="8" t="str">
        <f>HYPERLINK("http://npthd.inbcu.com/ViewContent.aspx?filename=NPMR_CBS_2017-07-05_E.MP4$2483$2494","cbs.com/BigBrother (Live Feed)")</f>
        <v>cbs.com/BigBrother (Live Feed)</v>
      </c>
      <c r="E1220" s="3" t="s">
        <v>1940</v>
      </c>
      <c r="F1220" s="3" t="s">
        <v>3011</v>
      </c>
      <c r="G1220" s="3" t="s">
        <v>3012</v>
      </c>
    </row>
    <row r="1221" spans="1:7">
      <c r="A1221" s="6">
        <v>42921</v>
      </c>
      <c r="B1221" s="3" t="s">
        <v>2053</v>
      </c>
      <c r="C1221" s="3" t="s">
        <v>18</v>
      </c>
      <c r="D1221" s="8" t="str">
        <f>HYPERLINK("http://npthd.inbcu.com/ViewContent.aspx?filename=NPMR_CBS_2017-07-05_E.MP4$2494$2892","BIG BROTHER 19: 1904")</f>
        <v>BIG BROTHER 19: 1904</v>
      </c>
      <c r="E1221" s="3" t="s">
        <v>2636</v>
      </c>
      <c r="F1221" s="3" t="s">
        <v>3012</v>
      </c>
      <c r="G1221" s="3" t="s">
        <v>3013</v>
      </c>
    </row>
    <row r="1222" spans="1:7">
      <c r="A1222" s="6">
        <v>42921</v>
      </c>
      <c r="B1222" s="3" t="s">
        <v>2053</v>
      </c>
      <c r="C1222" s="3" t="s">
        <v>21</v>
      </c>
      <c r="D1222" s="8" t="str">
        <f>HYPERLINK("http://npthd.inbcu.com/ViewContent.aspx?filename=NPMR_CBS_2017-07-05_E.MP4$2892$3044","COMMERCIAL")</f>
        <v>COMMERCIAL</v>
      </c>
      <c r="E1222" s="3" t="s">
        <v>128</v>
      </c>
      <c r="F1222" s="3" t="s">
        <v>3013</v>
      </c>
      <c r="G1222" s="3" t="s">
        <v>3014</v>
      </c>
    </row>
    <row r="1223" spans="1:7">
      <c r="A1223" s="6">
        <v>42921</v>
      </c>
      <c r="B1223" s="3" t="s">
        <v>2053</v>
      </c>
      <c r="C1223" s="3" t="s">
        <v>14</v>
      </c>
      <c r="D1223" s="8" t="str">
        <f>HYPERLINK("http://npthd.inbcu.com/ViewContent.aspx?filename=NPMR_CBS_2017-07-05_E.MP4$3044$3054","Talk, The")</f>
        <v>Talk, The</v>
      </c>
      <c r="E1223" s="3" t="s">
        <v>197</v>
      </c>
      <c r="F1223" s="3" t="s">
        <v>3014</v>
      </c>
      <c r="G1223" s="3" t="s">
        <v>3015</v>
      </c>
    </row>
    <row r="1224" spans="1:7">
      <c r="A1224" s="6">
        <v>42921</v>
      </c>
      <c r="B1224" s="3" t="s">
        <v>2053</v>
      </c>
      <c r="C1224" s="3" t="s">
        <v>14</v>
      </c>
      <c r="D1224" s="8" t="str">
        <f>HYPERLINK("http://npthd.inbcu.com/ViewContent.aspx?filename=NPMR_CBS_2017-07-05_E.MP4$3054$3074","Candy Crush")</f>
        <v>Candy Crush</v>
      </c>
      <c r="E1224" s="3" t="s">
        <v>1805</v>
      </c>
      <c r="F1224" s="3" t="s">
        <v>3015</v>
      </c>
      <c r="G1224" s="3" t="s">
        <v>630</v>
      </c>
    </row>
    <row r="1225" spans="1:7">
      <c r="A1225" s="6">
        <v>42921</v>
      </c>
      <c r="B1225" s="3" t="s">
        <v>2053</v>
      </c>
      <c r="C1225" s="3" t="s">
        <v>18</v>
      </c>
      <c r="D1225" s="8" t="str">
        <f>HYPERLINK("http://npthd.inbcu.com/ViewContent.aspx?filename=NPMR_CBS_2017-07-05_E.MP4$3074$3495","BIG BROTHER 19: 1904")</f>
        <v>BIG BROTHER 19: 1904</v>
      </c>
      <c r="E1225" s="3" t="s">
        <v>281</v>
      </c>
      <c r="F1225" s="3" t="s">
        <v>630</v>
      </c>
      <c r="G1225" s="3" t="s">
        <v>1558</v>
      </c>
    </row>
    <row r="1226" spans="1:7">
      <c r="A1226" s="6">
        <v>42921</v>
      </c>
      <c r="B1226" s="3" t="s">
        <v>2053</v>
      </c>
      <c r="C1226" s="3" t="s">
        <v>21</v>
      </c>
      <c r="D1226" s="8" t="str">
        <f>HYPERLINK("http://npthd.inbcu.com/ViewContent.aspx?filename=NPMR_CBS_2017-07-05_E.MP4$3495$3556","COMMERCIAL")</f>
        <v>COMMERCIAL</v>
      </c>
      <c r="E1226" s="3" t="s">
        <v>33</v>
      </c>
      <c r="F1226" s="3" t="s">
        <v>1558</v>
      </c>
      <c r="G1226" s="3" t="s">
        <v>3016</v>
      </c>
    </row>
    <row r="1227" spans="1:7">
      <c r="A1227" s="6">
        <v>42921</v>
      </c>
      <c r="B1227" s="3" t="s">
        <v>2053</v>
      </c>
      <c r="C1227" s="3" t="s">
        <v>14</v>
      </c>
      <c r="D1227" s="8" t="str">
        <f>HYPERLINK("http://npthd.inbcu.com/ViewContent.aspx?filename=NPMR_CBS_2017-07-05_E.MP4$3556$3566","Late Show with Stephen Colbert")</f>
        <v>Late Show with Stephen Colbert</v>
      </c>
      <c r="E1227" s="3" t="s">
        <v>197</v>
      </c>
      <c r="F1227" s="3" t="s">
        <v>3016</v>
      </c>
      <c r="G1227" s="3" t="s">
        <v>3017</v>
      </c>
    </row>
    <row r="1228" spans="1:7">
      <c r="A1228" s="6">
        <v>42921</v>
      </c>
      <c r="B1228" s="3" t="s">
        <v>2053</v>
      </c>
      <c r="C1228" s="3" t="s">
        <v>14</v>
      </c>
      <c r="D1228" s="8" t="str">
        <f>HYPERLINK("http://npthd.inbcu.com/ViewContent.aspx?filename=NPMR_CBS_2017-07-05_E.MP4$3566$3586","Salvation")</f>
        <v>Salvation</v>
      </c>
      <c r="E1228" s="3" t="s">
        <v>1805</v>
      </c>
      <c r="F1228" s="3" t="s">
        <v>3017</v>
      </c>
      <c r="G1228" s="3" t="s">
        <v>3018</v>
      </c>
    </row>
    <row r="1229" spans="1:7">
      <c r="A1229" s="6">
        <v>42921</v>
      </c>
      <c r="B1229" s="3" t="s">
        <v>2053</v>
      </c>
      <c r="C1229" s="3" t="s">
        <v>14</v>
      </c>
      <c r="D1229" s="8" t="str">
        <f>HYPERLINK("http://npthd.inbcu.com/ViewContent.aspx?filename=NPMR_CBS_2017-07-05_E.MP4$3586$3618","Big Bang Theory")</f>
        <v>Big Bang Theory</v>
      </c>
      <c r="E1229" s="3" t="s">
        <v>213</v>
      </c>
      <c r="F1229" s="3" t="s">
        <v>3018</v>
      </c>
      <c r="G1229" s="3" t="s">
        <v>2464</v>
      </c>
    </row>
    <row r="1230" spans="1:7">
      <c r="A1230" s="6">
        <v>42921</v>
      </c>
      <c r="B1230" s="3" t="s">
        <v>2053</v>
      </c>
      <c r="C1230" s="3" t="s">
        <v>18</v>
      </c>
      <c r="D1230" s="8" t="str">
        <f>HYPERLINK("http://npthd.inbcu.com/ViewContent.aspx?filename=NPMR_CBS_2017-07-05_E.MP4$3618$3623","BIG BROTHER 19: 1904")</f>
        <v>BIG BROTHER 19: 1904</v>
      </c>
      <c r="E1230" s="3" t="s">
        <v>54</v>
      </c>
      <c r="F1230" s="3" t="s">
        <v>2464</v>
      </c>
      <c r="G1230" s="3" t="s">
        <v>528</v>
      </c>
    </row>
    <row r="1231" spans="1:7">
      <c r="A1231" s="6">
        <v>42921</v>
      </c>
      <c r="B1231" s="3" t="s">
        <v>2053</v>
      </c>
      <c r="C1231" s="3" t="s">
        <v>32</v>
      </c>
      <c r="D1231" s="8" t="str">
        <f>HYPERLINK("http://npthd.inbcu.com/ViewContent.aspx?filename=NPMR_CBS_2017-07-05_E.MP4$3623$3718","LOCAL")</f>
        <v>LOCAL</v>
      </c>
      <c r="E1231" s="3" t="s">
        <v>2076</v>
      </c>
      <c r="F1231" s="3" t="s">
        <v>528</v>
      </c>
      <c r="G1231" s="3" t="s">
        <v>242</v>
      </c>
    </row>
    <row r="1232" spans="1:7">
      <c r="A1232" s="6">
        <v>42921</v>
      </c>
      <c r="B1232" s="3" t="s">
        <v>2053</v>
      </c>
      <c r="C1232" s="3" t="s">
        <v>14</v>
      </c>
      <c r="D1232" s="8" t="str">
        <f>HYPERLINK("http://npthd.inbcu.com/ViewContent.aspx?filename=NPMR_CBS_2017-07-05_E.MP4$3718$3723","Zoo")</f>
        <v>Zoo</v>
      </c>
      <c r="E1232" s="3" t="s">
        <v>54</v>
      </c>
      <c r="F1232" s="3" t="s">
        <v>242</v>
      </c>
      <c r="G1232" s="3" t="s">
        <v>243</v>
      </c>
    </row>
    <row r="1233" spans="1:7">
      <c r="A1233" s="6">
        <v>42921</v>
      </c>
      <c r="B1233" s="3" t="s">
        <v>2053</v>
      </c>
      <c r="C1233" s="3" t="s">
        <v>18</v>
      </c>
      <c r="D1233" s="8" t="str">
        <f>HYPERLINK("http://npthd.inbcu.com/ViewContent.aspx?filename=NPMR_CBS_2017-07-05_E.MP4$3723$4057","CRIMINAL MINDS: surface tension")</f>
        <v>CRIMINAL MINDS: surface tension</v>
      </c>
      <c r="E1233" s="3" t="s">
        <v>3019</v>
      </c>
      <c r="F1233" s="3" t="s">
        <v>243</v>
      </c>
      <c r="G1233" s="3" t="s">
        <v>3020</v>
      </c>
    </row>
    <row r="1234" spans="1:7">
      <c r="A1234" s="6">
        <v>42921</v>
      </c>
      <c r="B1234" s="3" t="s">
        <v>2053</v>
      </c>
      <c r="C1234" s="3" t="s">
        <v>21</v>
      </c>
      <c r="D1234" s="8" t="str">
        <f>HYPERLINK("http://npthd.inbcu.com/ViewContent.aspx?filename=NPMR_CBS_2017-07-05_E.MP4$4057$4180","COMMERCIAL")</f>
        <v>COMMERCIAL</v>
      </c>
      <c r="E1234" s="3" t="s">
        <v>2722</v>
      </c>
      <c r="F1234" s="3" t="s">
        <v>3020</v>
      </c>
      <c r="G1234" s="3" t="s">
        <v>3021</v>
      </c>
    </row>
    <row r="1235" spans="1:7">
      <c r="A1235" s="6">
        <v>42921</v>
      </c>
      <c r="B1235" s="3" t="s">
        <v>2053</v>
      </c>
      <c r="C1235" s="3" t="s">
        <v>14</v>
      </c>
      <c r="D1235" s="8" t="str">
        <f>HYPERLINK("http://npthd.inbcu.com/ViewContent.aspx?filename=NPMR_CBS_2017-07-05_E.MP4$4180$4200","Candy Crush")</f>
        <v>Candy Crush</v>
      </c>
      <c r="E1235" s="3" t="s">
        <v>1805</v>
      </c>
      <c r="F1235" s="3" t="s">
        <v>3021</v>
      </c>
      <c r="G1235" s="3" t="s">
        <v>3022</v>
      </c>
    </row>
    <row r="1236" spans="1:7">
      <c r="A1236" s="6">
        <v>42921</v>
      </c>
      <c r="B1236" s="3" t="s">
        <v>2053</v>
      </c>
      <c r="C1236" s="3" t="s">
        <v>18</v>
      </c>
      <c r="D1236" s="8" t="str">
        <f>HYPERLINK("http://npthd.inbcu.com/ViewContent.aspx?filename=NPMR_CBS_2017-07-05_E.MP4$4200$4874","CRIMINAL MINDS: surface tension")</f>
        <v>CRIMINAL MINDS: surface tension</v>
      </c>
      <c r="E1236" s="3" t="s">
        <v>3023</v>
      </c>
      <c r="F1236" s="3" t="s">
        <v>3022</v>
      </c>
      <c r="G1236" s="3" t="s">
        <v>3024</v>
      </c>
    </row>
    <row r="1237" spans="1:7">
      <c r="A1237" s="6">
        <v>42921</v>
      </c>
      <c r="B1237" s="3" t="s">
        <v>2053</v>
      </c>
      <c r="C1237" s="3" t="s">
        <v>21</v>
      </c>
      <c r="D1237" s="8" t="str">
        <f>HYPERLINK("http://npthd.inbcu.com/ViewContent.aspx?filename=NPMR_CBS_2017-07-05_E.MP4$4874$5056","COMMERCIAL")</f>
        <v>COMMERCIAL</v>
      </c>
      <c r="E1237" s="3" t="s">
        <v>275</v>
      </c>
      <c r="F1237" s="3" t="s">
        <v>3024</v>
      </c>
      <c r="G1237" s="3" t="s">
        <v>65</v>
      </c>
    </row>
    <row r="1238" spans="1:7">
      <c r="A1238" s="6">
        <v>42921</v>
      </c>
      <c r="B1238" s="3" t="s">
        <v>2053</v>
      </c>
      <c r="C1238" s="3" t="s">
        <v>14</v>
      </c>
      <c r="D1238" s="8" t="str">
        <f>HYPERLINK("http://npthd.inbcu.com/ViewContent.aspx?filename=NPMR_CBS_2017-07-05_E.MP4$5056$5076","Seal Team")</f>
        <v>Seal Team</v>
      </c>
      <c r="E1238" s="3" t="s">
        <v>1805</v>
      </c>
      <c r="F1238" s="3" t="s">
        <v>65</v>
      </c>
      <c r="G1238" s="3" t="s">
        <v>3025</v>
      </c>
    </row>
    <row r="1239" spans="1:7">
      <c r="A1239" s="6">
        <v>42921</v>
      </c>
      <c r="B1239" s="3" t="s">
        <v>2053</v>
      </c>
      <c r="C1239" s="3" t="s">
        <v>18</v>
      </c>
      <c r="D1239" s="8" t="str">
        <f>HYPERLINK("http://npthd.inbcu.com/ViewContent.aspx?filename=NPMR_CBS_2017-07-05_E.MP4$5076$5855","CRIMINAL MINDS: surface tension")</f>
        <v>CRIMINAL MINDS: surface tension</v>
      </c>
      <c r="E1239" s="3" t="s">
        <v>3026</v>
      </c>
      <c r="F1239" s="3" t="s">
        <v>3025</v>
      </c>
      <c r="G1239" s="3" t="s">
        <v>3027</v>
      </c>
    </row>
    <row r="1240" spans="1:7">
      <c r="A1240" s="6">
        <v>42921</v>
      </c>
      <c r="B1240" s="3" t="s">
        <v>2053</v>
      </c>
      <c r="C1240" s="3" t="s">
        <v>21</v>
      </c>
      <c r="D1240" s="8" t="str">
        <f>HYPERLINK("http://npthd.inbcu.com/ViewContent.aspx?filename=NPMR_CBS_2017-07-05_E.MP4$5855$5947","COMMERCIAL")</f>
        <v>COMMERCIAL</v>
      </c>
      <c r="E1240" s="3" t="s">
        <v>267</v>
      </c>
      <c r="F1240" s="3" t="s">
        <v>3027</v>
      </c>
      <c r="G1240" s="3" t="s">
        <v>3028</v>
      </c>
    </row>
    <row r="1241" spans="1:7">
      <c r="A1241" s="6">
        <v>42921</v>
      </c>
      <c r="B1241" s="3" t="s">
        <v>2053</v>
      </c>
      <c r="C1241" s="3" t="s">
        <v>14</v>
      </c>
      <c r="D1241" s="8" t="str">
        <f>HYPERLINK("http://npthd.inbcu.com/ViewContent.aspx?filename=NPMR_CBS_2017-07-05_E.MP4$5947$5957","Late Show with Stephen Colbert")</f>
        <v>Late Show with Stephen Colbert</v>
      </c>
      <c r="E1241" s="3" t="s">
        <v>197</v>
      </c>
      <c r="F1241" s="3" t="s">
        <v>3028</v>
      </c>
      <c r="G1241" s="3" t="s">
        <v>1438</v>
      </c>
    </row>
    <row r="1242" spans="1:7">
      <c r="A1242" s="6">
        <v>42921</v>
      </c>
      <c r="B1242" s="3" t="s">
        <v>2053</v>
      </c>
      <c r="C1242" s="3" t="s">
        <v>14</v>
      </c>
      <c r="D1242" s="8" t="str">
        <f>HYPERLINK("http://npthd.inbcu.com/ViewContent.aspx?filename=NPMR_CBS_2017-07-05_E.MP4$5957$5977","Salvation")</f>
        <v>Salvation</v>
      </c>
      <c r="E1242" s="3" t="s">
        <v>1805</v>
      </c>
      <c r="F1242" s="3" t="s">
        <v>1438</v>
      </c>
      <c r="G1242" s="3" t="s">
        <v>3029</v>
      </c>
    </row>
    <row r="1243" spans="1:7">
      <c r="A1243" s="6">
        <v>42921</v>
      </c>
      <c r="B1243" s="3" t="s">
        <v>2053</v>
      </c>
      <c r="C1243" s="3" t="s">
        <v>32</v>
      </c>
      <c r="D1243" s="8" t="str">
        <f>HYPERLINK("http://npthd.inbcu.com/ViewContent.aspx?filename=NPMR_CBS_2017-07-05_E.MP4$5977$6042","LOCAL")</f>
        <v>LOCAL</v>
      </c>
      <c r="E1243" s="3" t="s">
        <v>580</v>
      </c>
      <c r="F1243" s="3" t="s">
        <v>3029</v>
      </c>
      <c r="G1243" s="3" t="s">
        <v>3030</v>
      </c>
    </row>
    <row r="1244" spans="1:7">
      <c r="A1244" s="6">
        <v>42921</v>
      </c>
      <c r="B1244" s="3" t="s">
        <v>2053</v>
      </c>
      <c r="C1244" s="3" t="s">
        <v>18</v>
      </c>
      <c r="D1244" s="8" t="str">
        <f>HYPERLINK("http://npthd.inbcu.com/ViewContent.aspx?filename=NPMR_CBS_2017-07-05_E.MP4$6042$6449","CRIMINAL MINDS: surface tension")</f>
        <v>CRIMINAL MINDS: surface tension</v>
      </c>
      <c r="E1244" s="3" t="s">
        <v>1464</v>
      </c>
      <c r="F1244" s="3" t="s">
        <v>3030</v>
      </c>
      <c r="G1244" s="3" t="s">
        <v>2477</v>
      </c>
    </row>
    <row r="1245" spans="1:7">
      <c r="A1245" s="6">
        <v>42921</v>
      </c>
      <c r="B1245" s="3" t="s">
        <v>2053</v>
      </c>
      <c r="C1245" s="3" t="s">
        <v>21</v>
      </c>
      <c r="D1245" s="8" t="str">
        <f>HYPERLINK("http://npthd.inbcu.com/ViewContent.aspx?filename=NPMR_CBS_2017-07-05_E.MP4$6449$6571","COMMERCIAL")</f>
        <v>COMMERCIAL</v>
      </c>
      <c r="E1245" s="3" t="s">
        <v>252</v>
      </c>
      <c r="F1245" s="3" t="s">
        <v>2477</v>
      </c>
      <c r="G1245" s="3" t="s">
        <v>3031</v>
      </c>
    </row>
    <row r="1246" spans="1:7">
      <c r="A1246" s="6">
        <v>42921</v>
      </c>
      <c r="B1246" s="3" t="s">
        <v>2053</v>
      </c>
      <c r="C1246" s="3" t="s">
        <v>14</v>
      </c>
      <c r="D1246" s="8" t="str">
        <f>HYPERLINK("http://npthd.inbcu.com/ViewContent.aspx?filename=NPMR_CBS_2017-07-05_E.MP4$6571$6582","CBS This Morning")</f>
        <v>CBS This Morning</v>
      </c>
      <c r="E1246" s="3" t="s">
        <v>1940</v>
      </c>
      <c r="F1246" s="3" t="s">
        <v>3031</v>
      </c>
      <c r="G1246" s="3" t="s">
        <v>2156</v>
      </c>
    </row>
    <row r="1247" spans="1:7">
      <c r="A1247" s="6">
        <v>42921</v>
      </c>
      <c r="B1247" s="3" t="s">
        <v>2053</v>
      </c>
      <c r="C1247" s="3" t="s">
        <v>14</v>
      </c>
      <c r="D1247" s="8" t="str">
        <f>HYPERLINK("http://npthd.inbcu.com/ViewContent.aspx?filename=NPMR_CBS_2017-07-05_E.MP4$6582$6592","Big Brother")</f>
        <v>Big Brother</v>
      </c>
      <c r="E1247" s="3" t="s">
        <v>197</v>
      </c>
      <c r="F1247" s="3" t="s">
        <v>2156</v>
      </c>
      <c r="G1247" s="3" t="s">
        <v>3032</v>
      </c>
    </row>
    <row r="1248" spans="1:7">
      <c r="A1248" s="6">
        <v>42921</v>
      </c>
      <c r="B1248" s="3" t="s">
        <v>2053</v>
      </c>
      <c r="C1248" s="3" t="s">
        <v>14</v>
      </c>
      <c r="D1248" s="8" t="str">
        <f>HYPERLINK("http://npthd.inbcu.com/ViewContent.aspx?filename=NPMR_CBS_2017-07-05_E.MP4$6592$6612","Zoo")</f>
        <v>Zoo</v>
      </c>
      <c r="E1248" s="3" t="s">
        <v>1805</v>
      </c>
      <c r="F1248" s="3" t="s">
        <v>3032</v>
      </c>
      <c r="G1248" s="3" t="s">
        <v>3033</v>
      </c>
    </row>
    <row r="1249" spans="1:7">
      <c r="A1249" s="6">
        <v>42921</v>
      </c>
      <c r="B1249" s="3" t="s">
        <v>2053</v>
      </c>
      <c r="C1249" s="3" t="s">
        <v>32</v>
      </c>
      <c r="D1249" s="8" t="str">
        <f>HYPERLINK("http://npthd.inbcu.com/ViewContent.aspx?filename=NPMR_CBS_2017-07-05_E.MP4$6612$6707","LOCAL")</f>
        <v>LOCAL</v>
      </c>
      <c r="E1249" s="3" t="s">
        <v>2076</v>
      </c>
      <c r="F1249" s="3" t="s">
        <v>3033</v>
      </c>
      <c r="G1249" s="3" t="s">
        <v>1444</v>
      </c>
    </row>
    <row r="1250" spans="1:7">
      <c r="A1250" s="6">
        <v>42921</v>
      </c>
      <c r="B1250" s="3" t="s">
        <v>2053</v>
      </c>
      <c r="C1250" s="3" t="s">
        <v>18</v>
      </c>
      <c r="D1250" s="8" t="str">
        <f>HYPERLINK("http://npthd.inbcu.com/ViewContent.aspx?filename=NPMR_CBS_2017-07-05_E.MP4$6707$7081","CRIMINAL MINDS: surface tension")</f>
        <v>CRIMINAL MINDS: surface tension</v>
      </c>
      <c r="E1250" s="3" t="s">
        <v>1255</v>
      </c>
      <c r="F1250" s="3" t="s">
        <v>1444</v>
      </c>
      <c r="G1250" s="3" t="s">
        <v>2786</v>
      </c>
    </row>
    <row r="1251" spans="1:7">
      <c r="A1251" s="6">
        <v>42921</v>
      </c>
      <c r="B1251" s="3" t="s">
        <v>2053</v>
      </c>
      <c r="C1251" s="3" t="s">
        <v>21</v>
      </c>
      <c r="D1251" s="8" t="str">
        <f>HYPERLINK("http://npthd.inbcu.com/ViewContent.aspx?filename=NPMR_CBS_2017-07-05_E.MP4$7081$7292","COMMERCIAL")</f>
        <v>COMMERCIAL</v>
      </c>
      <c r="E1251" s="3" t="s">
        <v>334</v>
      </c>
      <c r="F1251" s="3" t="s">
        <v>2786</v>
      </c>
      <c r="G1251" s="3" t="s">
        <v>2542</v>
      </c>
    </row>
    <row r="1252" spans="1:7">
      <c r="A1252" s="6">
        <v>42921</v>
      </c>
      <c r="B1252" s="3" t="s">
        <v>2053</v>
      </c>
      <c r="C1252" s="3" t="s">
        <v>14</v>
      </c>
      <c r="D1252" s="8" t="str">
        <f>HYPERLINK("http://npthd.inbcu.com/ViewContent.aspx?filename=NPMR_CBS_2017-07-05_E.MP4$7292$7313","Big Bang Theory")</f>
        <v>Big Bang Theory</v>
      </c>
      <c r="E1252" s="3" t="s">
        <v>2067</v>
      </c>
      <c r="F1252" s="3" t="s">
        <v>2542</v>
      </c>
      <c r="G1252" s="3" t="s">
        <v>750</v>
      </c>
    </row>
    <row r="1253" spans="1:7">
      <c r="A1253" s="6">
        <v>42921</v>
      </c>
      <c r="B1253" s="3" t="s">
        <v>2053</v>
      </c>
      <c r="C1253" s="3" t="s">
        <v>18</v>
      </c>
      <c r="D1253" s="8" t="str">
        <f>HYPERLINK("http://npthd.inbcu.com/ViewContent.aspx?filename=NPMR_CBS_2017-07-05_E.MP4$7313$7318","CRIMINAL MINDS: surface tension")</f>
        <v>CRIMINAL MINDS: surface tension</v>
      </c>
      <c r="E1253" s="3" t="s">
        <v>54</v>
      </c>
      <c r="F1253" s="3" t="s">
        <v>750</v>
      </c>
      <c r="G1253" s="3" t="s">
        <v>394</v>
      </c>
    </row>
    <row r="1254" spans="1:7">
      <c r="A1254" s="6">
        <v>42921</v>
      </c>
      <c r="B1254" s="3" t="s">
        <v>2053</v>
      </c>
      <c r="C1254" s="3" t="s">
        <v>14</v>
      </c>
      <c r="D1254" s="8" t="str">
        <f>HYPERLINK("http://npthd.inbcu.com/ViewContent.aspx?filename=NPMR_CBS_2017-07-05_E.MP4$7318$7323","Late Show with Stephen Colbert")</f>
        <v>Late Show with Stephen Colbert</v>
      </c>
      <c r="E1254" s="3" t="s">
        <v>54</v>
      </c>
      <c r="F1254" s="3" t="s">
        <v>394</v>
      </c>
      <c r="G1254" s="3" t="s">
        <v>395</v>
      </c>
    </row>
    <row r="1255" spans="1:7">
      <c r="A1255" s="6">
        <v>42921</v>
      </c>
      <c r="B1255" s="3" t="s">
        <v>2053</v>
      </c>
      <c r="C1255" s="3" t="s">
        <v>18</v>
      </c>
      <c r="D1255" s="8" t="str">
        <f>HYPERLINK("http://npthd.inbcu.com/ViewContent.aspx?filename=NPMR_CBS_2017-07-05_E.MP4$7323$7648","CRIMINAL MINDS: a good husband")</f>
        <v>CRIMINAL MINDS: a good husband</v>
      </c>
      <c r="E1255" s="3" t="s">
        <v>609</v>
      </c>
      <c r="F1255" s="3" t="s">
        <v>395</v>
      </c>
      <c r="G1255" s="3" t="s">
        <v>3034</v>
      </c>
    </row>
    <row r="1256" spans="1:7">
      <c r="A1256" s="6">
        <v>42921</v>
      </c>
      <c r="B1256" s="3" t="s">
        <v>2053</v>
      </c>
      <c r="C1256" s="3" t="s">
        <v>21</v>
      </c>
      <c r="D1256" s="8" t="str">
        <f>HYPERLINK("http://npthd.inbcu.com/ViewContent.aspx?filename=NPMR_CBS_2017-07-05_E.MP4$7648$7830","COMMERCIAL")</f>
        <v>COMMERCIAL</v>
      </c>
      <c r="E1256" s="3" t="s">
        <v>275</v>
      </c>
      <c r="F1256" s="3" t="s">
        <v>3034</v>
      </c>
      <c r="G1256" s="3" t="s">
        <v>3035</v>
      </c>
    </row>
    <row r="1257" spans="1:7">
      <c r="A1257" s="6">
        <v>42921</v>
      </c>
      <c r="B1257" s="3" t="s">
        <v>2053</v>
      </c>
      <c r="C1257" s="3" t="s">
        <v>14</v>
      </c>
      <c r="D1257" s="8" t="str">
        <f>HYPERLINK("http://npthd.inbcu.com/ViewContent.aspx?filename=NPMR_CBS_2017-07-05_E.MP4$7830$7845","Salvation")</f>
        <v>Salvation</v>
      </c>
      <c r="E1257" s="3" t="s">
        <v>30</v>
      </c>
      <c r="F1257" s="3" t="s">
        <v>3035</v>
      </c>
      <c r="G1257" s="3" t="s">
        <v>3036</v>
      </c>
    </row>
    <row r="1258" spans="1:7">
      <c r="A1258" s="6">
        <v>42921</v>
      </c>
      <c r="B1258" s="3" t="s">
        <v>2053</v>
      </c>
      <c r="C1258" s="3" t="s">
        <v>18</v>
      </c>
      <c r="D1258" s="8" t="str">
        <f>HYPERLINK("http://npthd.inbcu.com/ViewContent.aspx?filename=NPMR_CBS_2017-07-05_E.MP4$7845$8486","CRIMINAL MINDS: a good husband")</f>
        <v>CRIMINAL MINDS: a good husband</v>
      </c>
      <c r="E1258" s="3" t="s">
        <v>1351</v>
      </c>
      <c r="F1258" s="3" t="s">
        <v>3036</v>
      </c>
      <c r="G1258" s="3" t="s">
        <v>3037</v>
      </c>
    </row>
    <row r="1259" spans="1:7">
      <c r="A1259" s="6">
        <v>42921</v>
      </c>
      <c r="B1259" s="3" t="s">
        <v>2053</v>
      </c>
      <c r="C1259" s="3" t="s">
        <v>21</v>
      </c>
      <c r="D1259" s="8" t="str">
        <f>HYPERLINK("http://npthd.inbcu.com/ViewContent.aspx?filename=NPMR_CBS_2017-07-05_E.MP4$8486$8667","COMMERCIAL")</f>
        <v>COMMERCIAL</v>
      </c>
      <c r="E1259" s="3" t="s">
        <v>108</v>
      </c>
      <c r="F1259" s="3" t="s">
        <v>3037</v>
      </c>
      <c r="G1259" s="3" t="s">
        <v>3038</v>
      </c>
    </row>
    <row r="1260" spans="1:7">
      <c r="A1260" s="6">
        <v>42921</v>
      </c>
      <c r="B1260" s="3" t="s">
        <v>2053</v>
      </c>
      <c r="C1260" s="3" t="s">
        <v>14</v>
      </c>
      <c r="D1260" s="8" t="str">
        <f>HYPERLINK("http://npthd.inbcu.com/ViewContent.aspx?filename=NPMR_CBS_2017-07-05_E.MP4$8667$8677","Big Brother")</f>
        <v>Big Brother</v>
      </c>
      <c r="E1260" s="3" t="s">
        <v>197</v>
      </c>
      <c r="F1260" s="3" t="s">
        <v>3038</v>
      </c>
      <c r="G1260" s="3" t="s">
        <v>3039</v>
      </c>
    </row>
    <row r="1261" spans="1:7">
      <c r="A1261" s="6">
        <v>42921</v>
      </c>
      <c r="B1261" s="3" t="s">
        <v>2053</v>
      </c>
      <c r="C1261" s="3" t="s">
        <v>14</v>
      </c>
      <c r="D1261" s="8" t="str">
        <f>HYPERLINK("http://npthd.inbcu.com/ViewContent.aspx?filename=NPMR_CBS_2017-07-05_E.MP4$8677$8682","Zoo")</f>
        <v>Zoo</v>
      </c>
      <c r="E1261" s="3" t="s">
        <v>54</v>
      </c>
      <c r="F1261" s="3" t="s">
        <v>3039</v>
      </c>
      <c r="G1261" s="3" t="s">
        <v>2732</v>
      </c>
    </row>
    <row r="1262" spans="1:7">
      <c r="A1262" s="6">
        <v>42921</v>
      </c>
      <c r="B1262" s="3" t="s">
        <v>2053</v>
      </c>
      <c r="C1262" s="3" t="s">
        <v>14</v>
      </c>
      <c r="D1262" s="8" t="str">
        <f>HYPERLINK("http://npthd.inbcu.com/ViewContent.aspx?filename=NPMR_CBS_2017-07-05_E.MP4$8682$8702","Candy Crush")</f>
        <v>Candy Crush</v>
      </c>
      <c r="E1262" s="3" t="s">
        <v>1805</v>
      </c>
      <c r="F1262" s="3" t="s">
        <v>2732</v>
      </c>
      <c r="G1262" s="3" t="s">
        <v>3040</v>
      </c>
    </row>
    <row r="1263" spans="1:7">
      <c r="A1263" s="6">
        <v>42921</v>
      </c>
      <c r="B1263" s="3" t="s">
        <v>2053</v>
      </c>
      <c r="C1263" s="3" t="s">
        <v>18</v>
      </c>
      <c r="D1263" s="8" t="str">
        <f>HYPERLINK("http://npthd.inbcu.com/ViewContent.aspx?filename=NPMR_CBS_2017-07-05_E.MP4$8702$9352","CRIMINAL MINDS: a good husband")</f>
        <v>CRIMINAL MINDS: a good husband</v>
      </c>
      <c r="E1263" s="3" t="s">
        <v>3041</v>
      </c>
      <c r="F1263" s="3" t="s">
        <v>3040</v>
      </c>
      <c r="G1263" s="3" t="s">
        <v>3042</v>
      </c>
    </row>
    <row r="1264" spans="1:7">
      <c r="A1264" s="6">
        <v>42921</v>
      </c>
      <c r="B1264" s="3" t="s">
        <v>2053</v>
      </c>
      <c r="C1264" s="3" t="s">
        <v>21</v>
      </c>
      <c r="D1264" s="8" t="str">
        <f>HYPERLINK("http://npthd.inbcu.com/ViewContent.aspx?filename=NPMR_CBS_2017-07-05_E.MP4$9352$9502","COMMERCIAL")</f>
        <v>COMMERCIAL</v>
      </c>
      <c r="E1264" s="3" t="s">
        <v>28</v>
      </c>
      <c r="F1264" s="3" t="s">
        <v>3042</v>
      </c>
      <c r="G1264" s="3" t="s">
        <v>3043</v>
      </c>
    </row>
    <row r="1265" spans="1:7">
      <c r="A1265" s="6">
        <v>42921</v>
      </c>
      <c r="B1265" s="3" t="s">
        <v>2053</v>
      </c>
      <c r="C1265" s="3" t="s">
        <v>32</v>
      </c>
      <c r="D1265" s="8" t="str">
        <f>HYPERLINK("http://npthd.inbcu.com/ViewContent.aspx?filename=NPMR_CBS_2017-07-05_E.MP4$9502$9642","LOCAL")</f>
        <v>LOCAL</v>
      </c>
      <c r="E1265" s="3" t="s">
        <v>623</v>
      </c>
      <c r="F1265" s="3" t="s">
        <v>3043</v>
      </c>
      <c r="G1265" s="3" t="s">
        <v>3044</v>
      </c>
    </row>
    <row r="1266" spans="1:7">
      <c r="A1266" s="6">
        <v>42921</v>
      </c>
      <c r="B1266" s="3" t="s">
        <v>2053</v>
      </c>
      <c r="C1266" s="3" t="s">
        <v>18</v>
      </c>
      <c r="D1266" s="8" t="str">
        <f>HYPERLINK("http://npthd.inbcu.com/ViewContent.aspx?filename=NPMR_CBS_2017-07-05_E.MP4$9642$10197","CRIMINAL MINDS: a good husband")</f>
        <v>CRIMINAL MINDS: a good husband</v>
      </c>
      <c r="E1266" s="3" t="s">
        <v>1659</v>
      </c>
      <c r="F1266" s="3" t="s">
        <v>3044</v>
      </c>
      <c r="G1266" s="3" t="s">
        <v>3045</v>
      </c>
    </row>
    <row r="1267" spans="1:7">
      <c r="A1267" s="6">
        <v>42921</v>
      </c>
      <c r="B1267" s="3" t="s">
        <v>2053</v>
      </c>
      <c r="C1267" s="3" t="s">
        <v>21</v>
      </c>
      <c r="D1267" s="8" t="str">
        <f>HYPERLINK("http://npthd.inbcu.com/ViewContent.aspx?filename=NPMR_CBS_2017-07-05_E.MP4$10197$10380","COMMERCIAL")</f>
        <v>COMMERCIAL</v>
      </c>
      <c r="E1267" s="3" t="s">
        <v>154</v>
      </c>
      <c r="F1267" s="3" t="s">
        <v>3045</v>
      </c>
      <c r="G1267" s="3" t="s">
        <v>3046</v>
      </c>
    </row>
    <row r="1268" spans="1:7">
      <c r="A1268" s="6">
        <v>42921</v>
      </c>
      <c r="B1268" s="3" t="s">
        <v>2053</v>
      </c>
      <c r="C1268" s="3" t="s">
        <v>14</v>
      </c>
      <c r="D1268" s="8" t="str">
        <f>HYPERLINK("http://npthd.inbcu.com/ViewContent.aspx?filename=NPMR_CBS_2017-07-05_E.MP4$10380$10390","Late Show with Stephen Colbert")</f>
        <v>Late Show with Stephen Colbert</v>
      </c>
      <c r="E1268" s="3" t="s">
        <v>197</v>
      </c>
      <c r="F1268" s="3" t="s">
        <v>3046</v>
      </c>
      <c r="G1268" s="3" t="s">
        <v>3047</v>
      </c>
    </row>
    <row r="1269" spans="1:7">
      <c r="A1269" s="6">
        <v>42921</v>
      </c>
      <c r="B1269" s="3" t="s">
        <v>2053</v>
      </c>
      <c r="C1269" s="3" t="s">
        <v>14</v>
      </c>
      <c r="D1269" s="8" t="str">
        <f>HYPERLINK("http://npthd.inbcu.com/ViewContent.aspx?filename=NPMR_CBS_2017-07-05_E.MP4$10390$10395","Big Bang Theory")</f>
        <v>Big Bang Theory</v>
      </c>
      <c r="E1269" s="3" t="s">
        <v>54</v>
      </c>
      <c r="F1269" s="3" t="s">
        <v>3047</v>
      </c>
      <c r="G1269" s="3" t="s">
        <v>3048</v>
      </c>
    </row>
    <row r="1270" spans="1:7">
      <c r="A1270" s="6">
        <v>42921</v>
      </c>
      <c r="B1270" s="3" t="s">
        <v>2053</v>
      </c>
      <c r="C1270" s="3" t="s">
        <v>14</v>
      </c>
      <c r="D1270" s="8" t="str">
        <f>HYPERLINK("http://npthd.inbcu.com/ViewContent.aspx?filename=NPMR_CBS_2017-07-05_E.MP4$10395$10415","Zoo")</f>
        <v>Zoo</v>
      </c>
      <c r="E1270" s="3" t="s">
        <v>1805</v>
      </c>
      <c r="F1270" s="3" t="s">
        <v>3048</v>
      </c>
      <c r="G1270" s="3" t="s">
        <v>3049</v>
      </c>
    </row>
    <row r="1271" spans="1:7">
      <c r="A1271" s="6">
        <v>42921</v>
      </c>
      <c r="B1271" s="3" t="s">
        <v>2053</v>
      </c>
      <c r="C1271" s="3" t="s">
        <v>32</v>
      </c>
      <c r="D1271" s="8" t="str">
        <f>HYPERLINK("http://npthd.inbcu.com/ViewContent.aspx?filename=NPMR_CBS_2017-07-05_E.MP4$10415$10540","LOCAL")</f>
        <v>LOCAL</v>
      </c>
      <c r="E1271" s="3" t="s">
        <v>2216</v>
      </c>
      <c r="F1271" s="3" t="s">
        <v>3049</v>
      </c>
      <c r="G1271" s="3" t="s">
        <v>3050</v>
      </c>
    </row>
    <row r="1272" spans="1:7">
      <c r="A1272" s="6">
        <v>42921</v>
      </c>
      <c r="B1272" s="3" t="s">
        <v>2053</v>
      </c>
      <c r="C1272" s="3" t="s">
        <v>18</v>
      </c>
      <c r="D1272" s="8" t="str">
        <f>HYPERLINK("http://npthd.inbcu.com/ViewContent.aspx?filename=NPMR_CBS_2017-07-05_E.MP4$10540$10802","CRIMINAL MINDS: a good husband")</f>
        <v>CRIMINAL MINDS: a good husband</v>
      </c>
      <c r="E1272" s="3" t="s">
        <v>1362</v>
      </c>
      <c r="F1272" s="3" t="s">
        <v>3050</v>
      </c>
      <c r="G1272" s="3" t="s">
        <v>2122</v>
      </c>
    </row>
    <row r="1273" spans="1:7">
      <c r="A1273" s="6">
        <v>42921</v>
      </c>
      <c r="B1273" s="3" t="s">
        <v>2053</v>
      </c>
      <c r="C1273" s="3" t="s">
        <v>32</v>
      </c>
      <c r="D1273" s="8" t="str">
        <f>HYPERLINK("http://npthd.inbcu.com/ViewContent.aspx?filename=NPMR_CBS_2017-07-05_E.MP4$10802$10813","LOCAL")</f>
        <v>LOCAL</v>
      </c>
      <c r="E1273" s="3" t="s">
        <v>1940</v>
      </c>
      <c r="F1273" s="3" t="s">
        <v>2122</v>
      </c>
      <c r="G1273" s="3" t="s">
        <v>2386</v>
      </c>
    </row>
    <row r="1274" spans="1:7">
      <c r="A1274" s="6">
        <v>42921</v>
      </c>
      <c r="B1274" s="3" t="s">
        <v>2053</v>
      </c>
      <c r="C1274" s="3" t="s">
        <v>21</v>
      </c>
      <c r="D1274" s="8" t="str">
        <f>HYPERLINK("http://npthd.inbcu.com/ViewContent.aspx?filename=NPMR_CBS_2017-07-05_E.MP4$10813$10874","COMMERCIAL")</f>
        <v>COMMERCIAL</v>
      </c>
      <c r="E1274" s="3" t="s">
        <v>33</v>
      </c>
      <c r="F1274" s="3" t="s">
        <v>2386</v>
      </c>
      <c r="G1274" s="3" t="s">
        <v>938</v>
      </c>
    </row>
    <row r="1275" spans="1:7">
      <c r="A1275" s="6">
        <v>42921</v>
      </c>
      <c r="B1275" s="3" t="s">
        <v>2053</v>
      </c>
      <c r="C1275" s="3" t="s">
        <v>14</v>
      </c>
      <c r="D1275" s="8" t="str">
        <f>HYPERLINK("http://npthd.inbcu.com/ViewContent.aspx?filename=NPMR_CBS_2017-07-05_E.MP4$10874$10879","Late Show with Stephen Colbert")</f>
        <v>Late Show with Stephen Colbert</v>
      </c>
      <c r="E1275" s="3" t="s">
        <v>54</v>
      </c>
      <c r="F1275" s="3" t="s">
        <v>938</v>
      </c>
      <c r="G1275" s="3" t="s">
        <v>2315</v>
      </c>
    </row>
    <row r="1276" spans="1:7">
      <c r="A1276" s="6">
        <v>42921</v>
      </c>
      <c r="B1276" s="3" t="s">
        <v>2053</v>
      </c>
      <c r="C1276" s="3" t="s">
        <v>14</v>
      </c>
      <c r="D1276" s="8" t="str">
        <f>HYPERLINK("http://npthd.inbcu.com/ViewContent.aspx?filename=NPMR_CBS_2017-07-05_E.MP4$10879$10901","Big Bang Theory")</f>
        <v>Big Bang Theory</v>
      </c>
      <c r="E1276" s="3" t="s">
        <v>2124</v>
      </c>
      <c r="F1276" s="3" t="s">
        <v>2315</v>
      </c>
      <c r="G1276" s="3" t="s">
        <v>2316</v>
      </c>
    </row>
    <row r="1277" spans="1:7">
      <c r="A1277" s="6">
        <v>42921</v>
      </c>
      <c r="B1277" s="3" t="s">
        <v>2053</v>
      </c>
      <c r="C1277" s="3" t="s">
        <v>18</v>
      </c>
      <c r="D1277" s="8" t="str">
        <f>HYPERLINK("http://npthd.inbcu.com/ViewContent.aspx?filename=NPMR_CBS_2017-07-05_E.MP4$10901$10906","CRIMINAL MINDS: a good husband")</f>
        <v>CRIMINAL MINDS: a good husband</v>
      </c>
      <c r="E1277" s="3" t="s">
        <v>54</v>
      </c>
      <c r="F1277" s="3" t="s">
        <v>2316</v>
      </c>
      <c r="G1277" s="3" t="s">
        <v>2317</v>
      </c>
    </row>
    <row r="1278" spans="1:7">
      <c r="A1278" s="6">
        <v>42921</v>
      </c>
      <c r="B1278" s="3" t="s">
        <v>2053</v>
      </c>
      <c r="C1278" s="3" t="s">
        <v>32</v>
      </c>
      <c r="D1278" s="8" t="str">
        <f>HYPERLINK("http://npthd.inbcu.com/ViewContent.aspx?filename=NPMR_CBS_2017-07-05_E.MP4$10906$10918","LOCAL")</f>
        <v>LOCAL</v>
      </c>
      <c r="E1278" s="3" t="s">
        <v>2057</v>
      </c>
      <c r="F1278" s="3" t="s">
        <v>2317</v>
      </c>
      <c r="G1278" s="3" t="s">
        <v>124</v>
      </c>
    </row>
    <row r="1279" spans="1:7">
      <c r="A1279" s="6">
        <v>42922</v>
      </c>
      <c r="B1279" s="3" t="s">
        <v>2053</v>
      </c>
      <c r="C1279" s="3" t="s">
        <v>18</v>
      </c>
      <c r="D1279" s="8" t="str">
        <f>HYPERLINK("http://npthd.inbcu.com/ViewContent.aspx?filename=NPMR_CBS_2017-07-06_E.MP4$117$242","THE BIG BANG THEORY: the recollection dissipation")</f>
        <v>THE BIG BANG THEORY: the recollection dissipation</v>
      </c>
      <c r="E1279" s="3" t="s">
        <v>2216</v>
      </c>
      <c r="F1279" s="3" t="s">
        <v>16</v>
      </c>
      <c r="G1279" s="3" t="s">
        <v>3051</v>
      </c>
    </row>
    <row r="1280" spans="1:7">
      <c r="A1280" s="6">
        <v>42922</v>
      </c>
      <c r="B1280" s="3" t="s">
        <v>2053</v>
      </c>
      <c r="C1280" s="3" t="s">
        <v>21</v>
      </c>
      <c r="D1280" s="8" t="str">
        <f>HYPERLINK("http://npthd.inbcu.com/ViewContent.aspx?filename=NPMR_CBS_2017-07-06_E.MP4$242$424","COMMERCIAL")</f>
        <v>COMMERCIAL</v>
      </c>
      <c r="E1280" s="3" t="s">
        <v>275</v>
      </c>
      <c r="F1280" s="3" t="s">
        <v>3051</v>
      </c>
      <c r="G1280" s="3" t="s">
        <v>3052</v>
      </c>
    </row>
    <row r="1281" spans="1:7">
      <c r="A1281" s="6">
        <v>42922</v>
      </c>
      <c r="B1281" s="3" t="s">
        <v>2053</v>
      </c>
      <c r="C1281" s="3" t="s">
        <v>14</v>
      </c>
      <c r="D1281" s="8" t="str">
        <f>HYPERLINK("http://npthd.inbcu.com/ViewContent.aspx?filename=NPMR_CBS_2017-07-06_E.MP4$424$434","Candy Crush")</f>
        <v>Candy Crush</v>
      </c>
      <c r="E1281" s="3" t="s">
        <v>197</v>
      </c>
      <c r="F1281" s="3" t="s">
        <v>3052</v>
      </c>
      <c r="G1281" s="3" t="s">
        <v>3053</v>
      </c>
    </row>
    <row r="1282" spans="1:7">
      <c r="A1282" s="6">
        <v>42922</v>
      </c>
      <c r="B1282" s="3" t="s">
        <v>2053</v>
      </c>
      <c r="C1282" s="3" t="s">
        <v>14</v>
      </c>
      <c r="D1282" s="8" t="str">
        <f>HYPERLINK("http://npthd.inbcu.com/ViewContent.aspx?filename=NPMR_CBS_2017-07-06_E.MP4$434$444","Salvation")</f>
        <v>Salvation</v>
      </c>
      <c r="E1282" s="3" t="s">
        <v>197</v>
      </c>
      <c r="F1282" s="3" t="s">
        <v>3053</v>
      </c>
      <c r="G1282" s="3" t="s">
        <v>3054</v>
      </c>
    </row>
    <row r="1283" spans="1:7">
      <c r="A1283" s="6">
        <v>42922</v>
      </c>
      <c r="B1283" s="3" t="s">
        <v>2053</v>
      </c>
      <c r="C1283" s="3" t="s">
        <v>18</v>
      </c>
      <c r="D1283" s="8" t="str">
        <f>HYPERLINK("http://npthd.inbcu.com/ViewContent.aspx?filename=NPMR_CBS_2017-07-06_E.MP4$444$914","THE BIG BANG THEORY: the recollection dissipation")</f>
        <v>THE BIG BANG THEORY: the recollection dissipation</v>
      </c>
      <c r="E1283" s="3" t="s">
        <v>2576</v>
      </c>
      <c r="F1283" s="3" t="s">
        <v>3054</v>
      </c>
      <c r="G1283" s="3" t="s">
        <v>608</v>
      </c>
    </row>
    <row r="1284" spans="1:7">
      <c r="A1284" s="6">
        <v>42922</v>
      </c>
      <c r="B1284" s="3" t="s">
        <v>2053</v>
      </c>
      <c r="C1284" s="3" t="s">
        <v>21</v>
      </c>
      <c r="D1284" s="8" t="str">
        <f>HYPERLINK("http://npthd.inbcu.com/ViewContent.aspx?filename=NPMR_CBS_2017-07-06_E.MP4$914$1096","COMMERCIAL")</f>
        <v>COMMERCIAL</v>
      </c>
      <c r="E1284" s="3" t="s">
        <v>275</v>
      </c>
      <c r="F1284" s="3" t="s">
        <v>608</v>
      </c>
      <c r="G1284" s="3" t="s">
        <v>3055</v>
      </c>
    </row>
    <row r="1285" spans="1:7">
      <c r="A1285" s="6">
        <v>42922</v>
      </c>
      <c r="B1285" s="3" t="s">
        <v>2053</v>
      </c>
      <c r="C1285" s="3" t="s">
        <v>1618</v>
      </c>
      <c r="D1285" s="8" t="str">
        <f>HYPERLINK("http://npthd.inbcu.com/ViewContent.aspx?filename=NPMR_CBS_2017-07-06_E.MP4$1096$1106","PSA")</f>
        <v>PSA</v>
      </c>
      <c r="E1285" s="3" t="s">
        <v>197</v>
      </c>
      <c r="F1285" s="3" t="s">
        <v>3055</v>
      </c>
      <c r="G1285" s="3" t="s">
        <v>3056</v>
      </c>
    </row>
    <row r="1286" spans="1:7">
      <c r="A1286" s="6">
        <v>42922</v>
      </c>
      <c r="B1286" s="3" t="s">
        <v>2053</v>
      </c>
      <c r="C1286" s="3" t="s">
        <v>14</v>
      </c>
      <c r="D1286" s="8" t="str">
        <f>HYPERLINK("http://npthd.inbcu.com/ViewContent.aspx?filename=NPMR_CBS_2017-07-06_E.MP4$1106$1116","Zoo")</f>
        <v>Zoo</v>
      </c>
      <c r="E1286" s="3" t="s">
        <v>197</v>
      </c>
      <c r="F1286" s="3" t="s">
        <v>3056</v>
      </c>
      <c r="G1286" s="3" t="s">
        <v>3057</v>
      </c>
    </row>
    <row r="1287" spans="1:7">
      <c r="A1287" s="6">
        <v>42922</v>
      </c>
      <c r="B1287" s="3" t="s">
        <v>2053</v>
      </c>
      <c r="C1287" s="3" t="s">
        <v>14</v>
      </c>
      <c r="D1287" s="8" t="str">
        <f>HYPERLINK("http://npthd.inbcu.com/ViewContent.aspx?filename=NPMR_CBS_2017-07-06_E.MP4$1116$1131","Salvation")</f>
        <v>Salvation</v>
      </c>
      <c r="E1287" s="3" t="s">
        <v>30</v>
      </c>
      <c r="F1287" s="3" t="s">
        <v>3057</v>
      </c>
      <c r="G1287" s="3" t="s">
        <v>2889</v>
      </c>
    </row>
    <row r="1288" spans="1:7">
      <c r="A1288" s="6">
        <v>42922</v>
      </c>
      <c r="B1288" s="3" t="s">
        <v>2053</v>
      </c>
      <c r="C1288" s="3" t="s">
        <v>14</v>
      </c>
      <c r="D1288" s="8" t="str">
        <f>HYPERLINK("http://npthd.inbcu.com/ViewContent.aspx?filename=NPMR_CBS_2017-07-06_E.MP4$1131$1141","Young Sheldon")</f>
        <v>Young Sheldon</v>
      </c>
      <c r="E1288" s="3" t="s">
        <v>197</v>
      </c>
      <c r="F1288" s="3" t="s">
        <v>2889</v>
      </c>
      <c r="G1288" s="3" t="s">
        <v>3058</v>
      </c>
    </row>
    <row r="1289" spans="1:7">
      <c r="A1289" s="6">
        <v>42922</v>
      </c>
      <c r="B1289" s="3" t="s">
        <v>2053</v>
      </c>
      <c r="C1289" s="3" t="s">
        <v>32</v>
      </c>
      <c r="D1289" s="8" t="str">
        <f>HYPERLINK("http://npthd.inbcu.com/ViewContent.aspx?filename=NPMR_CBS_2017-07-06_E.MP4$1141$1236","LOCAL")</f>
        <v>LOCAL</v>
      </c>
      <c r="E1289" s="3" t="s">
        <v>2076</v>
      </c>
      <c r="F1289" s="3" t="s">
        <v>3058</v>
      </c>
      <c r="G1289" s="3" t="s">
        <v>3059</v>
      </c>
    </row>
    <row r="1290" spans="1:7">
      <c r="A1290" s="6">
        <v>42922</v>
      </c>
      <c r="B1290" s="3" t="s">
        <v>2053</v>
      </c>
      <c r="C1290" s="3" t="s">
        <v>18</v>
      </c>
      <c r="D1290" s="8" t="str">
        <f>HYPERLINK("http://npthd.inbcu.com/ViewContent.aspx?filename=NPMR_CBS_2017-07-06_E.MP4$1236$1678","THE BIG BANG THEORY: the recollection dissipation")</f>
        <v>THE BIG BANG THEORY: the recollection dissipation</v>
      </c>
      <c r="E1290" s="3" t="s">
        <v>950</v>
      </c>
      <c r="F1290" s="3" t="s">
        <v>3059</v>
      </c>
      <c r="G1290" s="3" t="s">
        <v>3060</v>
      </c>
    </row>
    <row r="1291" spans="1:7">
      <c r="A1291" s="6">
        <v>42922</v>
      </c>
      <c r="B1291" s="3" t="s">
        <v>2053</v>
      </c>
      <c r="C1291" s="3" t="s">
        <v>21</v>
      </c>
      <c r="D1291" s="8" t="str">
        <f>HYPERLINK("http://npthd.inbcu.com/ViewContent.aspx?filename=NPMR_CBS_2017-07-06_E.MP4$1678$1858","COMMERCIAL")</f>
        <v>COMMERCIAL</v>
      </c>
      <c r="E1291" s="3" t="s">
        <v>22</v>
      </c>
      <c r="F1291" s="3" t="s">
        <v>3060</v>
      </c>
      <c r="G1291" s="3" t="s">
        <v>3061</v>
      </c>
    </row>
    <row r="1292" spans="1:7">
      <c r="A1292" s="6">
        <v>42922</v>
      </c>
      <c r="B1292" s="3" t="s">
        <v>2053</v>
      </c>
      <c r="C1292" s="3" t="s">
        <v>14</v>
      </c>
      <c r="D1292" s="8" t="str">
        <f>HYPERLINK("http://npthd.inbcu.com/ViewContent.aspx?filename=NPMR_CBS_2017-07-06_E.MP4$1858$1868","Big Brother")</f>
        <v>Big Brother</v>
      </c>
      <c r="E1292" s="3" t="s">
        <v>197</v>
      </c>
      <c r="F1292" s="3" t="s">
        <v>3061</v>
      </c>
      <c r="G1292" s="3" t="s">
        <v>3062</v>
      </c>
    </row>
    <row r="1293" spans="1:7">
      <c r="A1293" s="6">
        <v>42922</v>
      </c>
      <c r="B1293" s="3" t="s">
        <v>2053</v>
      </c>
      <c r="C1293" s="3" t="s">
        <v>18</v>
      </c>
      <c r="D1293" s="8" t="str">
        <f>HYPERLINK("http://npthd.inbcu.com/ViewContent.aspx?filename=NPMR_CBS_2017-07-06_E.MP4$1868$1952","THE BIG BANG THEORY: the recollection dissipation")</f>
        <v>THE BIG BANG THEORY: the recollection dissipation</v>
      </c>
      <c r="E1293" s="3" t="s">
        <v>3063</v>
      </c>
      <c r="F1293" s="3" t="s">
        <v>3062</v>
      </c>
      <c r="G1293" s="3" t="s">
        <v>2513</v>
      </c>
    </row>
    <row r="1294" spans="1:7">
      <c r="A1294" s="6">
        <v>42922</v>
      </c>
      <c r="B1294" s="3" t="s">
        <v>2053</v>
      </c>
      <c r="C1294" s="3" t="s">
        <v>14</v>
      </c>
      <c r="D1294" s="8" t="str">
        <f>HYPERLINK("http://npthd.inbcu.com/ViewContent.aspx?filename=NPMR_CBS_2017-07-06_E.MP4$1952$1972","Candy Crush")</f>
        <v>Candy Crush</v>
      </c>
      <c r="E1294" s="3" t="s">
        <v>1805</v>
      </c>
      <c r="F1294" s="3" t="s">
        <v>2513</v>
      </c>
      <c r="G1294" s="3" t="s">
        <v>2068</v>
      </c>
    </row>
    <row r="1295" spans="1:7">
      <c r="A1295" s="6">
        <v>42922</v>
      </c>
      <c r="B1295" s="3" t="s">
        <v>2053</v>
      </c>
      <c r="C1295" s="3" t="s">
        <v>18</v>
      </c>
      <c r="D1295" s="8" t="str">
        <f>HYPERLINK("http://npthd.inbcu.com/ViewContent.aspx?filename=NPMR_CBS_2017-07-06_E.MP4$1972$1977","THE BIG BANG THEORY: the recollection dissipation")</f>
        <v>THE BIG BANG THEORY: the recollection dissipation</v>
      </c>
      <c r="E1295" s="3" t="s">
        <v>54</v>
      </c>
      <c r="F1295" s="3" t="s">
        <v>2068</v>
      </c>
      <c r="G1295" s="3" t="s">
        <v>2514</v>
      </c>
    </row>
    <row r="1296" spans="1:7">
      <c r="A1296" s="6">
        <v>42922</v>
      </c>
      <c r="B1296" s="3" t="s">
        <v>2053</v>
      </c>
      <c r="C1296" s="3" t="s">
        <v>14</v>
      </c>
      <c r="D1296" s="8" t="str">
        <f>HYPERLINK("http://npthd.inbcu.com/ViewContent.aspx?filename=NPMR_CBS_2017-07-06_E.MP4$1977$1982","Late Show with Stephen Colbert")</f>
        <v>Late Show with Stephen Colbert</v>
      </c>
      <c r="E1296" s="3" t="s">
        <v>54</v>
      </c>
      <c r="F1296" s="3" t="s">
        <v>2514</v>
      </c>
      <c r="G1296" s="3" t="s">
        <v>2070</v>
      </c>
    </row>
    <row r="1297" spans="1:7">
      <c r="A1297" s="6">
        <v>42922</v>
      </c>
      <c r="B1297" s="3" t="s">
        <v>2053</v>
      </c>
      <c r="C1297" s="3" t="s">
        <v>18</v>
      </c>
      <c r="D1297" s="8" t="str">
        <f>HYPERLINK("http://npthd.inbcu.com/ViewContent.aspx?filename=NPMR_CBS_2017-07-06_E.MP4$1982$2606","LIFE IN PIECES: facebook fish planner backstage")</f>
        <v>LIFE IN PIECES: facebook fish planner backstage</v>
      </c>
      <c r="E1297" s="3" t="s">
        <v>1907</v>
      </c>
      <c r="F1297" s="3" t="s">
        <v>2070</v>
      </c>
      <c r="G1297" s="3" t="s">
        <v>3064</v>
      </c>
    </row>
    <row r="1298" spans="1:7">
      <c r="A1298" s="6">
        <v>42922</v>
      </c>
      <c r="B1298" s="3" t="s">
        <v>2053</v>
      </c>
      <c r="C1298" s="3" t="s">
        <v>21</v>
      </c>
      <c r="D1298" s="8" t="str">
        <f>HYPERLINK("http://npthd.inbcu.com/ViewContent.aspx?filename=NPMR_CBS_2017-07-06_E.MP4$2606$2698","COMMERCIAL")</f>
        <v>COMMERCIAL</v>
      </c>
      <c r="E1298" s="3" t="s">
        <v>267</v>
      </c>
      <c r="F1298" s="3" t="s">
        <v>3064</v>
      </c>
      <c r="G1298" s="3" t="s">
        <v>792</v>
      </c>
    </row>
    <row r="1299" spans="1:7">
      <c r="A1299" s="6">
        <v>42922</v>
      </c>
      <c r="B1299" s="3" t="s">
        <v>2053</v>
      </c>
      <c r="C1299" s="3" t="s">
        <v>18</v>
      </c>
      <c r="D1299" s="8" t="str">
        <f>HYPERLINK("http://npthd.inbcu.com/ViewContent.aspx?filename=NPMR_CBS_2017-07-06_E.MP4$2698$2969","LIFE IN PIECES: facebook fish planner backstage")</f>
        <v>LIFE IN PIECES: facebook fish planner backstage</v>
      </c>
      <c r="E1299" s="3" t="s">
        <v>994</v>
      </c>
      <c r="F1299" s="3" t="s">
        <v>792</v>
      </c>
      <c r="G1299" s="3" t="s">
        <v>3065</v>
      </c>
    </row>
    <row r="1300" spans="1:7">
      <c r="A1300" s="6">
        <v>42922</v>
      </c>
      <c r="B1300" s="3" t="s">
        <v>2053</v>
      </c>
      <c r="C1300" s="3" t="s">
        <v>21</v>
      </c>
      <c r="D1300" s="8" t="str">
        <f>HYPERLINK("http://npthd.inbcu.com/ViewContent.aspx?filename=NPMR_CBS_2017-07-06_E.MP4$2969$3121","COMMERCIAL")</f>
        <v>COMMERCIAL</v>
      </c>
      <c r="E1300" s="3" t="s">
        <v>128</v>
      </c>
      <c r="F1300" s="3" t="s">
        <v>3065</v>
      </c>
      <c r="G1300" s="3" t="s">
        <v>3066</v>
      </c>
    </row>
    <row r="1301" spans="1:7">
      <c r="A1301" s="6">
        <v>42922</v>
      </c>
      <c r="B1301" s="3" t="s">
        <v>2053</v>
      </c>
      <c r="C1301" s="3" t="s">
        <v>14</v>
      </c>
      <c r="D1301" s="8" t="str">
        <f>HYPERLINK("http://npthd.inbcu.com/ViewContent.aspx?filename=NPMR_CBS_2017-07-06_E.MP4$3121$3131","Big Brother")</f>
        <v>Big Brother</v>
      </c>
      <c r="E1301" s="3" t="s">
        <v>197</v>
      </c>
      <c r="F1301" s="3" t="s">
        <v>3066</v>
      </c>
      <c r="G1301" s="3" t="s">
        <v>3067</v>
      </c>
    </row>
    <row r="1302" spans="1:7">
      <c r="A1302" s="6">
        <v>42922</v>
      </c>
      <c r="B1302" s="3" t="s">
        <v>2053</v>
      </c>
      <c r="C1302" s="3" t="s">
        <v>32</v>
      </c>
      <c r="D1302" s="8" t="str">
        <f>HYPERLINK("http://npthd.inbcu.com/ViewContent.aspx?filename=NPMR_CBS_2017-07-06_E.MP4$3131$3226","LOCAL")</f>
        <v>LOCAL</v>
      </c>
      <c r="E1302" s="3" t="s">
        <v>2076</v>
      </c>
      <c r="F1302" s="3" t="s">
        <v>3067</v>
      </c>
      <c r="G1302" s="3" t="s">
        <v>3068</v>
      </c>
    </row>
    <row r="1303" spans="1:7">
      <c r="A1303" s="6">
        <v>42922</v>
      </c>
      <c r="B1303" s="3" t="s">
        <v>2053</v>
      </c>
      <c r="C1303" s="3" t="s">
        <v>18</v>
      </c>
      <c r="D1303" s="8" t="str">
        <f>HYPERLINK("http://npthd.inbcu.com/ViewContent.aspx?filename=NPMR_CBS_2017-07-06_E.MP4$3226$3399","LIFE IN PIECES: facebook fish planner backstage")</f>
        <v>LIFE IN PIECES: facebook fish planner backstage</v>
      </c>
      <c r="E1303" s="3" t="s">
        <v>3069</v>
      </c>
      <c r="F1303" s="3" t="s">
        <v>3068</v>
      </c>
      <c r="G1303" s="3" t="s">
        <v>3070</v>
      </c>
    </row>
    <row r="1304" spans="1:7">
      <c r="A1304" s="6">
        <v>42922</v>
      </c>
      <c r="B1304" s="3" t="s">
        <v>2053</v>
      </c>
      <c r="C1304" s="3" t="s">
        <v>21</v>
      </c>
      <c r="D1304" s="8" t="str">
        <f>HYPERLINK("http://npthd.inbcu.com/ViewContent.aspx?filename=NPMR_CBS_2017-07-06_E.MP4$3399$3521","COMMERCIAL")</f>
        <v>COMMERCIAL</v>
      </c>
      <c r="E1304" s="3" t="s">
        <v>252</v>
      </c>
      <c r="F1304" s="3" t="s">
        <v>3070</v>
      </c>
      <c r="G1304" s="3" t="s">
        <v>3071</v>
      </c>
    </row>
    <row r="1305" spans="1:7">
      <c r="A1305" s="6">
        <v>42922</v>
      </c>
      <c r="B1305" s="3" t="s">
        <v>2053</v>
      </c>
      <c r="C1305" s="3" t="s">
        <v>18</v>
      </c>
      <c r="D1305" s="8" t="str">
        <f>HYPERLINK("http://npthd.inbcu.com/ViewContent.aspx?filename=NPMR_CBS_2017-07-06_E.MP4$3521$3692","LIFE IN PIECES: facebook fish planner backstage")</f>
        <v>LIFE IN PIECES: facebook fish planner backstage</v>
      </c>
      <c r="E1305" s="3" t="s">
        <v>1015</v>
      </c>
      <c r="F1305" s="3" t="s">
        <v>3071</v>
      </c>
      <c r="G1305" s="3" t="s">
        <v>2343</v>
      </c>
    </row>
    <row r="1306" spans="1:7">
      <c r="A1306" s="6">
        <v>42922</v>
      </c>
      <c r="B1306" s="3" t="s">
        <v>2053</v>
      </c>
      <c r="C1306" s="3" t="s">
        <v>14</v>
      </c>
      <c r="D1306" s="8" t="str">
        <f>HYPERLINK("http://npthd.inbcu.com/ViewContent.aspx?filename=NPMR_CBS_2017-07-06_E.MP4$3692$3712","Salvation")</f>
        <v>Salvation</v>
      </c>
      <c r="E1306" s="3" t="s">
        <v>1805</v>
      </c>
      <c r="F1306" s="3" t="s">
        <v>2343</v>
      </c>
      <c r="G1306" s="3" t="s">
        <v>2196</v>
      </c>
    </row>
    <row r="1307" spans="1:7">
      <c r="A1307" s="6">
        <v>42922</v>
      </c>
      <c r="B1307" s="3" t="s">
        <v>2053</v>
      </c>
      <c r="C1307" s="3" t="s">
        <v>18</v>
      </c>
      <c r="D1307" s="8" t="str">
        <f>HYPERLINK("http://npthd.inbcu.com/ViewContent.aspx?filename=NPMR_CBS_2017-07-06_E.MP4$3712$3717","LIFE IN PIECES: facebook fish planner backstage")</f>
        <v>LIFE IN PIECES: facebook fish planner backstage</v>
      </c>
      <c r="E1307" s="3" t="s">
        <v>54</v>
      </c>
      <c r="F1307" s="3" t="s">
        <v>2196</v>
      </c>
      <c r="G1307" s="3" t="s">
        <v>242</v>
      </c>
    </row>
    <row r="1308" spans="1:7">
      <c r="A1308" s="6">
        <v>42922</v>
      </c>
      <c r="B1308" s="3" t="s">
        <v>2053</v>
      </c>
      <c r="C1308" s="3" t="s">
        <v>14</v>
      </c>
      <c r="D1308" s="8" t="str">
        <f>HYPERLINK("http://npthd.inbcu.com/ViewContent.aspx?filename=NPMR_CBS_2017-07-06_E.MP4$3717$3722","Candy Crush")</f>
        <v>Candy Crush</v>
      </c>
      <c r="E1308" s="3" t="s">
        <v>54</v>
      </c>
      <c r="F1308" s="3" t="s">
        <v>242</v>
      </c>
      <c r="G1308" s="3" t="s">
        <v>243</v>
      </c>
    </row>
    <row r="1309" spans="1:7">
      <c r="A1309" s="6">
        <v>42922</v>
      </c>
      <c r="B1309" s="3" t="s">
        <v>2053</v>
      </c>
      <c r="C1309" s="3" t="s">
        <v>18</v>
      </c>
      <c r="D1309" s="8" t="str">
        <f>HYPERLINK("http://npthd.inbcu.com/ViewContent.aspx?filename=NPMR_CBS_2017-07-06_E.MP4$3722$4762","BIG BROTHER 19: 1905")</f>
        <v>BIG BROTHER 19: 1905</v>
      </c>
      <c r="E1309" s="3" t="s">
        <v>3072</v>
      </c>
      <c r="F1309" s="3" t="s">
        <v>243</v>
      </c>
      <c r="G1309" s="3" t="s">
        <v>3073</v>
      </c>
    </row>
    <row r="1310" spans="1:7">
      <c r="A1310" s="6">
        <v>42922</v>
      </c>
      <c r="B1310" s="3" t="s">
        <v>2053</v>
      </c>
      <c r="C1310" s="3" t="s">
        <v>21</v>
      </c>
      <c r="D1310" s="8" t="str">
        <f>HYPERLINK("http://npthd.inbcu.com/ViewContent.aspx?filename=NPMR_CBS_2017-07-06_E.MP4$4762$4853","COMMERCIAL")</f>
        <v>COMMERCIAL</v>
      </c>
      <c r="E1310" s="3" t="s">
        <v>77</v>
      </c>
      <c r="F1310" s="3" t="s">
        <v>3073</v>
      </c>
      <c r="G1310" s="3" t="s">
        <v>1720</v>
      </c>
    </row>
    <row r="1311" spans="1:7">
      <c r="A1311" s="6">
        <v>42922</v>
      </c>
      <c r="B1311" s="3" t="s">
        <v>2053</v>
      </c>
      <c r="C1311" s="3" t="s">
        <v>14</v>
      </c>
      <c r="D1311" s="8" t="str">
        <f>HYPERLINK("http://npthd.inbcu.com/ViewContent.aspx?filename=NPMR_CBS_2017-07-06_E.MP4$4853$4862","Talk, The")</f>
        <v>Talk, The</v>
      </c>
      <c r="E1311" s="3" t="s">
        <v>2074</v>
      </c>
      <c r="F1311" s="3" t="s">
        <v>1720</v>
      </c>
      <c r="G1311" s="3" t="s">
        <v>3074</v>
      </c>
    </row>
    <row r="1312" spans="1:7">
      <c r="A1312" s="6">
        <v>42922</v>
      </c>
      <c r="B1312" s="3" t="s">
        <v>2053</v>
      </c>
      <c r="C1312" s="3" t="s">
        <v>14</v>
      </c>
      <c r="D1312" s="8" t="str">
        <f>HYPERLINK("http://npthd.inbcu.com/ViewContent.aspx?filename=NPMR_CBS_2017-07-06_E.MP4$4862$4882","Salvation")</f>
        <v>Salvation</v>
      </c>
      <c r="E1312" s="3" t="s">
        <v>1805</v>
      </c>
      <c r="F1312" s="3" t="s">
        <v>3074</v>
      </c>
      <c r="G1312" s="3" t="s">
        <v>3075</v>
      </c>
    </row>
    <row r="1313" spans="1:7">
      <c r="A1313" s="6">
        <v>42922</v>
      </c>
      <c r="B1313" s="3" t="s">
        <v>2053</v>
      </c>
      <c r="C1313" s="3" t="s">
        <v>14</v>
      </c>
      <c r="D1313" s="8" t="str">
        <f>HYPERLINK("http://npthd.inbcu.com/ViewContent.aspx?filename=NPMR_CBS_2017-07-06_E.MP4$4882$4893","cbs.com/BigBrother (Live Feed)")</f>
        <v>cbs.com/BigBrother (Live Feed)</v>
      </c>
      <c r="E1313" s="3" t="s">
        <v>1940</v>
      </c>
      <c r="F1313" s="3" t="s">
        <v>3075</v>
      </c>
      <c r="G1313" s="3" t="s">
        <v>3076</v>
      </c>
    </row>
    <row r="1314" spans="1:7">
      <c r="A1314" s="6">
        <v>42922</v>
      </c>
      <c r="B1314" s="3" t="s">
        <v>2053</v>
      </c>
      <c r="C1314" s="3" t="s">
        <v>18</v>
      </c>
      <c r="D1314" s="8" t="str">
        <f>HYPERLINK("http://npthd.inbcu.com/ViewContent.aspx?filename=NPMR_CBS_2017-07-06_E.MP4$4893$5239","BIG BROTHER 19: 1905")</f>
        <v>BIG BROTHER 19: 1905</v>
      </c>
      <c r="E1314" s="3" t="s">
        <v>578</v>
      </c>
      <c r="F1314" s="3" t="s">
        <v>3076</v>
      </c>
      <c r="G1314" s="3" t="s">
        <v>3077</v>
      </c>
    </row>
    <row r="1315" spans="1:7">
      <c r="A1315" s="6">
        <v>42922</v>
      </c>
      <c r="B1315" s="3" t="s">
        <v>2053</v>
      </c>
      <c r="C1315" s="3" t="s">
        <v>21</v>
      </c>
      <c r="D1315" s="8" t="str">
        <f>HYPERLINK("http://npthd.inbcu.com/ViewContent.aspx?filename=NPMR_CBS_2017-07-06_E.MP4$5239$5360","COMMERCIAL")</f>
        <v>COMMERCIAL</v>
      </c>
      <c r="E1315" s="3" t="s">
        <v>175</v>
      </c>
      <c r="F1315" s="3" t="s">
        <v>3077</v>
      </c>
      <c r="G1315" s="3" t="s">
        <v>3078</v>
      </c>
    </row>
    <row r="1316" spans="1:7">
      <c r="A1316" s="6">
        <v>42922</v>
      </c>
      <c r="B1316" s="3" t="s">
        <v>2053</v>
      </c>
      <c r="C1316" s="3" t="s">
        <v>14</v>
      </c>
      <c r="D1316" s="8" t="str">
        <f>HYPERLINK("http://npthd.inbcu.com/ViewContent.aspx?filename=NPMR_CBS_2017-07-06_E.MP4$5360$5390","Candy Crush")</f>
        <v>Candy Crush</v>
      </c>
      <c r="E1316" s="3" t="s">
        <v>38</v>
      </c>
      <c r="F1316" s="3" t="s">
        <v>3078</v>
      </c>
      <c r="G1316" s="3" t="s">
        <v>3079</v>
      </c>
    </row>
    <row r="1317" spans="1:7">
      <c r="A1317" s="6">
        <v>42922</v>
      </c>
      <c r="B1317" s="3" t="s">
        <v>2053</v>
      </c>
      <c r="C1317" s="3" t="s">
        <v>14</v>
      </c>
      <c r="D1317" s="8" t="str">
        <f>HYPERLINK("http://npthd.inbcu.com/ViewContent.aspx?filename=NPMR_CBS_2017-07-06_E.MP4$5390$5406","CBS.com/BB19")</f>
        <v>CBS.com/BB19</v>
      </c>
      <c r="E1317" s="3" t="s">
        <v>64</v>
      </c>
      <c r="F1317" s="3" t="s">
        <v>3079</v>
      </c>
      <c r="G1317" s="3" t="s">
        <v>3080</v>
      </c>
    </row>
    <row r="1318" spans="1:7">
      <c r="A1318" s="6">
        <v>42922</v>
      </c>
      <c r="B1318" s="3" t="s">
        <v>2053</v>
      </c>
      <c r="C1318" s="3" t="s">
        <v>18</v>
      </c>
      <c r="D1318" s="8" t="str">
        <f>HYPERLINK("http://npthd.inbcu.com/ViewContent.aspx?filename=NPMR_CBS_2017-07-06_E.MP4$5406$5632","BIG BROTHER 19: 1905")</f>
        <v>BIG BROTHER 19: 1905</v>
      </c>
      <c r="E1318" s="3" t="s">
        <v>3081</v>
      </c>
      <c r="F1318" s="3" t="s">
        <v>3080</v>
      </c>
      <c r="G1318" s="3" t="s">
        <v>3082</v>
      </c>
    </row>
    <row r="1319" spans="1:7">
      <c r="A1319" s="6">
        <v>42922</v>
      </c>
      <c r="B1319" s="3" t="s">
        <v>2053</v>
      </c>
      <c r="C1319" s="3" t="s">
        <v>21</v>
      </c>
      <c r="D1319" s="8" t="str">
        <f>HYPERLINK("http://npthd.inbcu.com/ViewContent.aspx?filename=NPMR_CBS_2017-07-06_E.MP4$5632$5782","COMMERCIAL")</f>
        <v>COMMERCIAL</v>
      </c>
      <c r="E1319" s="3" t="s">
        <v>28</v>
      </c>
      <c r="F1319" s="3" t="s">
        <v>3082</v>
      </c>
      <c r="G1319" s="3" t="s">
        <v>3083</v>
      </c>
    </row>
    <row r="1320" spans="1:7">
      <c r="A1320" s="6">
        <v>42922</v>
      </c>
      <c r="B1320" s="3" t="s">
        <v>2053</v>
      </c>
      <c r="C1320" s="3" t="s">
        <v>14</v>
      </c>
      <c r="D1320" s="8" t="str">
        <f>HYPERLINK("http://npthd.inbcu.com/ViewContent.aspx?filename=NPMR_CBS_2017-07-06_E.MP4$5782$5787","Zoo")</f>
        <v>Zoo</v>
      </c>
      <c r="E1320" s="3" t="s">
        <v>54</v>
      </c>
      <c r="F1320" s="3" t="s">
        <v>3083</v>
      </c>
      <c r="G1320" s="3" t="s">
        <v>3084</v>
      </c>
    </row>
    <row r="1321" spans="1:7">
      <c r="A1321" s="6">
        <v>42922</v>
      </c>
      <c r="B1321" s="3" t="s">
        <v>2053</v>
      </c>
      <c r="C1321" s="3" t="s">
        <v>32</v>
      </c>
      <c r="D1321" s="8" t="str">
        <f>HYPERLINK("http://npthd.inbcu.com/ViewContent.aspx?filename=NPMR_CBS_2017-07-06_E.MP4$5787$5853","LOCAL")</f>
        <v>LOCAL</v>
      </c>
      <c r="E1321" s="3" t="s">
        <v>2088</v>
      </c>
      <c r="F1321" s="3" t="s">
        <v>3084</v>
      </c>
      <c r="G1321" s="3" t="s">
        <v>3085</v>
      </c>
    </row>
    <row r="1322" spans="1:7">
      <c r="A1322" s="6">
        <v>42922</v>
      </c>
      <c r="B1322" s="3" t="s">
        <v>2053</v>
      </c>
      <c r="C1322" s="3" t="s">
        <v>18</v>
      </c>
      <c r="D1322" s="8" t="str">
        <f>HYPERLINK("http://npthd.inbcu.com/ViewContent.aspx?filename=NPMR_CBS_2017-07-06_E.MP4$5853$6159","BIG BROTHER 19: 1905")</f>
        <v>BIG BROTHER 19: 1905</v>
      </c>
      <c r="E1322" s="3" t="s">
        <v>3086</v>
      </c>
      <c r="F1322" s="3" t="s">
        <v>3085</v>
      </c>
      <c r="G1322" s="3" t="s">
        <v>3087</v>
      </c>
    </row>
    <row r="1323" spans="1:7">
      <c r="A1323" s="6">
        <v>42922</v>
      </c>
      <c r="B1323" s="3" t="s">
        <v>2053</v>
      </c>
      <c r="C1323" s="3" t="s">
        <v>21</v>
      </c>
      <c r="D1323" s="8" t="str">
        <f>HYPERLINK("http://npthd.inbcu.com/ViewContent.aspx?filename=NPMR_CBS_2017-07-06_E.MP4$6159$6310","COMMERCIAL")</f>
        <v>COMMERCIAL</v>
      </c>
      <c r="E1323" s="3" t="s">
        <v>91</v>
      </c>
      <c r="F1323" s="3" t="s">
        <v>3087</v>
      </c>
      <c r="G1323" s="3" t="s">
        <v>3088</v>
      </c>
    </row>
    <row r="1324" spans="1:7">
      <c r="A1324" s="6">
        <v>42922</v>
      </c>
      <c r="B1324" s="3" t="s">
        <v>2053</v>
      </c>
      <c r="C1324" s="3" t="s">
        <v>14</v>
      </c>
      <c r="D1324" s="8" t="str">
        <f>HYPERLINK("http://npthd.inbcu.com/ViewContent.aspx?filename=NPMR_CBS_2017-07-06_E.MP4$6310$6315","Late Show with Stephen Colbert")</f>
        <v>Late Show with Stephen Colbert</v>
      </c>
      <c r="E1324" s="3" t="s">
        <v>54</v>
      </c>
      <c r="F1324" s="3" t="s">
        <v>3088</v>
      </c>
      <c r="G1324" s="3" t="s">
        <v>3089</v>
      </c>
    </row>
    <row r="1325" spans="1:7">
      <c r="A1325" s="6">
        <v>42922</v>
      </c>
      <c r="B1325" s="3" t="s">
        <v>2053</v>
      </c>
      <c r="C1325" s="3" t="s">
        <v>32</v>
      </c>
      <c r="D1325" s="8" t="str">
        <f>HYPERLINK("http://npthd.inbcu.com/ViewContent.aspx?filename=NPMR_CBS_2017-07-06_E.MP4$6315$6410","LOCAL")</f>
        <v>LOCAL</v>
      </c>
      <c r="E1325" s="3" t="s">
        <v>2076</v>
      </c>
      <c r="F1325" s="3" t="s">
        <v>3089</v>
      </c>
      <c r="G1325" s="3" t="s">
        <v>3090</v>
      </c>
    </row>
    <row r="1326" spans="1:7">
      <c r="A1326" s="6">
        <v>42922</v>
      </c>
      <c r="B1326" s="3" t="s">
        <v>2053</v>
      </c>
      <c r="C1326" s="3" t="s">
        <v>14</v>
      </c>
      <c r="D1326" s="8" t="str">
        <f>HYPERLINK("http://npthd.inbcu.com/ViewContent.aspx?filename=NPMR_CBS_2017-07-06_E.MP4$6410$6425","CBS.com/BB19")</f>
        <v>CBS.com/BB19</v>
      </c>
      <c r="E1326" s="3" t="s">
        <v>30</v>
      </c>
      <c r="F1326" s="3" t="s">
        <v>3090</v>
      </c>
      <c r="G1326" s="3" t="s">
        <v>3091</v>
      </c>
    </row>
    <row r="1327" spans="1:7">
      <c r="A1327" s="6">
        <v>42922</v>
      </c>
      <c r="B1327" s="3" t="s">
        <v>2053</v>
      </c>
      <c r="C1327" s="3" t="s">
        <v>18</v>
      </c>
      <c r="D1327" s="8" t="str">
        <f>HYPERLINK("http://npthd.inbcu.com/ViewContent.aspx?filename=NPMR_CBS_2017-07-06_E.MP4$6425$6826","BIG BROTHER 19: 1905")</f>
        <v>BIG BROTHER 19: 1905</v>
      </c>
      <c r="E1327" s="3" t="s">
        <v>421</v>
      </c>
      <c r="F1327" s="3" t="s">
        <v>3091</v>
      </c>
      <c r="G1327" s="3" t="s">
        <v>2030</v>
      </c>
    </row>
    <row r="1328" spans="1:7">
      <c r="A1328" s="6">
        <v>42922</v>
      </c>
      <c r="B1328" s="3" t="s">
        <v>2053</v>
      </c>
      <c r="C1328" s="3" t="s">
        <v>21</v>
      </c>
      <c r="D1328" s="8" t="str">
        <f>HYPERLINK("http://npthd.inbcu.com/ViewContent.aspx?filename=NPMR_CBS_2017-07-06_E.MP4$6826$7006","COMMERCIAL")</f>
        <v>COMMERCIAL</v>
      </c>
      <c r="E1328" s="3" t="s">
        <v>22</v>
      </c>
      <c r="F1328" s="3" t="s">
        <v>2030</v>
      </c>
      <c r="G1328" s="3" t="s">
        <v>3092</v>
      </c>
    </row>
    <row r="1329" spans="1:7">
      <c r="A1329" s="6">
        <v>42922</v>
      </c>
      <c r="B1329" s="3" t="s">
        <v>2053</v>
      </c>
      <c r="C1329" s="3" t="s">
        <v>14</v>
      </c>
      <c r="D1329" s="8" t="str">
        <f>HYPERLINK("http://npthd.inbcu.com/ViewContent.aspx?filename=NPMR_CBS_2017-07-06_E.MP4$7006$7016","Zoo")</f>
        <v>Zoo</v>
      </c>
      <c r="E1329" s="3" t="s">
        <v>197</v>
      </c>
      <c r="F1329" s="3" t="s">
        <v>3092</v>
      </c>
      <c r="G1329" s="3" t="s">
        <v>3093</v>
      </c>
    </row>
    <row r="1330" spans="1:7">
      <c r="A1330" s="6">
        <v>42922</v>
      </c>
      <c r="B1330" s="3" t="s">
        <v>2053</v>
      </c>
      <c r="C1330" s="3" t="s">
        <v>14</v>
      </c>
      <c r="D1330" s="8" t="str">
        <f>HYPERLINK("http://npthd.inbcu.com/ViewContent.aspx?filename=NPMR_CBS_2017-07-06_E.MP4$7016$7037","Salvation")</f>
        <v>Salvation</v>
      </c>
      <c r="E1330" s="3" t="s">
        <v>2067</v>
      </c>
      <c r="F1330" s="3" t="s">
        <v>3093</v>
      </c>
      <c r="G1330" s="3" t="s">
        <v>3094</v>
      </c>
    </row>
    <row r="1331" spans="1:7">
      <c r="A1331" s="6">
        <v>42922</v>
      </c>
      <c r="B1331" s="3" t="s">
        <v>2053</v>
      </c>
      <c r="C1331" s="3" t="s">
        <v>18</v>
      </c>
      <c r="D1331" s="8" t="str">
        <f>HYPERLINK("http://npthd.inbcu.com/ViewContent.aspx?filename=NPMR_CBS_2017-07-06_E.MP4$7037$7277","BIG BROTHER 19: 1905")</f>
        <v>BIG BROTHER 19: 1905</v>
      </c>
      <c r="E1331" s="3" t="s">
        <v>3095</v>
      </c>
      <c r="F1331" s="3" t="s">
        <v>3094</v>
      </c>
      <c r="G1331" s="3" t="s">
        <v>3096</v>
      </c>
    </row>
    <row r="1332" spans="1:7">
      <c r="A1332" s="6">
        <v>42922</v>
      </c>
      <c r="B1332" s="3" t="s">
        <v>2053</v>
      </c>
      <c r="C1332" s="3" t="s">
        <v>14</v>
      </c>
      <c r="D1332" s="8" t="str">
        <f>HYPERLINK("http://npthd.inbcu.com/ViewContent.aspx?filename=NPMR_CBS_2017-07-06_E.MP4$7277$7307","Candy Crush")</f>
        <v>Candy Crush</v>
      </c>
      <c r="E1332" s="3" t="s">
        <v>38</v>
      </c>
      <c r="F1332" s="3" t="s">
        <v>3096</v>
      </c>
      <c r="G1332" s="3" t="s">
        <v>3097</v>
      </c>
    </row>
    <row r="1333" spans="1:7">
      <c r="A1333" s="6">
        <v>42922</v>
      </c>
      <c r="B1333" s="3" t="s">
        <v>2053</v>
      </c>
      <c r="C1333" s="3" t="s">
        <v>18</v>
      </c>
      <c r="D1333" s="8" t="str">
        <f>HYPERLINK("http://npthd.inbcu.com/ViewContent.aspx?filename=NPMR_CBS_2017-07-06_E.MP4$7307$7312","BIG BROTHER 19: 1905")</f>
        <v>BIG BROTHER 19: 1905</v>
      </c>
      <c r="E1333" s="3" t="s">
        <v>54</v>
      </c>
      <c r="F1333" s="3" t="s">
        <v>3097</v>
      </c>
      <c r="G1333" s="3" t="s">
        <v>750</v>
      </c>
    </row>
    <row r="1334" spans="1:7">
      <c r="A1334" s="6">
        <v>42922</v>
      </c>
      <c r="B1334" s="3" t="s">
        <v>2053</v>
      </c>
      <c r="C1334" s="3" t="s">
        <v>14</v>
      </c>
      <c r="D1334" s="8" t="str">
        <f>HYPERLINK("http://npthd.inbcu.com/ViewContent.aspx?filename=NPMR_CBS_2017-07-06_E.MP4$7312$7317","Kevin Can Wait")</f>
        <v>Kevin Can Wait</v>
      </c>
      <c r="E1334" s="3" t="s">
        <v>54</v>
      </c>
      <c r="F1334" s="3" t="s">
        <v>750</v>
      </c>
      <c r="G1334" s="3" t="s">
        <v>394</v>
      </c>
    </row>
    <row r="1335" spans="1:7">
      <c r="A1335" s="6">
        <v>42922</v>
      </c>
      <c r="B1335" s="3" t="s">
        <v>2053</v>
      </c>
      <c r="C1335" s="3" t="s">
        <v>14</v>
      </c>
      <c r="D1335" s="8" t="str">
        <f>HYPERLINK("http://npthd.inbcu.com/ViewContent.aspx?filename=NPMR_CBS_2017-07-06_E.MP4$7317$7322","Late Show with Stephen Colbert")</f>
        <v>Late Show with Stephen Colbert</v>
      </c>
      <c r="E1335" s="3" t="s">
        <v>54</v>
      </c>
      <c r="F1335" s="3" t="s">
        <v>394</v>
      </c>
      <c r="G1335" s="3" t="s">
        <v>395</v>
      </c>
    </row>
    <row r="1336" spans="1:7">
      <c r="A1336" s="6">
        <v>42922</v>
      </c>
      <c r="B1336" s="3" t="s">
        <v>2053</v>
      </c>
      <c r="C1336" s="3" t="s">
        <v>18</v>
      </c>
      <c r="D1336" s="8" t="str">
        <f>HYPERLINK("http://npthd.inbcu.com/ViewContent.aspx?filename=NPMR_CBS_2017-07-06_E.MP4$7322$8269","ZOO: diaspora")</f>
        <v>ZOO: diaspora</v>
      </c>
      <c r="E1336" s="3" t="s">
        <v>3098</v>
      </c>
      <c r="F1336" s="3" t="s">
        <v>395</v>
      </c>
      <c r="G1336" s="3" t="s">
        <v>3099</v>
      </c>
    </row>
    <row r="1337" spans="1:7">
      <c r="A1337" s="6">
        <v>42922</v>
      </c>
      <c r="B1337" s="3" t="s">
        <v>2053</v>
      </c>
      <c r="C1337" s="3" t="s">
        <v>21</v>
      </c>
      <c r="D1337" s="8" t="str">
        <f>HYPERLINK("http://npthd.inbcu.com/ViewContent.aspx?filename=NPMR_CBS_2017-07-06_E.MP4$8269$8421","COMMERCIAL")</f>
        <v>COMMERCIAL</v>
      </c>
      <c r="E1337" s="3" t="s">
        <v>128</v>
      </c>
      <c r="F1337" s="3" t="s">
        <v>3099</v>
      </c>
      <c r="G1337" s="3" t="s">
        <v>3100</v>
      </c>
    </row>
    <row r="1338" spans="1:7">
      <c r="A1338" s="6">
        <v>42922</v>
      </c>
      <c r="B1338" s="3" t="s">
        <v>2053</v>
      </c>
      <c r="C1338" s="3" t="s">
        <v>14</v>
      </c>
      <c r="D1338" s="8" t="str">
        <f>HYPERLINK("http://npthd.inbcu.com/ViewContent.aspx?filename=NPMR_CBS_2017-07-06_E.MP4$8421$8431","Salvation")</f>
        <v>Salvation</v>
      </c>
      <c r="E1338" s="3" t="s">
        <v>197</v>
      </c>
      <c r="F1338" s="3" t="s">
        <v>3100</v>
      </c>
      <c r="G1338" s="3" t="s">
        <v>3101</v>
      </c>
    </row>
    <row r="1339" spans="1:7">
      <c r="A1339" s="6">
        <v>42922</v>
      </c>
      <c r="B1339" s="3" t="s">
        <v>2053</v>
      </c>
      <c r="C1339" s="3" t="s">
        <v>14</v>
      </c>
      <c r="D1339" s="8" t="str">
        <f>HYPERLINK("http://npthd.inbcu.com/ViewContent.aspx?filename=NPMR_CBS_2017-07-06_E.MP4$8431$8436","Wisdom of the Crowd")</f>
        <v>Wisdom of the Crowd</v>
      </c>
      <c r="E1339" s="3" t="s">
        <v>54</v>
      </c>
      <c r="F1339" s="3" t="s">
        <v>3101</v>
      </c>
      <c r="G1339" s="3" t="s">
        <v>1161</v>
      </c>
    </row>
    <row r="1340" spans="1:7">
      <c r="A1340" s="6">
        <v>42922</v>
      </c>
      <c r="B1340" s="3" t="s">
        <v>2053</v>
      </c>
      <c r="C1340" s="3" t="s">
        <v>18</v>
      </c>
      <c r="D1340" s="8" t="str">
        <f>HYPERLINK("http://npthd.inbcu.com/ViewContent.aspx?filename=NPMR_CBS_2017-07-06_E.MP4$8436$8892","ZOO: diaspora")</f>
        <v>ZOO: diaspora</v>
      </c>
      <c r="E1340" s="3" t="s">
        <v>1683</v>
      </c>
      <c r="F1340" s="3" t="s">
        <v>1161</v>
      </c>
      <c r="G1340" s="3" t="s">
        <v>3102</v>
      </c>
    </row>
    <row r="1341" spans="1:7">
      <c r="A1341" s="6">
        <v>42922</v>
      </c>
      <c r="B1341" s="3" t="s">
        <v>2053</v>
      </c>
      <c r="C1341" s="3" t="s">
        <v>21</v>
      </c>
      <c r="D1341" s="8" t="str">
        <f>HYPERLINK("http://npthd.inbcu.com/ViewContent.aspx?filename=NPMR_CBS_2017-07-06_E.MP4$8892$9074","COMMERCIAL")</f>
        <v>COMMERCIAL</v>
      </c>
      <c r="E1341" s="3" t="s">
        <v>275</v>
      </c>
      <c r="F1341" s="3" t="s">
        <v>3102</v>
      </c>
      <c r="G1341" s="3" t="s">
        <v>3103</v>
      </c>
    </row>
    <row r="1342" spans="1:7">
      <c r="A1342" s="6">
        <v>42922</v>
      </c>
      <c r="B1342" s="3" t="s">
        <v>2053</v>
      </c>
      <c r="C1342" s="3" t="s">
        <v>14</v>
      </c>
      <c r="D1342" s="8" t="str">
        <f>HYPERLINK("http://npthd.inbcu.com/ViewContent.aspx?filename=NPMR_CBS_2017-07-06_E.MP4$9074$9084","Big Brother")</f>
        <v>Big Brother</v>
      </c>
      <c r="E1342" s="3" t="s">
        <v>197</v>
      </c>
      <c r="F1342" s="3" t="s">
        <v>3103</v>
      </c>
      <c r="G1342" s="3" t="s">
        <v>3104</v>
      </c>
    </row>
    <row r="1343" spans="1:7">
      <c r="A1343" s="6">
        <v>42922</v>
      </c>
      <c r="B1343" s="3" t="s">
        <v>2053</v>
      </c>
      <c r="C1343" s="3" t="s">
        <v>14</v>
      </c>
      <c r="D1343" s="8" t="str">
        <f>HYPERLINK("http://npthd.inbcu.com/ViewContent.aspx?filename=NPMR_CBS_2017-07-06_E.MP4$9084$9094","Candy Crush")</f>
        <v>Candy Crush</v>
      </c>
      <c r="E1343" s="3" t="s">
        <v>197</v>
      </c>
      <c r="F1343" s="3" t="s">
        <v>3104</v>
      </c>
      <c r="G1343" s="3" t="s">
        <v>3105</v>
      </c>
    </row>
    <row r="1344" spans="1:7">
      <c r="A1344" s="6">
        <v>42922</v>
      </c>
      <c r="B1344" s="3" t="s">
        <v>2053</v>
      </c>
      <c r="C1344" s="3" t="s">
        <v>14</v>
      </c>
      <c r="D1344" s="8" t="str">
        <f>HYPERLINK("http://npthd.inbcu.com/ViewContent.aspx?filename=NPMR_CBS_2017-07-06_E.MP4$9094$9110","Salvation")</f>
        <v>Salvation</v>
      </c>
      <c r="E1344" s="3" t="s">
        <v>64</v>
      </c>
      <c r="F1344" s="3" t="s">
        <v>3105</v>
      </c>
      <c r="G1344" s="3" t="s">
        <v>3106</v>
      </c>
    </row>
    <row r="1345" spans="1:7">
      <c r="A1345" s="6">
        <v>42922</v>
      </c>
      <c r="B1345" s="3" t="s">
        <v>2053</v>
      </c>
      <c r="C1345" s="3" t="s">
        <v>18</v>
      </c>
      <c r="D1345" s="8" t="str">
        <f>HYPERLINK("http://npthd.inbcu.com/ViewContent.aspx?filename=NPMR_CBS_2017-07-06_E.MP4$9110$9567","ZOO: diaspora")</f>
        <v>ZOO: diaspora</v>
      </c>
      <c r="E1345" s="3" t="s">
        <v>3107</v>
      </c>
      <c r="F1345" s="3" t="s">
        <v>3106</v>
      </c>
      <c r="G1345" s="3" t="s">
        <v>3108</v>
      </c>
    </row>
    <row r="1346" spans="1:7">
      <c r="A1346" s="6">
        <v>42922</v>
      </c>
      <c r="B1346" s="3" t="s">
        <v>2053</v>
      </c>
      <c r="C1346" s="3" t="s">
        <v>21</v>
      </c>
      <c r="D1346" s="8" t="str">
        <f>HYPERLINK("http://npthd.inbcu.com/ViewContent.aspx?filename=NPMR_CBS_2017-07-06_E.MP4$9567$9688","COMMERCIAL")</f>
        <v>COMMERCIAL</v>
      </c>
      <c r="E1346" s="3" t="s">
        <v>175</v>
      </c>
      <c r="F1346" s="3" t="s">
        <v>3108</v>
      </c>
      <c r="G1346" s="3" t="s">
        <v>3109</v>
      </c>
    </row>
    <row r="1347" spans="1:7">
      <c r="A1347" s="6">
        <v>42922</v>
      </c>
      <c r="B1347" s="3" t="s">
        <v>2053</v>
      </c>
      <c r="C1347" s="3" t="s">
        <v>32</v>
      </c>
      <c r="D1347" s="8" t="str">
        <f>HYPERLINK("http://npthd.inbcu.com/ViewContent.aspx?filename=NPMR_CBS_2017-07-06_E.MP4$9688$9829","LOCAL")</f>
        <v>LOCAL</v>
      </c>
      <c r="E1347" s="3" t="s">
        <v>1753</v>
      </c>
      <c r="F1347" s="3" t="s">
        <v>3109</v>
      </c>
      <c r="G1347" s="3" t="s">
        <v>3110</v>
      </c>
    </row>
    <row r="1348" spans="1:7">
      <c r="A1348" s="6">
        <v>42922</v>
      </c>
      <c r="B1348" s="3" t="s">
        <v>2053</v>
      </c>
      <c r="C1348" s="3" t="s">
        <v>18</v>
      </c>
      <c r="D1348" s="8" t="str">
        <f>HYPERLINK("http://npthd.inbcu.com/ViewContent.aspx?filename=NPMR_CBS_2017-07-06_E.MP4$9829$10055","ZOO: diaspora")</f>
        <v>ZOO: diaspora</v>
      </c>
      <c r="E1348" s="3" t="s">
        <v>3081</v>
      </c>
      <c r="F1348" s="3" t="s">
        <v>3110</v>
      </c>
      <c r="G1348" s="3" t="s">
        <v>3111</v>
      </c>
    </row>
    <row r="1349" spans="1:7">
      <c r="A1349" s="6">
        <v>42922</v>
      </c>
      <c r="B1349" s="3" t="s">
        <v>2053</v>
      </c>
      <c r="C1349" s="3" t="s">
        <v>21</v>
      </c>
      <c r="D1349" s="8" t="str">
        <f>HYPERLINK("http://npthd.inbcu.com/ViewContent.aspx?filename=NPMR_CBS_2017-07-06_E.MP4$10055$10217","COMMERCIAL")</f>
        <v>COMMERCIAL</v>
      </c>
      <c r="E1349" s="3" t="s">
        <v>3112</v>
      </c>
      <c r="F1349" s="3" t="s">
        <v>3111</v>
      </c>
      <c r="G1349" s="3" t="s">
        <v>3113</v>
      </c>
    </row>
    <row r="1350" spans="1:7">
      <c r="A1350" s="6">
        <v>42922</v>
      </c>
      <c r="B1350" s="3" t="s">
        <v>2053</v>
      </c>
      <c r="C1350" s="3" t="s">
        <v>32</v>
      </c>
      <c r="D1350" s="8" t="str">
        <f>HYPERLINK("http://npthd.inbcu.com/ViewContent.aspx?filename=NPMR_CBS_2017-07-06_E.MP4$10217$10228","LOCAL")</f>
        <v>LOCAL</v>
      </c>
      <c r="E1350" s="3" t="s">
        <v>1940</v>
      </c>
      <c r="F1350" s="3" t="s">
        <v>3113</v>
      </c>
      <c r="G1350" s="3" t="s">
        <v>596</v>
      </c>
    </row>
    <row r="1351" spans="1:7">
      <c r="A1351" s="6">
        <v>42922</v>
      </c>
      <c r="B1351" s="3" t="s">
        <v>2053</v>
      </c>
      <c r="C1351" s="3" t="s">
        <v>32</v>
      </c>
      <c r="D1351" s="8" t="str">
        <f>HYPERLINK("http://npthd.inbcu.com/ViewContent.aspx?filename=NPMR_CBS_2017-07-06_E.MP4$10228$10323","LOCAL")</f>
        <v>LOCAL</v>
      </c>
      <c r="E1351" s="3" t="s">
        <v>2076</v>
      </c>
      <c r="F1351" s="3" t="s">
        <v>596</v>
      </c>
      <c r="G1351" s="3" t="s">
        <v>3114</v>
      </c>
    </row>
    <row r="1352" spans="1:7">
      <c r="A1352" s="6">
        <v>42922</v>
      </c>
      <c r="B1352" s="3" t="s">
        <v>2053</v>
      </c>
      <c r="C1352" s="3" t="s">
        <v>18</v>
      </c>
      <c r="D1352" s="8" t="str">
        <f>HYPERLINK("http://npthd.inbcu.com/ViewContent.aspx?filename=NPMR_CBS_2017-07-06_E.MP4$10323$10800","ZOO: diaspora")</f>
        <v>ZOO: diaspora</v>
      </c>
      <c r="E1352" s="3" t="s">
        <v>345</v>
      </c>
      <c r="F1352" s="3" t="s">
        <v>3114</v>
      </c>
      <c r="G1352" s="3" t="s">
        <v>2385</v>
      </c>
    </row>
    <row r="1353" spans="1:7">
      <c r="A1353" s="6">
        <v>42922</v>
      </c>
      <c r="B1353" s="3" t="s">
        <v>2053</v>
      </c>
      <c r="C1353" s="3" t="s">
        <v>32</v>
      </c>
      <c r="D1353" s="8" t="str">
        <f>HYPERLINK("http://npthd.inbcu.com/ViewContent.aspx?filename=NPMR_CBS_2017-07-06_E.MP4$10800$10812","LOCAL")</f>
        <v>LOCAL</v>
      </c>
      <c r="E1353" s="3" t="s">
        <v>2057</v>
      </c>
      <c r="F1353" s="3" t="s">
        <v>2385</v>
      </c>
      <c r="G1353" s="3" t="s">
        <v>2386</v>
      </c>
    </row>
    <row r="1354" spans="1:7">
      <c r="A1354" s="6">
        <v>42922</v>
      </c>
      <c r="B1354" s="3" t="s">
        <v>2053</v>
      </c>
      <c r="C1354" s="3" t="s">
        <v>21</v>
      </c>
      <c r="D1354" s="8" t="str">
        <f>HYPERLINK("http://npthd.inbcu.com/ViewContent.aspx?filename=NPMR_CBS_2017-07-06_E.MP4$10812$10874","COMMERCIAL")</f>
        <v>COMMERCIAL</v>
      </c>
      <c r="E1354" s="3" t="s">
        <v>257</v>
      </c>
      <c r="F1354" s="3" t="s">
        <v>2386</v>
      </c>
      <c r="G1354" s="3" t="s">
        <v>2175</v>
      </c>
    </row>
    <row r="1355" spans="1:7">
      <c r="A1355" s="6">
        <v>42922</v>
      </c>
      <c r="B1355" s="3" t="s">
        <v>2053</v>
      </c>
      <c r="C1355" s="3" t="s">
        <v>14</v>
      </c>
      <c r="D1355" s="8" t="str">
        <f>HYPERLINK("http://npthd.inbcu.com/ViewContent.aspx?filename=NPMR_CBS_2017-07-06_E.MP4$10874$10879","Late Show with Stephen Colbert")</f>
        <v>Late Show with Stephen Colbert</v>
      </c>
      <c r="E1355" s="3" t="s">
        <v>54</v>
      </c>
      <c r="F1355" s="3" t="s">
        <v>2175</v>
      </c>
      <c r="G1355" s="3" t="s">
        <v>773</v>
      </c>
    </row>
    <row r="1356" spans="1:7">
      <c r="A1356" s="6">
        <v>42922</v>
      </c>
      <c r="B1356" s="3" t="s">
        <v>2053</v>
      </c>
      <c r="C1356" s="3" t="s">
        <v>14</v>
      </c>
      <c r="D1356" s="8" t="str">
        <f>HYPERLINK("http://npthd.inbcu.com/ViewContent.aspx?filename=NPMR_CBS_2017-07-06_E.MP4$10879$10901","Zoo")</f>
        <v>Zoo</v>
      </c>
      <c r="E1356" s="3" t="s">
        <v>2124</v>
      </c>
      <c r="F1356" s="3" t="s">
        <v>773</v>
      </c>
      <c r="G1356" s="3" t="s">
        <v>1181</v>
      </c>
    </row>
    <row r="1357" spans="1:7">
      <c r="A1357" s="6">
        <v>42922</v>
      </c>
      <c r="B1357" s="3" t="s">
        <v>2053</v>
      </c>
      <c r="C1357" s="3" t="s">
        <v>18</v>
      </c>
      <c r="D1357" s="8" t="str">
        <f>HYPERLINK("http://npthd.inbcu.com/ViewContent.aspx?filename=NPMR_CBS_2017-07-06_E.MP4$10901$10905","ZOO: diaspora")</f>
        <v>ZOO: diaspora</v>
      </c>
      <c r="E1357" s="3" t="s">
        <v>84</v>
      </c>
      <c r="F1357" s="3" t="s">
        <v>1181</v>
      </c>
      <c r="G1357" s="3" t="s">
        <v>2317</v>
      </c>
    </row>
    <row r="1358" spans="1:7">
      <c r="A1358" s="6">
        <v>42922</v>
      </c>
      <c r="B1358" s="3" t="s">
        <v>2053</v>
      </c>
      <c r="C1358" s="3" t="s">
        <v>32</v>
      </c>
      <c r="D1358" s="8" t="str">
        <f>HYPERLINK("http://npthd.inbcu.com/ViewContent.aspx?filename=NPMR_CBS_2017-07-06_E.MP4$10905$10917","LOCAL")</f>
        <v>LOCAL</v>
      </c>
      <c r="E1358" s="3" t="s">
        <v>2057</v>
      </c>
      <c r="F1358" s="3" t="s">
        <v>2317</v>
      </c>
      <c r="G1358" s="3" t="s">
        <v>124</v>
      </c>
    </row>
    <row r="1359" spans="1:7">
      <c r="A1359" s="6">
        <v>42923</v>
      </c>
      <c r="B1359" s="3" t="s">
        <v>2053</v>
      </c>
      <c r="C1359" s="3" t="s">
        <v>18</v>
      </c>
      <c r="D1359" s="8" t="str">
        <f>HYPERLINK("http://npthd.inbcu.com/ViewContent.aspx?filename=NPMR_CBS_2017-07-07_E.MP4$117$872","MACGYVER: the rising (pilot)")</f>
        <v>MACGYVER: the rising (pilot)</v>
      </c>
      <c r="E1359" s="3" t="s">
        <v>3115</v>
      </c>
      <c r="F1359" s="3" t="s">
        <v>16</v>
      </c>
      <c r="G1359" s="3" t="s">
        <v>702</v>
      </c>
    </row>
    <row r="1360" spans="1:7">
      <c r="A1360" s="6">
        <v>42923</v>
      </c>
      <c r="B1360" s="3" t="s">
        <v>2053</v>
      </c>
      <c r="C1360" s="3" t="s">
        <v>21</v>
      </c>
      <c r="D1360" s="8" t="str">
        <f>HYPERLINK("http://npthd.inbcu.com/ViewContent.aspx?filename=NPMR_CBS_2017-07-07_E.MP4$872$1044","COMMERCIAL")</f>
        <v>COMMERCIAL</v>
      </c>
      <c r="E1360" s="3" t="s">
        <v>3116</v>
      </c>
      <c r="F1360" s="3" t="s">
        <v>702</v>
      </c>
      <c r="G1360" s="3" t="s">
        <v>3117</v>
      </c>
    </row>
    <row r="1361" spans="1:7">
      <c r="A1361" s="6">
        <v>42923</v>
      </c>
      <c r="B1361" s="3" t="s">
        <v>2053</v>
      </c>
      <c r="C1361" s="3" t="s">
        <v>14</v>
      </c>
      <c r="D1361" s="8" t="str">
        <f>HYPERLINK("http://npthd.inbcu.com/ViewContent.aspx?filename=NPMR_CBS_2017-07-07_E.MP4$1044$1054","Wisdom of the Crowd")</f>
        <v>Wisdom of the Crowd</v>
      </c>
      <c r="E1361" s="3" t="s">
        <v>197</v>
      </c>
      <c r="F1361" s="3" t="s">
        <v>3117</v>
      </c>
      <c r="G1361" s="3" t="s">
        <v>3118</v>
      </c>
    </row>
    <row r="1362" spans="1:7">
      <c r="A1362" s="6">
        <v>42923</v>
      </c>
      <c r="B1362" s="3" t="s">
        <v>2053</v>
      </c>
      <c r="C1362" s="3" t="s">
        <v>18</v>
      </c>
      <c r="D1362" s="8" t="str">
        <f>HYPERLINK("http://npthd.inbcu.com/ViewContent.aspx?filename=NPMR_CBS_2017-07-07_E.MP4$1054$1576","MACGYVER: the rising (pilot)")</f>
        <v>MACGYVER: the rising (pilot)</v>
      </c>
      <c r="E1362" s="3" t="s">
        <v>1560</v>
      </c>
      <c r="F1362" s="3" t="s">
        <v>3118</v>
      </c>
      <c r="G1362" s="3" t="s">
        <v>3119</v>
      </c>
    </row>
    <row r="1363" spans="1:7">
      <c r="A1363" s="6">
        <v>42923</v>
      </c>
      <c r="B1363" s="3" t="s">
        <v>2053</v>
      </c>
      <c r="C1363" s="3" t="s">
        <v>21</v>
      </c>
      <c r="D1363" s="8" t="str">
        <f>HYPERLINK("http://npthd.inbcu.com/ViewContent.aspx?filename=NPMR_CBS_2017-07-07_E.MP4$1576$1728","COMMERCIAL")</f>
        <v>COMMERCIAL</v>
      </c>
      <c r="E1363" s="3" t="s">
        <v>128</v>
      </c>
      <c r="F1363" s="3" t="s">
        <v>3119</v>
      </c>
      <c r="G1363" s="3" t="s">
        <v>3120</v>
      </c>
    </row>
    <row r="1364" spans="1:7">
      <c r="A1364" s="6">
        <v>42923</v>
      </c>
      <c r="B1364" s="3" t="s">
        <v>2053</v>
      </c>
      <c r="C1364" s="3" t="s">
        <v>1618</v>
      </c>
      <c r="D1364" s="8" t="str">
        <f>HYPERLINK("http://npthd.inbcu.com/ViewContent.aspx?filename=NPMR_CBS_2017-07-07_E.MP4$1728$1738","PSA")</f>
        <v>PSA</v>
      </c>
      <c r="E1364" s="3" t="s">
        <v>197</v>
      </c>
      <c r="F1364" s="3" t="s">
        <v>3120</v>
      </c>
      <c r="G1364" s="3" t="s">
        <v>3121</v>
      </c>
    </row>
    <row r="1365" spans="1:7">
      <c r="A1365" s="6">
        <v>42923</v>
      </c>
      <c r="B1365" s="3" t="s">
        <v>2053</v>
      </c>
      <c r="C1365" s="3" t="s">
        <v>14</v>
      </c>
      <c r="D1365" s="8" t="str">
        <f>HYPERLINK("http://npthd.inbcu.com/ViewContent.aspx?filename=NPMR_CBS_2017-07-07_E.MP4$1738$1748","PGA on CBS")</f>
        <v>PGA on CBS</v>
      </c>
      <c r="E1365" s="3" t="s">
        <v>197</v>
      </c>
      <c r="F1365" s="3" t="s">
        <v>3121</v>
      </c>
      <c r="G1365" s="3" t="s">
        <v>3122</v>
      </c>
    </row>
    <row r="1366" spans="1:7">
      <c r="A1366" s="6">
        <v>42923</v>
      </c>
      <c r="B1366" s="3" t="s">
        <v>2053</v>
      </c>
      <c r="C1366" s="3" t="s">
        <v>14</v>
      </c>
      <c r="D1366" s="8" t="str">
        <f>HYPERLINK("http://npthd.inbcu.com/ViewContent.aspx?filename=NPMR_CBS_2017-07-07_E.MP4$1748$1768","Candy Crush")</f>
        <v>Candy Crush</v>
      </c>
      <c r="E1366" s="3" t="s">
        <v>1805</v>
      </c>
      <c r="F1366" s="3" t="s">
        <v>3122</v>
      </c>
      <c r="G1366" s="3" t="s">
        <v>3123</v>
      </c>
    </row>
    <row r="1367" spans="1:7">
      <c r="A1367" s="6">
        <v>42923</v>
      </c>
      <c r="B1367" s="3" t="s">
        <v>2053</v>
      </c>
      <c r="C1367" s="3" t="s">
        <v>14</v>
      </c>
      <c r="D1367" s="8" t="str">
        <f>HYPERLINK("http://npthd.inbcu.com/ViewContent.aspx?filename=NPMR_CBS_2017-07-07_E.MP4$1768$1778","Me, Myself &amp; I")</f>
        <v>Me, Myself &amp; I</v>
      </c>
      <c r="E1367" s="3" t="s">
        <v>197</v>
      </c>
      <c r="F1367" s="3" t="s">
        <v>3123</v>
      </c>
      <c r="G1367" s="3" t="s">
        <v>3124</v>
      </c>
    </row>
    <row r="1368" spans="1:7">
      <c r="A1368" s="6">
        <v>42923</v>
      </c>
      <c r="B1368" s="3" t="s">
        <v>2053</v>
      </c>
      <c r="C1368" s="3" t="s">
        <v>18</v>
      </c>
      <c r="D1368" s="8" t="str">
        <f>HYPERLINK("http://npthd.inbcu.com/ViewContent.aspx?filename=NPMR_CBS_2017-07-07_E.MP4$1778$2060","MACGYVER: the rising (pilot)")</f>
        <v>MACGYVER: the rising (pilot)</v>
      </c>
      <c r="E1368" s="3" t="s">
        <v>3125</v>
      </c>
      <c r="F1368" s="3" t="s">
        <v>3124</v>
      </c>
      <c r="G1368" s="3" t="s">
        <v>864</v>
      </c>
    </row>
    <row r="1369" spans="1:7">
      <c r="A1369" s="6">
        <v>42923</v>
      </c>
      <c r="B1369" s="3" t="s">
        <v>2053</v>
      </c>
      <c r="C1369" s="3" t="s">
        <v>21</v>
      </c>
      <c r="D1369" s="8" t="str">
        <f>HYPERLINK("http://npthd.inbcu.com/ViewContent.aspx?filename=NPMR_CBS_2017-07-07_E.MP4$2060$2210","COMMERCIAL")</f>
        <v>COMMERCIAL</v>
      </c>
      <c r="E1369" s="3" t="s">
        <v>28</v>
      </c>
      <c r="F1369" s="3" t="s">
        <v>864</v>
      </c>
      <c r="G1369" s="3" t="s">
        <v>3126</v>
      </c>
    </row>
    <row r="1370" spans="1:7">
      <c r="A1370" s="6">
        <v>42923</v>
      </c>
      <c r="B1370" s="3" t="s">
        <v>2053</v>
      </c>
      <c r="C1370" s="3" t="s">
        <v>14</v>
      </c>
      <c r="D1370" s="8" t="str">
        <f>HYPERLINK("http://npthd.inbcu.com/ViewContent.aspx?filename=NPMR_CBS_2017-07-07_E.MP4$2210$2221","Big Brother")</f>
        <v>Big Brother</v>
      </c>
      <c r="E1370" s="3" t="s">
        <v>1940</v>
      </c>
      <c r="F1370" s="3" t="s">
        <v>3126</v>
      </c>
      <c r="G1370" s="3" t="s">
        <v>2902</v>
      </c>
    </row>
    <row r="1371" spans="1:7">
      <c r="A1371" s="6">
        <v>42923</v>
      </c>
      <c r="B1371" s="3" t="s">
        <v>2053</v>
      </c>
      <c r="C1371" s="3" t="s">
        <v>14</v>
      </c>
      <c r="D1371" s="8" t="str">
        <f>HYPERLINK("http://npthd.inbcu.com/ViewContent.aspx?filename=NPMR_CBS_2017-07-07_E.MP4$2221$2236","Salvation")</f>
        <v>Salvation</v>
      </c>
      <c r="E1371" s="3" t="s">
        <v>30</v>
      </c>
      <c r="F1371" s="3" t="s">
        <v>2902</v>
      </c>
      <c r="G1371" s="3" t="s">
        <v>786</v>
      </c>
    </row>
    <row r="1372" spans="1:7">
      <c r="A1372" s="6">
        <v>42923</v>
      </c>
      <c r="B1372" s="3" t="s">
        <v>2053</v>
      </c>
      <c r="C1372" s="3" t="s">
        <v>32</v>
      </c>
      <c r="D1372" s="8" t="str">
        <f>HYPERLINK("http://npthd.inbcu.com/ViewContent.aspx?filename=NPMR_CBS_2017-07-07_E.MP4$2236$2332","LOCAL")</f>
        <v>LOCAL</v>
      </c>
      <c r="E1372" s="3" t="s">
        <v>2101</v>
      </c>
      <c r="F1372" s="3" t="s">
        <v>786</v>
      </c>
      <c r="G1372" s="3" t="s">
        <v>3127</v>
      </c>
    </row>
    <row r="1373" spans="1:7">
      <c r="A1373" s="6">
        <v>42923</v>
      </c>
      <c r="B1373" s="3" t="s">
        <v>2053</v>
      </c>
      <c r="C1373" s="3" t="s">
        <v>18</v>
      </c>
      <c r="D1373" s="8" t="str">
        <f>HYPERLINK("http://npthd.inbcu.com/ViewContent.aspx?filename=NPMR_CBS_2017-07-07_E.MP4$2332$2763","MACGYVER: the rising (pilot)")</f>
        <v>MACGYVER: the rising (pilot)</v>
      </c>
      <c r="E1373" s="3" t="s">
        <v>332</v>
      </c>
      <c r="F1373" s="3" t="s">
        <v>3127</v>
      </c>
      <c r="G1373" s="3" t="s">
        <v>2402</v>
      </c>
    </row>
    <row r="1374" spans="1:7">
      <c r="A1374" s="6">
        <v>42923</v>
      </c>
      <c r="B1374" s="3" t="s">
        <v>2053</v>
      </c>
      <c r="C1374" s="3" t="s">
        <v>21</v>
      </c>
      <c r="D1374" s="8" t="str">
        <f>HYPERLINK("http://npthd.inbcu.com/ViewContent.aspx?filename=NPMR_CBS_2017-07-07_E.MP4$2763$2885","COMMERCIAL")</f>
        <v>COMMERCIAL</v>
      </c>
      <c r="E1374" s="3" t="s">
        <v>252</v>
      </c>
      <c r="F1374" s="3" t="s">
        <v>2402</v>
      </c>
      <c r="G1374" s="3" t="s">
        <v>3128</v>
      </c>
    </row>
    <row r="1375" spans="1:7">
      <c r="A1375" s="6">
        <v>42923</v>
      </c>
      <c r="B1375" s="3" t="s">
        <v>2053</v>
      </c>
      <c r="C1375" s="3" t="s">
        <v>32</v>
      </c>
      <c r="D1375" s="8" t="str">
        <f>HYPERLINK("http://npthd.inbcu.com/ViewContent.aspx?filename=NPMR_CBS_2017-07-07_E.MP4$2885$2980","LOCAL")</f>
        <v>LOCAL</v>
      </c>
      <c r="E1375" s="3" t="s">
        <v>2076</v>
      </c>
      <c r="F1375" s="3" t="s">
        <v>3128</v>
      </c>
      <c r="G1375" s="3" t="s">
        <v>3129</v>
      </c>
    </row>
    <row r="1376" spans="1:7">
      <c r="A1376" s="6">
        <v>42923</v>
      </c>
      <c r="B1376" s="3" t="s">
        <v>2053</v>
      </c>
      <c r="C1376" s="3" t="s">
        <v>18</v>
      </c>
      <c r="D1376" s="8" t="str">
        <f>HYPERLINK("http://npthd.inbcu.com/ViewContent.aspx?filename=NPMR_CBS_2017-07-07_E.MP4$2980$3543","MACGYVER: the rising (pilot)")</f>
        <v>MACGYVER: the rising (pilot)</v>
      </c>
      <c r="E1376" s="3" t="s">
        <v>3130</v>
      </c>
      <c r="F1376" s="3" t="s">
        <v>3129</v>
      </c>
      <c r="G1376" s="3" t="s">
        <v>3131</v>
      </c>
    </row>
    <row r="1377" spans="1:7">
      <c r="A1377" s="6">
        <v>42923</v>
      </c>
      <c r="B1377" s="3" t="s">
        <v>2053</v>
      </c>
      <c r="C1377" s="3" t="s">
        <v>21</v>
      </c>
      <c r="D1377" s="8" t="str">
        <f>HYPERLINK("http://npthd.inbcu.com/ViewContent.aspx?filename=NPMR_CBS_2017-07-07_E.MP4$3543$3663","COMMERCIAL")</f>
        <v>COMMERCIAL</v>
      </c>
      <c r="E1377" s="3" t="s">
        <v>43</v>
      </c>
      <c r="F1377" s="3" t="s">
        <v>3131</v>
      </c>
      <c r="G1377" s="3" t="s">
        <v>3132</v>
      </c>
    </row>
    <row r="1378" spans="1:7">
      <c r="A1378" s="6">
        <v>42923</v>
      </c>
      <c r="B1378" s="3" t="s">
        <v>2053</v>
      </c>
      <c r="C1378" s="3" t="s">
        <v>14</v>
      </c>
      <c r="D1378" s="8" t="str">
        <f>HYPERLINK("http://npthd.inbcu.com/ViewContent.aspx?filename=NPMR_CBS_2017-07-07_E.MP4$3663$3685","Salvation")</f>
        <v>Salvation</v>
      </c>
      <c r="E1378" s="3" t="s">
        <v>2124</v>
      </c>
      <c r="F1378" s="3" t="s">
        <v>3132</v>
      </c>
      <c r="G1378" s="3" t="s">
        <v>1783</v>
      </c>
    </row>
    <row r="1379" spans="1:7">
      <c r="A1379" s="6">
        <v>42923</v>
      </c>
      <c r="B1379" s="3" t="s">
        <v>2053</v>
      </c>
      <c r="C1379" s="3" t="s">
        <v>14</v>
      </c>
      <c r="D1379" s="8" t="str">
        <f>HYPERLINK("http://npthd.inbcu.com/ViewContent.aspx?filename=NPMR_CBS_2017-07-07_E.MP4$3685$3707","Kevin Can Wait")</f>
        <v>Kevin Can Wait</v>
      </c>
      <c r="E1379" s="3" t="s">
        <v>2124</v>
      </c>
      <c r="F1379" s="3" t="s">
        <v>1783</v>
      </c>
      <c r="G1379" s="3" t="s">
        <v>2579</v>
      </c>
    </row>
    <row r="1380" spans="1:7">
      <c r="A1380" s="6">
        <v>42923</v>
      </c>
      <c r="B1380" s="3" t="s">
        <v>2053</v>
      </c>
      <c r="C1380" s="3" t="s">
        <v>18</v>
      </c>
      <c r="D1380" s="8" t="str">
        <f>HYPERLINK("http://npthd.inbcu.com/ViewContent.aspx?filename=NPMR_CBS_2017-07-07_E.MP4$3707$3717","MACGYVER: the rising (pilot)")</f>
        <v>MACGYVER: the rising (pilot)</v>
      </c>
      <c r="E1380" s="3" t="s">
        <v>197</v>
      </c>
      <c r="F1380" s="3" t="s">
        <v>2579</v>
      </c>
      <c r="G1380" s="3" t="s">
        <v>242</v>
      </c>
    </row>
    <row r="1381" spans="1:7">
      <c r="A1381" s="6">
        <v>42923</v>
      </c>
      <c r="B1381" s="3" t="s">
        <v>2053</v>
      </c>
      <c r="C1381" s="3" t="s">
        <v>14</v>
      </c>
      <c r="D1381" s="8" t="str">
        <f>HYPERLINK("http://npthd.inbcu.com/ViewContent.aspx?filename=NPMR_CBS_2017-07-07_E.MP4$3717$3722","Candy Crush")</f>
        <v>Candy Crush</v>
      </c>
      <c r="E1381" s="3" t="s">
        <v>54</v>
      </c>
      <c r="F1381" s="3" t="s">
        <v>242</v>
      </c>
      <c r="G1381" s="3" t="s">
        <v>243</v>
      </c>
    </row>
    <row r="1382" spans="1:7">
      <c r="A1382" s="6">
        <v>42923</v>
      </c>
      <c r="B1382" s="3" t="s">
        <v>2053</v>
      </c>
      <c r="C1382" s="3" t="s">
        <v>18</v>
      </c>
      <c r="D1382" s="8" t="str">
        <f>HYPERLINK("http://npthd.inbcu.com/ViewContent.aspx?filename=NPMR_CBS_2017-07-07_E.MP4$3722$4309","HAWAII 5-0: ka paani nui")</f>
        <v>HAWAII 5-0: ka paani nui</v>
      </c>
      <c r="E1382" s="3" t="s">
        <v>3133</v>
      </c>
      <c r="F1382" s="3" t="s">
        <v>243</v>
      </c>
      <c r="G1382" s="3" t="s">
        <v>3134</v>
      </c>
    </row>
    <row r="1383" spans="1:7">
      <c r="A1383" s="6">
        <v>42923</v>
      </c>
      <c r="B1383" s="3" t="s">
        <v>2053</v>
      </c>
      <c r="C1383" s="3" t="s">
        <v>21</v>
      </c>
      <c r="D1383" s="8" t="str">
        <f>HYPERLINK("http://npthd.inbcu.com/ViewContent.aspx?filename=NPMR_CBS_2017-07-07_E.MP4$4309$4459","COMMERCIAL")</f>
        <v>COMMERCIAL</v>
      </c>
      <c r="E1383" s="3" t="s">
        <v>28</v>
      </c>
      <c r="F1383" s="3" t="s">
        <v>3134</v>
      </c>
      <c r="G1383" s="3" t="s">
        <v>3135</v>
      </c>
    </row>
    <row r="1384" spans="1:7">
      <c r="A1384" s="6">
        <v>42923</v>
      </c>
      <c r="B1384" s="3" t="s">
        <v>2053</v>
      </c>
      <c r="C1384" s="3" t="s">
        <v>14</v>
      </c>
      <c r="D1384" s="8" t="str">
        <f>HYPERLINK("http://npthd.inbcu.com/ViewContent.aspx?filename=NPMR_CBS_2017-07-07_E.MP4$4459$4481","Salvation")</f>
        <v>Salvation</v>
      </c>
      <c r="E1384" s="3" t="s">
        <v>2124</v>
      </c>
      <c r="F1384" s="3" t="s">
        <v>3135</v>
      </c>
      <c r="G1384" s="3" t="s">
        <v>3136</v>
      </c>
    </row>
    <row r="1385" spans="1:7">
      <c r="A1385" s="6">
        <v>42923</v>
      </c>
      <c r="B1385" s="3" t="s">
        <v>2053</v>
      </c>
      <c r="C1385" s="3" t="s">
        <v>18</v>
      </c>
      <c r="D1385" s="8" t="str">
        <f>HYPERLINK("http://npthd.inbcu.com/ViewContent.aspx?filename=NPMR_CBS_2017-07-07_E.MP4$4481$4936","HAWAII 5-0: ka paani nui")</f>
        <v>HAWAII 5-0: ka paani nui</v>
      </c>
      <c r="E1385" s="3" t="s">
        <v>1245</v>
      </c>
      <c r="F1385" s="3" t="s">
        <v>3136</v>
      </c>
      <c r="G1385" s="3" t="s">
        <v>3137</v>
      </c>
    </row>
    <row r="1386" spans="1:7">
      <c r="A1386" s="6">
        <v>42923</v>
      </c>
      <c r="B1386" s="3" t="s">
        <v>2053</v>
      </c>
      <c r="C1386" s="3" t="s">
        <v>21</v>
      </c>
      <c r="D1386" s="8" t="str">
        <f>HYPERLINK("http://npthd.inbcu.com/ViewContent.aspx?filename=NPMR_CBS_2017-07-07_E.MP4$4936$5149","COMMERCIAL")</f>
        <v>COMMERCIAL</v>
      </c>
      <c r="E1386" s="3" t="s">
        <v>261</v>
      </c>
      <c r="F1386" s="3" t="s">
        <v>3137</v>
      </c>
      <c r="G1386" s="3" t="s">
        <v>3138</v>
      </c>
    </row>
    <row r="1387" spans="1:7">
      <c r="A1387" s="6">
        <v>42923</v>
      </c>
      <c r="B1387" s="3" t="s">
        <v>2053</v>
      </c>
      <c r="C1387" s="3" t="s">
        <v>14</v>
      </c>
      <c r="D1387" s="8" t="str">
        <f>HYPERLINK("http://npthd.inbcu.com/ViewContent.aspx?filename=NPMR_CBS_2017-07-07_E.MP4$5149$5159","PGA on CBS")</f>
        <v>PGA on CBS</v>
      </c>
      <c r="E1387" s="3" t="s">
        <v>197</v>
      </c>
      <c r="F1387" s="3" t="s">
        <v>3138</v>
      </c>
      <c r="G1387" s="3" t="s">
        <v>3139</v>
      </c>
    </row>
    <row r="1388" spans="1:7">
      <c r="A1388" s="6">
        <v>42923</v>
      </c>
      <c r="B1388" s="3" t="s">
        <v>2053</v>
      </c>
      <c r="C1388" s="3" t="s">
        <v>14</v>
      </c>
      <c r="D1388" s="8" t="str">
        <f>HYPERLINK("http://npthd.inbcu.com/ViewContent.aspx?filename=NPMR_CBS_2017-07-07_E.MP4$5159$5179","Candy Crush")</f>
        <v>Candy Crush</v>
      </c>
      <c r="E1388" s="3" t="s">
        <v>1805</v>
      </c>
      <c r="F1388" s="3" t="s">
        <v>3139</v>
      </c>
      <c r="G1388" s="3" t="s">
        <v>3140</v>
      </c>
    </row>
    <row r="1389" spans="1:7">
      <c r="A1389" s="6">
        <v>42923</v>
      </c>
      <c r="B1389" s="3" t="s">
        <v>2053</v>
      </c>
      <c r="C1389" s="3" t="s">
        <v>18</v>
      </c>
      <c r="D1389" s="8" t="str">
        <f>HYPERLINK("http://npthd.inbcu.com/ViewContent.aspx?filename=NPMR_CBS_2017-07-07_E.MP4$5179$5861","HAWAII 5-0: ka paani nui")</f>
        <v>HAWAII 5-0: ka paani nui</v>
      </c>
      <c r="E1389" s="3" t="s">
        <v>3141</v>
      </c>
      <c r="F1389" s="3" t="s">
        <v>3140</v>
      </c>
      <c r="G1389" s="3" t="s">
        <v>1646</v>
      </c>
    </row>
    <row r="1390" spans="1:7">
      <c r="A1390" s="6">
        <v>42923</v>
      </c>
      <c r="B1390" s="3" t="s">
        <v>2053</v>
      </c>
      <c r="C1390" s="3" t="s">
        <v>21</v>
      </c>
      <c r="D1390" s="8" t="str">
        <f>HYPERLINK("http://npthd.inbcu.com/ViewContent.aspx?filename=NPMR_CBS_2017-07-07_E.MP4$5861$6012","COMMERCIAL")</f>
        <v>COMMERCIAL</v>
      </c>
      <c r="E1390" s="3" t="s">
        <v>91</v>
      </c>
      <c r="F1390" s="3" t="s">
        <v>1646</v>
      </c>
      <c r="G1390" s="3" t="s">
        <v>3142</v>
      </c>
    </row>
    <row r="1391" spans="1:7">
      <c r="A1391" s="6">
        <v>42923</v>
      </c>
      <c r="B1391" s="3" t="s">
        <v>2053</v>
      </c>
      <c r="C1391" s="3" t="s">
        <v>32</v>
      </c>
      <c r="D1391" s="8" t="str">
        <f>HYPERLINK("http://npthd.inbcu.com/ViewContent.aspx?filename=NPMR_CBS_2017-07-07_E.MP4$6012$6077","LOCAL")</f>
        <v>LOCAL</v>
      </c>
      <c r="E1391" s="3" t="s">
        <v>580</v>
      </c>
      <c r="F1391" s="3" t="s">
        <v>3142</v>
      </c>
      <c r="G1391" s="3" t="s">
        <v>1439</v>
      </c>
    </row>
    <row r="1392" spans="1:7">
      <c r="A1392" s="6">
        <v>42923</v>
      </c>
      <c r="B1392" s="3" t="s">
        <v>2053</v>
      </c>
      <c r="C1392" s="3" t="s">
        <v>18</v>
      </c>
      <c r="D1392" s="8" t="str">
        <f>HYPERLINK("http://npthd.inbcu.com/ViewContent.aspx?filename=NPMR_CBS_2017-07-07_E.MP4$6077$6470","HAWAII 5-0: ka paani nui")</f>
        <v>HAWAII 5-0: ka paani nui</v>
      </c>
      <c r="E1392" s="3" t="s">
        <v>765</v>
      </c>
      <c r="F1392" s="3" t="s">
        <v>1439</v>
      </c>
      <c r="G1392" s="3" t="s">
        <v>3143</v>
      </c>
    </row>
    <row r="1393" spans="1:7">
      <c r="A1393" s="6">
        <v>42923</v>
      </c>
      <c r="B1393" s="3" t="s">
        <v>2053</v>
      </c>
      <c r="C1393" s="3" t="s">
        <v>21</v>
      </c>
      <c r="D1393" s="8" t="str">
        <f>HYPERLINK("http://npthd.inbcu.com/ViewContent.aspx?filename=NPMR_CBS_2017-07-07_E.MP4$6470$6592","COMMERCIAL")</f>
        <v>COMMERCIAL</v>
      </c>
      <c r="E1393" s="3" t="s">
        <v>252</v>
      </c>
      <c r="F1393" s="3" t="s">
        <v>3143</v>
      </c>
      <c r="G1393" s="3" t="s">
        <v>3144</v>
      </c>
    </row>
    <row r="1394" spans="1:7">
      <c r="A1394" s="6">
        <v>42923</v>
      </c>
      <c r="B1394" s="3" t="s">
        <v>2053</v>
      </c>
      <c r="C1394" s="3" t="s">
        <v>14</v>
      </c>
      <c r="D1394" s="8" t="str">
        <f>HYPERLINK("http://npthd.inbcu.com/ViewContent.aspx?filename=NPMR_CBS_2017-07-07_E.MP4$6592$6622","Salvation")</f>
        <v>Salvation</v>
      </c>
      <c r="E1394" s="3" t="s">
        <v>38</v>
      </c>
      <c r="F1394" s="3" t="s">
        <v>3144</v>
      </c>
      <c r="G1394" s="3" t="s">
        <v>3145</v>
      </c>
    </row>
    <row r="1395" spans="1:7">
      <c r="A1395" s="6">
        <v>42923</v>
      </c>
      <c r="B1395" s="3" t="s">
        <v>2053</v>
      </c>
      <c r="C1395" s="3" t="s">
        <v>32</v>
      </c>
      <c r="D1395" s="8" t="str">
        <f>HYPERLINK("http://npthd.inbcu.com/ViewContent.aspx?filename=NPMR_CBS_2017-07-07_E.MP4$6622$6687","LOCAL")</f>
        <v>LOCAL</v>
      </c>
      <c r="E1395" s="3" t="s">
        <v>580</v>
      </c>
      <c r="F1395" s="3" t="s">
        <v>3145</v>
      </c>
      <c r="G1395" s="3" t="s">
        <v>3146</v>
      </c>
    </row>
    <row r="1396" spans="1:7">
      <c r="A1396" s="6">
        <v>42923</v>
      </c>
      <c r="B1396" s="3" t="s">
        <v>2053</v>
      </c>
      <c r="C1396" s="3" t="s">
        <v>18</v>
      </c>
      <c r="D1396" s="8" t="str">
        <f>HYPERLINK("http://npthd.inbcu.com/ViewContent.aspx?filename=NPMR_CBS_2017-07-07_E.MP4$6687$7128","HAWAII 5-0: ka paani nui")</f>
        <v>HAWAII 5-0: ka paani nui</v>
      </c>
      <c r="E1396" s="3" t="s">
        <v>318</v>
      </c>
      <c r="F1396" s="3" t="s">
        <v>3146</v>
      </c>
      <c r="G1396" s="3" t="s">
        <v>2725</v>
      </c>
    </row>
    <row r="1397" spans="1:7">
      <c r="A1397" s="6">
        <v>42923</v>
      </c>
      <c r="B1397" s="3" t="s">
        <v>2053</v>
      </c>
      <c r="C1397" s="3" t="s">
        <v>21</v>
      </c>
      <c r="D1397" s="8" t="str">
        <f>HYPERLINK("http://npthd.inbcu.com/ViewContent.aspx?filename=NPMR_CBS_2017-07-07_E.MP4$7128$7279","COMMERCIAL")</f>
        <v>COMMERCIAL</v>
      </c>
      <c r="E1397" s="3" t="s">
        <v>91</v>
      </c>
      <c r="F1397" s="3" t="s">
        <v>2725</v>
      </c>
      <c r="G1397" s="3" t="s">
        <v>1234</v>
      </c>
    </row>
    <row r="1398" spans="1:7">
      <c r="A1398" s="6">
        <v>42923</v>
      </c>
      <c r="B1398" s="3" t="s">
        <v>2053</v>
      </c>
      <c r="C1398" s="3" t="s">
        <v>14</v>
      </c>
      <c r="D1398" s="8" t="str">
        <f>HYPERLINK("http://npthd.inbcu.com/ViewContent.aspx?filename=NPMR_CBS_2017-07-07_E.MP4$7279$7290","Big Brother")</f>
        <v>Big Brother</v>
      </c>
      <c r="E1398" s="3" t="s">
        <v>1940</v>
      </c>
      <c r="F1398" s="3" t="s">
        <v>1234</v>
      </c>
      <c r="G1398" s="3" t="s">
        <v>2299</v>
      </c>
    </row>
    <row r="1399" spans="1:7">
      <c r="A1399" s="6">
        <v>42923</v>
      </c>
      <c r="B1399" s="3" t="s">
        <v>2053</v>
      </c>
      <c r="C1399" s="3" t="s">
        <v>14</v>
      </c>
      <c r="D1399" s="8" t="str">
        <f>HYPERLINK("http://npthd.inbcu.com/ViewContent.aspx?filename=NPMR_CBS_2017-07-07_E.MP4$7290$7311","Kevin Can Wait")</f>
        <v>Kevin Can Wait</v>
      </c>
      <c r="E1399" s="3" t="s">
        <v>2067</v>
      </c>
      <c r="F1399" s="3" t="s">
        <v>2299</v>
      </c>
      <c r="G1399" s="3" t="s">
        <v>183</v>
      </c>
    </row>
    <row r="1400" spans="1:7">
      <c r="A1400" s="6">
        <v>42923</v>
      </c>
      <c r="B1400" s="3" t="s">
        <v>2053</v>
      </c>
      <c r="C1400" s="3" t="s">
        <v>18</v>
      </c>
      <c r="D1400" s="8" t="str">
        <f>HYPERLINK("http://npthd.inbcu.com/ViewContent.aspx?filename=NPMR_CBS_2017-07-07_E.MP4$7311$7317","HAWAII 5-0: ka paani nui")</f>
        <v>HAWAII 5-0: ka paani nui</v>
      </c>
      <c r="E1400" s="3" t="s">
        <v>15</v>
      </c>
      <c r="F1400" s="3" t="s">
        <v>183</v>
      </c>
      <c r="G1400" s="3" t="s">
        <v>394</v>
      </c>
    </row>
    <row r="1401" spans="1:7">
      <c r="A1401" s="6">
        <v>42923</v>
      </c>
      <c r="B1401" s="3" t="s">
        <v>2053</v>
      </c>
      <c r="C1401" s="3" t="s">
        <v>14</v>
      </c>
      <c r="D1401" s="8" t="str">
        <f>HYPERLINK("http://npthd.inbcu.com/ViewContent.aspx?filename=NPMR_CBS_2017-07-07_E.MP4$7317$7322","Late Show with Stephen Colbert")</f>
        <v>Late Show with Stephen Colbert</v>
      </c>
      <c r="E1401" s="3" t="s">
        <v>54</v>
      </c>
      <c r="F1401" s="3" t="s">
        <v>394</v>
      </c>
      <c r="G1401" s="3" t="s">
        <v>395</v>
      </c>
    </row>
    <row r="1402" spans="1:7">
      <c r="A1402" s="6">
        <v>42923</v>
      </c>
      <c r="B1402" s="3" t="s">
        <v>2053</v>
      </c>
      <c r="C1402" s="3" t="s">
        <v>18</v>
      </c>
      <c r="D1402" s="8" t="str">
        <f>HYPERLINK("http://npthd.inbcu.com/ViewContent.aspx?filename=NPMR_CBS_2017-07-07_E.MP4$7322$7478","BLUE BLOODS: in and out")</f>
        <v>BLUE BLOODS: in and out</v>
      </c>
      <c r="E1402" s="3" t="s">
        <v>3147</v>
      </c>
      <c r="F1402" s="3" t="s">
        <v>395</v>
      </c>
      <c r="G1402" s="3" t="s">
        <v>3148</v>
      </c>
    </row>
    <row r="1403" spans="1:7">
      <c r="A1403" s="6">
        <v>42923</v>
      </c>
      <c r="B1403" s="3" t="s">
        <v>2053</v>
      </c>
      <c r="C1403" s="3" t="s">
        <v>21</v>
      </c>
      <c r="D1403" s="8" t="str">
        <f>HYPERLINK("http://npthd.inbcu.com/ViewContent.aspx?filename=NPMR_CBS_2017-07-07_E.MP4$7478$7690","COMMERCIAL")</f>
        <v>COMMERCIAL</v>
      </c>
      <c r="E1403" s="3" t="s">
        <v>891</v>
      </c>
      <c r="F1403" s="3" t="s">
        <v>3148</v>
      </c>
      <c r="G1403" s="3" t="s">
        <v>3149</v>
      </c>
    </row>
    <row r="1404" spans="1:7">
      <c r="A1404" s="6">
        <v>42923</v>
      </c>
      <c r="B1404" s="3" t="s">
        <v>2053</v>
      </c>
      <c r="C1404" s="3" t="s">
        <v>14</v>
      </c>
      <c r="D1404" s="8" t="str">
        <f>HYPERLINK("http://npthd.inbcu.com/ViewContent.aspx?filename=NPMR_CBS_2017-07-07_E.MP4$7690$7730","Salvation")</f>
        <v>Salvation</v>
      </c>
      <c r="E1404" s="3" t="s">
        <v>619</v>
      </c>
      <c r="F1404" s="3" t="s">
        <v>3149</v>
      </c>
      <c r="G1404" s="3" t="s">
        <v>3150</v>
      </c>
    </row>
    <row r="1405" spans="1:7">
      <c r="A1405" s="6">
        <v>42923</v>
      </c>
      <c r="B1405" s="3" t="s">
        <v>2053</v>
      </c>
      <c r="C1405" s="3" t="s">
        <v>14</v>
      </c>
      <c r="D1405" s="8" t="str">
        <f>HYPERLINK("http://npthd.inbcu.com/ViewContent.aspx?filename=NPMR_CBS_2017-07-07_E.MP4$7730$7735","Seal Team")</f>
        <v>Seal Team</v>
      </c>
      <c r="E1405" s="3" t="s">
        <v>54</v>
      </c>
      <c r="F1405" s="3" t="s">
        <v>3150</v>
      </c>
      <c r="G1405" s="3" t="s">
        <v>3151</v>
      </c>
    </row>
    <row r="1406" spans="1:7">
      <c r="A1406" s="6">
        <v>42923</v>
      </c>
      <c r="B1406" s="3" t="s">
        <v>2053</v>
      </c>
      <c r="C1406" s="3" t="s">
        <v>18</v>
      </c>
      <c r="D1406" s="8" t="str">
        <f>HYPERLINK("http://npthd.inbcu.com/ViewContent.aspx?filename=NPMR_CBS_2017-07-07_E.MP4$7735$8347","BLUE BLOODS: in and out")</f>
        <v>BLUE BLOODS: in and out</v>
      </c>
      <c r="E1406" s="3" t="s">
        <v>3152</v>
      </c>
      <c r="F1406" s="3" t="s">
        <v>3151</v>
      </c>
      <c r="G1406" s="3" t="s">
        <v>97</v>
      </c>
    </row>
    <row r="1407" spans="1:7">
      <c r="A1407" s="6">
        <v>42923</v>
      </c>
      <c r="B1407" s="3" t="s">
        <v>2053</v>
      </c>
      <c r="C1407" s="3" t="s">
        <v>21</v>
      </c>
      <c r="D1407" s="8" t="str">
        <f>HYPERLINK("http://npthd.inbcu.com/ViewContent.aspx?filename=NPMR_CBS_2017-07-07_E.MP4$8347$8573","COMMERCIAL")</f>
        <v>COMMERCIAL</v>
      </c>
      <c r="E1407" s="3" t="s">
        <v>3081</v>
      </c>
      <c r="F1407" s="3" t="s">
        <v>97</v>
      </c>
      <c r="G1407" s="3" t="s">
        <v>3153</v>
      </c>
    </row>
    <row r="1408" spans="1:7">
      <c r="A1408" s="6">
        <v>42923</v>
      </c>
      <c r="B1408" s="3" t="s">
        <v>2053</v>
      </c>
      <c r="C1408" s="3" t="s">
        <v>14</v>
      </c>
      <c r="D1408" s="8" t="str">
        <f>HYPERLINK("http://npthd.inbcu.com/ViewContent.aspx?filename=NPMR_CBS_2017-07-07_E.MP4$8573$8583","PGA on CBS")</f>
        <v>PGA on CBS</v>
      </c>
      <c r="E1408" s="3" t="s">
        <v>197</v>
      </c>
      <c r="F1408" s="3" t="s">
        <v>3153</v>
      </c>
      <c r="G1408" s="3" t="s">
        <v>3154</v>
      </c>
    </row>
    <row r="1409" spans="1:7">
      <c r="A1409" s="6">
        <v>42923</v>
      </c>
      <c r="B1409" s="3" t="s">
        <v>2053</v>
      </c>
      <c r="C1409" s="3" t="s">
        <v>14</v>
      </c>
      <c r="D1409" s="8" t="str">
        <f>HYPERLINK("http://npthd.inbcu.com/ViewContent.aspx?filename=NPMR_CBS_2017-07-07_E.MP4$8583$8603","Candy Crush")</f>
        <v>Candy Crush</v>
      </c>
      <c r="E1409" s="3" t="s">
        <v>1805</v>
      </c>
      <c r="F1409" s="3" t="s">
        <v>3154</v>
      </c>
      <c r="G1409" s="3" t="s">
        <v>3155</v>
      </c>
    </row>
    <row r="1410" spans="1:7">
      <c r="A1410" s="6">
        <v>42923</v>
      </c>
      <c r="B1410" s="3" t="s">
        <v>2053</v>
      </c>
      <c r="C1410" s="3" t="s">
        <v>14</v>
      </c>
      <c r="D1410" s="8" t="str">
        <f>HYPERLINK("http://npthd.inbcu.com/ViewContent.aspx?filename=NPMR_CBS_2017-07-07_E.MP4$8603$8608","Wisdom of the Crowd")</f>
        <v>Wisdom of the Crowd</v>
      </c>
      <c r="E1410" s="3" t="s">
        <v>54</v>
      </c>
      <c r="F1410" s="3" t="s">
        <v>3155</v>
      </c>
      <c r="G1410" s="3" t="s">
        <v>3156</v>
      </c>
    </row>
    <row r="1411" spans="1:7">
      <c r="A1411" s="6">
        <v>42923</v>
      </c>
      <c r="B1411" s="3" t="s">
        <v>2053</v>
      </c>
      <c r="C1411" s="3" t="s">
        <v>18</v>
      </c>
      <c r="D1411" s="8" t="str">
        <f>HYPERLINK("http://npthd.inbcu.com/ViewContent.aspx?filename=NPMR_CBS_2017-07-07_E.MP4$8608$9113","BLUE BLOODS: in and out")</f>
        <v>BLUE BLOODS: in and out</v>
      </c>
      <c r="E1411" s="3" t="s">
        <v>1236</v>
      </c>
      <c r="F1411" s="3" t="s">
        <v>3156</v>
      </c>
      <c r="G1411" s="3" t="s">
        <v>3157</v>
      </c>
    </row>
    <row r="1412" spans="1:7">
      <c r="A1412" s="6">
        <v>42923</v>
      </c>
      <c r="B1412" s="3" t="s">
        <v>2053</v>
      </c>
      <c r="C1412" s="3" t="s">
        <v>21</v>
      </c>
      <c r="D1412" s="8" t="str">
        <f>HYPERLINK("http://npthd.inbcu.com/ViewContent.aspx?filename=NPMR_CBS_2017-07-07_E.MP4$9113$9234","COMMERCIAL")</f>
        <v>COMMERCIAL</v>
      </c>
      <c r="E1412" s="3" t="s">
        <v>175</v>
      </c>
      <c r="F1412" s="3" t="s">
        <v>3157</v>
      </c>
      <c r="G1412" s="3" t="s">
        <v>3158</v>
      </c>
    </row>
    <row r="1413" spans="1:7">
      <c r="A1413" s="6">
        <v>42923</v>
      </c>
      <c r="B1413" s="3" t="s">
        <v>2053</v>
      </c>
      <c r="C1413" s="3" t="s">
        <v>32</v>
      </c>
      <c r="D1413" s="8" t="str">
        <f>HYPERLINK("http://npthd.inbcu.com/ViewContent.aspx?filename=NPMR_CBS_2017-07-07_E.MP4$9234$9374","LOCAL")</f>
        <v>LOCAL</v>
      </c>
      <c r="E1413" s="3" t="s">
        <v>623</v>
      </c>
      <c r="F1413" s="3" t="s">
        <v>3158</v>
      </c>
      <c r="G1413" s="3" t="s">
        <v>1594</v>
      </c>
    </row>
    <row r="1414" spans="1:7">
      <c r="A1414" s="6">
        <v>42923</v>
      </c>
      <c r="B1414" s="3" t="s">
        <v>2053</v>
      </c>
      <c r="C1414" s="3" t="s">
        <v>18</v>
      </c>
      <c r="D1414" s="8" t="str">
        <f>HYPERLINK("http://npthd.inbcu.com/ViewContent.aspx?filename=NPMR_CBS_2017-07-07_E.MP4$9374$9736","BLUE BLOODS: in and out")</f>
        <v>BLUE BLOODS: in and out</v>
      </c>
      <c r="E1414" s="3" t="s">
        <v>48</v>
      </c>
      <c r="F1414" s="3" t="s">
        <v>1594</v>
      </c>
      <c r="G1414" s="3" t="s">
        <v>3159</v>
      </c>
    </row>
    <row r="1415" spans="1:7">
      <c r="A1415" s="6">
        <v>42923</v>
      </c>
      <c r="B1415" s="3" t="s">
        <v>2053</v>
      </c>
      <c r="C1415" s="3" t="s">
        <v>21</v>
      </c>
      <c r="D1415" s="8" t="str">
        <f>HYPERLINK("http://npthd.inbcu.com/ViewContent.aspx?filename=NPMR_CBS_2017-07-07_E.MP4$9736$9947","COMMERCIAL")</f>
        <v>COMMERCIAL</v>
      </c>
      <c r="E1415" s="3" t="s">
        <v>334</v>
      </c>
      <c r="F1415" s="3" t="s">
        <v>3159</v>
      </c>
      <c r="G1415" s="3" t="s">
        <v>768</v>
      </c>
    </row>
    <row r="1416" spans="1:7">
      <c r="A1416" s="6">
        <v>42923</v>
      </c>
      <c r="B1416" s="3" t="s">
        <v>2053</v>
      </c>
      <c r="C1416" s="3" t="s">
        <v>14</v>
      </c>
      <c r="D1416" s="8" t="str">
        <f>HYPERLINK("http://npthd.inbcu.com/ViewContent.aspx?filename=NPMR_CBS_2017-07-07_E.MP4$9947$9957","Late Show with Stephen Colbert")</f>
        <v>Late Show with Stephen Colbert</v>
      </c>
      <c r="E1416" s="3" t="s">
        <v>197</v>
      </c>
      <c r="F1416" s="3" t="s">
        <v>768</v>
      </c>
      <c r="G1416" s="3" t="s">
        <v>1988</v>
      </c>
    </row>
    <row r="1417" spans="1:7">
      <c r="A1417" s="6">
        <v>42923</v>
      </c>
      <c r="B1417" s="3" t="s">
        <v>2053</v>
      </c>
      <c r="C1417" s="3" t="s">
        <v>14</v>
      </c>
      <c r="D1417" s="8" t="str">
        <f>HYPERLINK("http://npthd.inbcu.com/ViewContent.aspx?filename=NPMR_CBS_2017-07-07_E.MP4$9957$9977","Salvation")</f>
        <v>Salvation</v>
      </c>
      <c r="E1417" s="3" t="s">
        <v>1805</v>
      </c>
      <c r="F1417" s="3" t="s">
        <v>1988</v>
      </c>
      <c r="G1417" s="3" t="s">
        <v>1529</v>
      </c>
    </row>
    <row r="1418" spans="1:7">
      <c r="A1418" s="6">
        <v>42923</v>
      </c>
      <c r="B1418" s="3" t="s">
        <v>2053</v>
      </c>
      <c r="C1418" s="3" t="s">
        <v>14</v>
      </c>
      <c r="D1418" s="8" t="str">
        <f>HYPERLINK("http://npthd.inbcu.com/ViewContent.aspx?filename=NPMR_CBS_2017-07-07_E.MP4$9977$9997","CBS All Access")</f>
        <v>CBS All Access</v>
      </c>
      <c r="E1418" s="3" t="s">
        <v>1805</v>
      </c>
      <c r="F1418" s="3" t="s">
        <v>1529</v>
      </c>
      <c r="G1418" s="3" t="s">
        <v>3160</v>
      </c>
    </row>
    <row r="1419" spans="1:7">
      <c r="A1419" s="6">
        <v>42923</v>
      </c>
      <c r="B1419" s="3" t="s">
        <v>2053</v>
      </c>
      <c r="C1419" s="3" t="s">
        <v>32</v>
      </c>
      <c r="D1419" s="8" t="str">
        <f>HYPERLINK("http://npthd.inbcu.com/ViewContent.aspx?filename=NPMR_CBS_2017-07-07_E.MP4$9997$10062","LOCAL")</f>
        <v>LOCAL</v>
      </c>
      <c r="E1419" s="3" t="s">
        <v>580</v>
      </c>
      <c r="F1419" s="3" t="s">
        <v>3160</v>
      </c>
      <c r="G1419" s="3" t="s">
        <v>3161</v>
      </c>
    </row>
    <row r="1420" spans="1:7">
      <c r="A1420" s="6">
        <v>42923</v>
      </c>
      <c r="B1420" s="3" t="s">
        <v>2053</v>
      </c>
      <c r="C1420" s="3" t="s">
        <v>18</v>
      </c>
      <c r="D1420" s="8" t="str">
        <f>HYPERLINK("http://npthd.inbcu.com/ViewContent.aspx?filename=NPMR_CBS_2017-07-07_E.MP4$10062$10801","BLUE BLOODS: in and out")</f>
        <v>BLUE BLOODS: in and out</v>
      </c>
      <c r="E1420" s="3" t="s">
        <v>3162</v>
      </c>
      <c r="F1420" s="3" t="s">
        <v>3161</v>
      </c>
      <c r="G1420" s="3" t="s">
        <v>2122</v>
      </c>
    </row>
    <row r="1421" spans="1:7">
      <c r="A1421" s="6">
        <v>42923</v>
      </c>
      <c r="B1421" s="3" t="s">
        <v>2053</v>
      </c>
      <c r="C1421" s="3" t="s">
        <v>32</v>
      </c>
      <c r="D1421" s="8" t="str">
        <f>HYPERLINK("http://npthd.inbcu.com/ViewContent.aspx?filename=NPMR_CBS_2017-07-07_E.MP4$10801$10813","LOCAL")</f>
        <v>LOCAL</v>
      </c>
      <c r="E1421" s="3" t="s">
        <v>2057</v>
      </c>
      <c r="F1421" s="3" t="s">
        <v>2122</v>
      </c>
      <c r="G1421" s="3" t="s">
        <v>2123</v>
      </c>
    </row>
    <row r="1422" spans="1:7">
      <c r="A1422" s="6">
        <v>42923</v>
      </c>
      <c r="B1422" s="3" t="s">
        <v>2053</v>
      </c>
      <c r="C1422" s="3" t="s">
        <v>21</v>
      </c>
      <c r="D1422" s="8" t="str">
        <f>HYPERLINK("http://npthd.inbcu.com/ViewContent.aspx?filename=NPMR_CBS_2017-07-07_E.MP4$10813$10873","COMMERCIAL")</f>
        <v>COMMERCIAL</v>
      </c>
      <c r="E1422" s="3" t="s">
        <v>66</v>
      </c>
      <c r="F1422" s="3" t="s">
        <v>2123</v>
      </c>
      <c r="G1422" s="3" t="s">
        <v>938</v>
      </c>
    </row>
    <row r="1423" spans="1:7">
      <c r="A1423" s="6">
        <v>42923</v>
      </c>
      <c r="B1423" s="3" t="s">
        <v>2053</v>
      </c>
      <c r="C1423" s="3" t="s">
        <v>14</v>
      </c>
      <c r="D1423" s="8" t="str">
        <f>HYPERLINK("http://npthd.inbcu.com/ViewContent.aspx?filename=NPMR_CBS_2017-07-07_E.MP4$10873$10878","Late Show with Stephen Colbert")</f>
        <v>Late Show with Stephen Colbert</v>
      </c>
      <c r="E1423" s="3" t="s">
        <v>54</v>
      </c>
      <c r="F1423" s="3" t="s">
        <v>938</v>
      </c>
      <c r="G1423" s="3" t="s">
        <v>2315</v>
      </c>
    </row>
    <row r="1424" spans="1:7">
      <c r="A1424" s="6">
        <v>42923</v>
      </c>
      <c r="B1424" s="3" t="s">
        <v>2053</v>
      </c>
      <c r="C1424" s="3" t="s">
        <v>14</v>
      </c>
      <c r="D1424" s="8" t="str">
        <f>HYPERLINK("http://npthd.inbcu.com/ViewContent.aspx?filename=NPMR_CBS_2017-07-07_E.MP4$10878$10901","Bull")</f>
        <v>Bull</v>
      </c>
      <c r="E1424" s="3" t="s">
        <v>2512</v>
      </c>
      <c r="F1424" s="3" t="s">
        <v>2315</v>
      </c>
      <c r="G1424" s="3" t="s">
        <v>1181</v>
      </c>
    </row>
    <row r="1425" spans="1:7">
      <c r="A1425" s="6">
        <v>42923</v>
      </c>
      <c r="B1425" s="3" t="s">
        <v>2053</v>
      </c>
      <c r="C1425" s="3" t="s">
        <v>18</v>
      </c>
      <c r="D1425" s="8" t="str">
        <f>HYPERLINK("http://npthd.inbcu.com/ViewContent.aspx?filename=NPMR_CBS_2017-07-07_E.MP4$10901$10907","BLUE BLOODS: in and out")</f>
        <v>BLUE BLOODS: in and out</v>
      </c>
      <c r="E1425" s="3" t="s">
        <v>15</v>
      </c>
      <c r="F1425" s="3" t="s">
        <v>1181</v>
      </c>
      <c r="G1425" s="3" t="s">
        <v>3163</v>
      </c>
    </row>
    <row r="1426" spans="1:7">
      <c r="A1426" s="6">
        <v>42923</v>
      </c>
      <c r="B1426" s="3" t="s">
        <v>2053</v>
      </c>
      <c r="C1426" s="3" t="s">
        <v>32</v>
      </c>
      <c r="D1426" s="8" t="str">
        <f>HYPERLINK("http://npthd.inbcu.com/ViewContent.aspx?filename=NPMR_CBS_2017-07-07_E.MP4$10907$10917","LOCAL")</f>
        <v>LOCAL</v>
      </c>
      <c r="E1426" s="3" t="s">
        <v>197</v>
      </c>
      <c r="F1426" s="3" t="s">
        <v>3163</v>
      </c>
      <c r="G1426" s="3" t="s">
        <v>124</v>
      </c>
    </row>
    <row r="1427" spans="1:7">
      <c r="A1427" s="6">
        <v>42924</v>
      </c>
      <c r="B1427" s="3" t="s">
        <v>2053</v>
      </c>
      <c r="C1427" s="3" t="s">
        <v>18</v>
      </c>
      <c r="D1427" s="8" t="str">
        <f>HYPERLINK("http://npthd.inbcu.com/ViewContent.aspx?filename=NPMR_CBS_2017-07-08_E.MP4$87$606","DOUBT: clean burn")</f>
        <v>DOUBT: clean burn</v>
      </c>
      <c r="E1427" s="3" t="s">
        <v>915</v>
      </c>
      <c r="F1427" s="3" t="s">
        <v>16</v>
      </c>
      <c r="G1427" s="3" t="s">
        <v>3164</v>
      </c>
    </row>
    <row r="1428" spans="1:7">
      <c r="A1428" s="6">
        <v>42924</v>
      </c>
      <c r="B1428" s="3" t="s">
        <v>2053</v>
      </c>
      <c r="C1428" s="3" t="s">
        <v>21</v>
      </c>
      <c r="D1428" s="8" t="str">
        <f>HYPERLINK("http://npthd.inbcu.com/ViewContent.aspx?filename=NPMR_CBS_2017-07-08_E.MP4$606$787","COMMERCIAL")</f>
        <v>COMMERCIAL</v>
      </c>
      <c r="E1428" s="3" t="s">
        <v>108</v>
      </c>
      <c r="F1428" s="3" t="s">
        <v>3164</v>
      </c>
      <c r="G1428" s="3" t="s">
        <v>3165</v>
      </c>
    </row>
    <row r="1429" spans="1:7">
      <c r="A1429" s="6">
        <v>42924</v>
      </c>
      <c r="B1429" s="3" t="s">
        <v>2053</v>
      </c>
      <c r="C1429" s="3" t="s">
        <v>14</v>
      </c>
      <c r="D1429" s="8" t="str">
        <f>HYPERLINK("http://npthd.inbcu.com/ViewContent.aspx?filename=NPMR_CBS_2017-07-08_E.MP4$787$797","Big Brother")</f>
        <v>Big Brother</v>
      </c>
      <c r="E1429" s="3" t="s">
        <v>197</v>
      </c>
      <c r="F1429" s="3" t="s">
        <v>3165</v>
      </c>
      <c r="G1429" s="3" t="s">
        <v>3166</v>
      </c>
    </row>
    <row r="1430" spans="1:7">
      <c r="A1430" s="6">
        <v>42924</v>
      </c>
      <c r="B1430" s="3" t="s">
        <v>2053</v>
      </c>
      <c r="C1430" s="3" t="s">
        <v>14</v>
      </c>
      <c r="D1430" s="8" t="str">
        <f>HYPERLINK("http://npthd.inbcu.com/ViewContent.aspx?filename=NPMR_CBS_2017-07-08_E.MP4$797$807","9JKL")</f>
        <v>9JKL</v>
      </c>
      <c r="E1430" s="3" t="s">
        <v>197</v>
      </c>
      <c r="F1430" s="3" t="s">
        <v>3166</v>
      </c>
      <c r="G1430" s="3" t="s">
        <v>3167</v>
      </c>
    </row>
    <row r="1431" spans="1:7">
      <c r="A1431" s="6">
        <v>42924</v>
      </c>
      <c r="B1431" s="3" t="s">
        <v>2053</v>
      </c>
      <c r="C1431" s="3" t="s">
        <v>18</v>
      </c>
      <c r="D1431" s="8" t="str">
        <f>HYPERLINK("http://npthd.inbcu.com/ViewContent.aspx?filename=NPMR_CBS_2017-07-08_E.MP4$807$1175","DOUBT: clean burn")</f>
        <v>DOUBT: clean burn</v>
      </c>
      <c r="E1431" s="3" t="s">
        <v>1229</v>
      </c>
      <c r="F1431" s="3" t="s">
        <v>3167</v>
      </c>
      <c r="G1431" s="3" t="s">
        <v>3168</v>
      </c>
    </row>
    <row r="1432" spans="1:7">
      <c r="A1432" s="6">
        <v>42924</v>
      </c>
      <c r="B1432" s="3" t="s">
        <v>2053</v>
      </c>
      <c r="C1432" s="3" t="s">
        <v>21</v>
      </c>
      <c r="D1432" s="8" t="str">
        <f>HYPERLINK("http://npthd.inbcu.com/ViewContent.aspx?filename=NPMR_CBS_2017-07-08_E.MP4$1175$1356","COMMERCIAL")</f>
        <v>COMMERCIAL</v>
      </c>
      <c r="E1432" s="3" t="s">
        <v>108</v>
      </c>
      <c r="F1432" s="3" t="s">
        <v>3168</v>
      </c>
      <c r="G1432" s="3" t="s">
        <v>3169</v>
      </c>
    </row>
    <row r="1433" spans="1:7">
      <c r="A1433" s="6">
        <v>42924</v>
      </c>
      <c r="B1433" s="3" t="s">
        <v>2053</v>
      </c>
      <c r="C1433" s="3" t="s">
        <v>1618</v>
      </c>
      <c r="D1433" s="8" t="str">
        <f>HYPERLINK("http://npthd.inbcu.com/ViewContent.aspx?filename=NPMR_CBS_2017-07-08_E.MP4$1356$1366","PSA")</f>
        <v>PSA</v>
      </c>
      <c r="E1433" s="3" t="s">
        <v>197</v>
      </c>
      <c r="F1433" s="3" t="s">
        <v>3169</v>
      </c>
      <c r="G1433" s="3" t="s">
        <v>3170</v>
      </c>
    </row>
    <row r="1434" spans="1:7">
      <c r="A1434" s="6">
        <v>42924</v>
      </c>
      <c r="B1434" s="3" t="s">
        <v>2053</v>
      </c>
      <c r="C1434" s="3" t="s">
        <v>14</v>
      </c>
      <c r="D1434" s="8" t="str">
        <f>HYPERLINK("http://npthd.inbcu.com/ViewContent.aspx?filename=NPMR_CBS_2017-07-08_E.MP4$1366$1396","Salvation")</f>
        <v>Salvation</v>
      </c>
      <c r="E1434" s="3" t="s">
        <v>38</v>
      </c>
      <c r="F1434" s="3" t="s">
        <v>3170</v>
      </c>
      <c r="G1434" s="3" t="s">
        <v>3171</v>
      </c>
    </row>
    <row r="1435" spans="1:7">
      <c r="A1435" s="6">
        <v>42924</v>
      </c>
      <c r="B1435" s="3" t="s">
        <v>2053</v>
      </c>
      <c r="C1435" s="3" t="s">
        <v>14</v>
      </c>
      <c r="D1435" s="8" t="str">
        <f>HYPERLINK("http://npthd.inbcu.com/ViewContent.aspx?filename=NPMR_CBS_2017-07-08_E.MP4$1396$1406","Young Sheldon")</f>
        <v>Young Sheldon</v>
      </c>
      <c r="E1435" s="3" t="s">
        <v>197</v>
      </c>
      <c r="F1435" s="3" t="s">
        <v>3171</v>
      </c>
      <c r="G1435" s="3" t="s">
        <v>3172</v>
      </c>
    </row>
    <row r="1436" spans="1:7">
      <c r="A1436" s="6">
        <v>42924</v>
      </c>
      <c r="B1436" s="3" t="s">
        <v>2053</v>
      </c>
      <c r="C1436" s="3" t="s">
        <v>18</v>
      </c>
      <c r="D1436" s="8" t="str">
        <f>HYPERLINK("http://npthd.inbcu.com/ViewContent.aspx?filename=NPMR_CBS_2017-07-08_E.MP4$1406$2048","DOUBT: clean burn")</f>
        <v>DOUBT: clean burn</v>
      </c>
      <c r="E1436" s="3" t="s">
        <v>604</v>
      </c>
      <c r="F1436" s="3" t="s">
        <v>3172</v>
      </c>
      <c r="G1436" s="3" t="s">
        <v>3173</v>
      </c>
    </row>
    <row r="1437" spans="1:7">
      <c r="A1437" s="6">
        <v>42924</v>
      </c>
      <c r="B1437" s="3" t="s">
        <v>2053</v>
      </c>
      <c r="C1437" s="3" t="s">
        <v>21</v>
      </c>
      <c r="D1437" s="8" t="str">
        <f>HYPERLINK("http://npthd.inbcu.com/ViewContent.aspx?filename=NPMR_CBS_2017-07-08_E.MP4$2048$2201","COMMERCIAL")</f>
        <v>COMMERCIAL</v>
      </c>
      <c r="E1437" s="3" t="s">
        <v>1735</v>
      </c>
      <c r="F1437" s="3" t="s">
        <v>3173</v>
      </c>
      <c r="G1437" s="3" t="s">
        <v>3174</v>
      </c>
    </row>
    <row r="1438" spans="1:7">
      <c r="A1438" s="6">
        <v>42924</v>
      </c>
      <c r="B1438" s="3" t="s">
        <v>2053</v>
      </c>
      <c r="C1438" s="3" t="s">
        <v>14</v>
      </c>
      <c r="D1438" s="8" t="str">
        <f>HYPERLINK("http://npthd.inbcu.com/ViewContent.aspx?filename=NPMR_CBS_2017-07-08_E.MP4$2201$2211","Golf on CBS")</f>
        <v>Golf on CBS</v>
      </c>
      <c r="E1438" s="3" t="s">
        <v>197</v>
      </c>
      <c r="F1438" s="3" t="s">
        <v>3174</v>
      </c>
      <c r="G1438" s="3" t="s">
        <v>3175</v>
      </c>
    </row>
    <row r="1439" spans="1:7">
      <c r="A1439" s="6">
        <v>42924</v>
      </c>
      <c r="B1439" s="3" t="s">
        <v>2053</v>
      </c>
      <c r="C1439" s="3" t="s">
        <v>32</v>
      </c>
      <c r="D1439" s="8" t="str">
        <f>HYPERLINK("http://npthd.inbcu.com/ViewContent.aspx?filename=NPMR_CBS_2017-07-08_E.MP4$2211$2276","LOCAL")</f>
        <v>LOCAL</v>
      </c>
      <c r="E1439" s="3" t="s">
        <v>580</v>
      </c>
      <c r="F1439" s="3" t="s">
        <v>3175</v>
      </c>
      <c r="G1439" s="3" t="s">
        <v>3176</v>
      </c>
    </row>
    <row r="1440" spans="1:7">
      <c r="A1440" s="6">
        <v>42924</v>
      </c>
      <c r="B1440" s="3" t="s">
        <v>2053</v>
      </c>
      <c r="C1440" s="3" t="s">
        <v>18</v>
      </c>
      <c r="D1440" s="8" t="str">
        <f>HYPERLINK("http://npthd.inbcu.com/ViewContent.aspx?filename=NPMR_CBS_2017-07-08_E.MP4$2276$2783","DOUBT: clean burn")</f>
        <v>DOUBT: clean burn</v>
      </c>
      <c r="E1440" s="3" t="s">
        <v>1581</v>
      </c>
      <c r="F1440" s="3" t="s">
        <v>3176</v>
      </c>
      <c r="G1440" s="3" t="s">
        <v>3177</v>
      </c>
    </row>
    <row r="1441" spans="1:7">
      <c r="A1441" s="6">
        <v>42924</v>
      </c>
      <c r="B1441" s="3" t="s">
        <v>2053</v>
      </c>
      <c r="C1441" s="3" t="s">
        <v>21</v>
      </c>
      <c r="D1441" s="8" t="str">
        <f>HYPERLINK("http://npthd.inbcu.com/ViewContent.aspx?filename=NPMR_CBS_2017-07-08_E.MP4$2783$2905","COMMERCIAL")</f>
        <v>COMMERCIAL</v>
      </c>
      <c r="E1441" s="3" t="s">
        <v>252</v>
      </c>
      <c r="F1441" s="3" t="s">
        <v>3177</v>
      </c>
      <c r="G1441" s="3" t="s">
        <v>3178</v>
      </c>
    </row>
    <row r="1442" spans="1:7">
      <c r="A1442" s="6">
        <v>42924</v>
      </c>
      <c r="B1442" s="3" t="s">
        <v>2053</v>
      </c>
      <c r="C1442" s="3" t="s">
        <v>14</v>
      </c>
      <c r="D1442" s="8" t="str">
        <f>HYPERLINK("http://npthd.inbcu.com/ViewContent.aspx?filename=NPMR_CBS_2017-07-08_E.MP4$2905$2925","Candy Crush")</f>
        <v>Candy Crush</v>
      </c>
      <c r="E1442" s="3" t="s">
        <v>1805</v>
      </c>
      <c r="F1442" s="3" t="s">
        <v>3178</v>
      </c>
      <c r="G1442" s="3" t="s">
        <v>1954</v>
      </c>
    </row>
    <row r="1443" spans="1:7">
      <c r="A1443" s="6">
        <v>42924</v>
      </c>
      <c r="B1443" s="3" t="s">
        <v>2053</v>
      </c>
      <c r="C1443" s="3" t="s">
        <v>14</v>
      </c>
      <c r="D1443" s="8" t="str">
        <f>HYPERLINK("http://npthd.inbcu.com/ViewContent.aspx?filename=NPMR_CBS_2017-07-08_E.MP4$2925$2935","Salvation")</f>
        <v>Salvation</v>
      </c>
      <c r="E1443" s="3" t="s">
        <v>197</v>
      </c>
      <c r="F1443" s="3" t="s">
        <v>1954</v>
      </c>
      <c r="G1443" s="3" t="s">
        <v>3179</v>
      </c>
    </row>
    <row r="1444" spans="1:7">
      <c r="A1444" s="6">
        <v>42924</v>
      </c>
      <c r="B1444" s="3" t="s">
        <v>2053</v>
      </c>
      <c r="C1444" s="3" t="s">
        <v>32</v>
      </c>
      <c r="D1444" s="8" t="str">
        <f>HYPERLINK("http://npthd.inbcu.com/ViewContent.aspx?filename=NPMR_CBS_2017-07-08_E.MP4$2935$3001","LOCAL")</f>
        <v>LOCAL</v>
      </c>
      <c r="E1444" s="3" t="s">
        <v>2088</v>
      </c>
      <c r="F1444" s="3" t="s">
        <v>3179</v>
      </c>
      <c r="G1444" s="3" t="s">
        <v>3180</v>
      </c>
    </row>
    <row r="1445" spans="1:7">
      <c r="A1445" s="6">
        <v>42924</v>
      </c>
      <c r="B1445" s="3" t="s">
        <v>2053</v>
      </c>
      <c r="C1445" s="3" t="s">
        <v>18</v>
      </c>
      <c r="D1445" s="8" t="str">
        <f>HYPERLINK("http://npthd.inbcu.com/ViewContent.aspx?filename=NPMR_CBS_2017-07-08_E.MP4$3001$3529","DOUBT: clean burn")</f>
        <v>DOUBT: clean burn</v>
      </c>
      <c r="E1445" s="3" t="s">
        <v>532</v>
      </c>
      <c r="F1445" s="3" t="s">
        <v>3180</v>
      </c>
      <c r="G1445" s="3" t="s">
        <v>3181</v>
      </c>
    </row>
    <row r="1446" spans="1:7">
      <c r="A1446" s="6">
        <v>42924</v>
      </c>
      <c r="B1446" s="3" t="s">
        <v>2053</v>
      </c>
      <c r="C1446" s="3" t="s">
        <v>21</v>
      </c>
      <c r="D1446" s="8" t="str">
        <f>HYPERLINK("http://npthd.inbcu.com/ViewContent.aspx?filename=NPMR_CBS_2017-07-08_E.MP4$3529$3650","COMMERCIAL")</f>
        <v>COMMERCIAL</v>
      </c>
      <c r="E1446" s="3" t="s">
        <v>175</v>
      </c>
      <c r="F1446" s="3" t="s">
        <v>3181</v>
      </c>
      <c r="G1446" s="3" t="s">
        <v>1782</v>
      </c>
    </row>
    <row r="1447" spans="1:7">
      <c r="A1447" s="6">
        <v>42924</v>
      </c>
      <c r="B1447" s="3" t="s">
        <v>2053</v>
      </c>
      <c r="C1447" s="3" t="s">
        <v>14</v>
      </c>
      <c r="D1447" s="8" t="str">
        <f>HYPERLINK("http://npthd.inbcu.com/ViewContent.aspx?filename=NPMR_CBS_2017-07-08_E.MP4$3650$3660","Wisdom of the Crowd")</f>
        <v>Wisdom of the Crowd</v>
      </c>
      <c r="E1447" s="3" t="s">
        <v>197</v>
      </c>
      <c r="F1447" s="3" t="s">
        <v>1782</v>
      </c>
      <c r="G1447" s="3" t="s">
        <v>2195</v>
      </c>
    </row>
    <row r="1448" spans="1:7">
      <c r="A1448" s="6">
        <v>42924</v>
      </c>
      <c r="B1448" s="3" t="s">
        <v>2053</v>
      </c>
      <c r="C1448" s="3" t="s">
        <v>14</v>
      </c>
      <c r="D1448" s="8" t="str">
        <f>HYPERLINK("http://npthd.inbcu.com/ViewContent.aspx?filename=NPMR_CBS_2017-07-08_E.MP4$3660$3682","Kevin Can Wait")</f>
        <v>Kevin Can Wait</v>
      </c>
      <c r="E1448" s="3" t="s">
        <v>2124</v>
      </c>
      <c r="F1448" s="3" t="s">
        <v>2195</v>
      </c>
      <c r="G1448" s="3" t="s">
        <v>2196</v>
      </c>
    </row>
    <row r="1449" spans="1:7">
      <c r="A1449" s="6">
        <v>42924</v>
      </c>
      <c r="B1449" s="3" t="s">
        <v>2053</v>
      </c>
      <c r="C1449" s="3" t="s">
        <v>18</v>
      </c>
      <c r="D1449" s="8" t="str">
        <f>HYPERLINK("http://npthd.inbcu.com/ViewContent.aspx?filename=NPMR_CBS_2017-07-08_E.MP4$3682$3687","DOUBT: clean burn")</f>
        <v>DOUBT: clean burn</v>
      </c>
      <c r="E1449" s="3" t="s">
        <v>54</v>
      </c>
      <c r="F1449" s="3" t="s">
        <v>2196</v>
      </c>
      <c r="G1449" s="3" t="s">
        <v>242</v>
      </c>
    </row>
    <row r="1450" spans="1:7">
      <c r="A1450" s="6">
        <v>42924</v>
      </c>
      <c r="B1450" s="3" t="s">
        <v>2053</v>
      </c>
      <c r="C1450" s="3" t="s">
        <v>14</v>
      </c>
      <c r="D1450" s="8" t="str">
        <f>HYPERLINK("http://npthd.inbcu.com/ViewContent.aspx?filename=NPMR_CBS_2017-07-08_E.MP4$3687$3692","Late Show with Stephen Colbert")</f>
        <v>Late Show with Stephen Colbert</v>
      </c>
      <c r="E1450" s="3" t="s">
        <v>54</v>
      </c>
      <c r="F1450" s="3" t="s">
        <v>242</v>
      </c>
      <c r="G1450" s="3" t="s">
        <v>243</v>
      </c>
    </row>
    <row r="1451" spans="1:7">
      <c r="A1451" s="6">
        <v>42924</v>
      </c>
      <c r="B1451" s="3" t="s">
        <v>2053</v>
      </c>
      <c r="C1451" s="3" t="s">
        <v>18</v>
      </c>
      <c r="D1451" s="8" t="str">
        <f>HYPERLINK("http://npthd.inbcu.com/ViewContent.aspx?filename=NPMR_CBS_2017-07-08_E.MP4$3692$4169","DOUBT: not a word")</f>
        <v>DOUBT: not a word</v>
      </c>
      <c r="E1451" s="3" t="s">
        <v>345</v>
      </c>
      <c r="F1451" s="3" t="s">
        <v>243</v>
      </c>
      <c r="G1451" s="3" t="s">
        <v>3022</v>
      </c>
    </row>
    <row r="1452" spans="1:7">
      <c r="A1452" s="6">
        <v>42924</v>
      </c>
      <c r="B1452" s="3" t="s">
        <v>2053</v>
      </c>
      <c r="C1452" s="3" t="s">
        <v>21</v>
      </c>
      <c r="D1452" s="8" t="str">
        <f>HYPERLINK("http://npthd.inbcu.com/ViewContent.aspx?filename=NPMR_CBS_2017-07-08_E.MP4$4169$4321","COMMERCIAL")</f>
        <v>COMMERCIAL</v>
      </c>
      <c r="E1452" s="3" t="s">
        <v>128</v>
      </c>
      <c r="F1452" s="3" t="s">
        <v>3022</v>
      </c>
      <c r="G1452" s="3" t="s">
        <v>3182</v>
      </c>
    </row>
    <row r="1453" spans="1:7">
      <c r="A1453" s="6">
        <v>42924</v>
      </c>
      <c r="B1453" s="3" t="s">
        <v>2053</v>
      </c>
      <c r="C1453" s="3" t="s">
        <v>14</v>
      </c>
      <c r="D1453" s="8" t="str">
        <f>HYPERLINK("http://npthd.inbcu.com/ViewContent.aspx?filename=NPMR_CBS_2017-07-08_E.MP4$4321$4331","Golf on CBS")</f>
        <v>Golf on CBS</v>
      </c>
      <c r="E1453" s="3" t="s">
        <v>197</v>
      </c>
      <c r="F1453" s="3" t="s">
        <v>3182</v>
      </c>
      <c r="G1453" s="3" t="s">
        <v>248</v>
      </c>
    </row>
    <row r="1454" spans="1:7">
      <c r="A1454" s="6">
        <v>42924</v>
      </c>
      <c r="B1454" s="3" t="s">
        <v>2053</v>
      </c>
      <c r="C1454" s="3" t="s">
        <v>14</v>
      </c>
      <c r="D1454" s="8" t="str">
        <f>HYPERLINK("http://npthd.inbcu.com/ViewContent.aspx?filename=NPMR_CBS_2017-07-08_E.MP4$4331$4341","Big Brother")</f>
        <v>Big Brother</v>
      </c>
      <c r="E1454" s="3" t="s">
        <v>197</v>
      </c>
      <c r="F1454" s="3" t="s">
        <v>248</v>
      </c>
      <c r="G1454" s="3" t="s">
        <v>534</v>
      </c>
    </row>
    <row r="1455" spans="1:7">
      <c r="A1455" s="6">
        <v>42924</v>
      </c>
      <c r="B1455" s="3" t="s">
        <v>2053</v>
      </c>
      <c r="C1455" s="3" t="s">
        <v>18</v>
      </c>
      <c r="D1455" s="8" t="str">
        <f>HYPERLINK("http://npthd.inbcu.com/ViewContent.aspx?filename=NPMR_CBS_2017-07-08_E.MP4$4341$4676","DOUBT: not a word")</f>
        <v>DOUBT: not a word</v>
      </c>
      <c r="E1455" s="3" t="s">
        <v>1668</v>
      </c>
      <c r="F1455" s="3" t="s">
        <v>534</v>
      </c>
      <c r="G1455" s="3" t="s">
        <v>3183</v>
      </c>
    </row>
    <row r="1456" spans="1:7">
      <c r="A1456" s="6">
        <v>42924</v>
      </c>
      <c r="B1456" s="3" t="s">
        <v>2053</v>
      </c>
      <c r="C1456" s="3" t="s">
        <v>21</v>
      </c>
      <c r="D1456" s="8" t="str">
        <f>HYPERLINK("http://npthd.inbcu.com/ViewContent.aspx?filename=NPMR_CBS_2017-07-08_E.MP4$4676$4828","COMMERCIAL")</f>
        <v>COMMERCIAL</v>
      </c>
      <c r="E1456" s="3" t="s">
        <v>128</v>
      </c>
      <c r="F1456" s="3" t="s">
        <v>3183</v>
      </c>
      <c r="G1456" s="3" t="s">
        <v>3184</v>
      </c>
    </row>
    <row r="1457" spans="1:7">
      <c r="A1457" s="6">
        <v>42924</v>
      </c>
      <c r="B1457" s="3" t="s">
        <v>2053</v>
      </c>
      <c r="C1457" s="3" t="s">
        <v>14</v>
      </c>
      <c r="D1457" s="8" t="str">
        <f>HYPERLINK("http://npthd.inbcu.com/ViewContent.aspx?filename=NPMR_CBS_2017-07-08_E.MP4$4828$4858","Salvation")</f>
        <v>Salvation</v>
      </c>
      <c r="E1457" s="3" t="s">
        <v>38</v>
      </c>
      <c r="F1457" s="3" t="s">
        <v>3184</v>
      </c>
      <c r="G1457" s="3" t="s">
        <v>1847</v>
      </c>
    </row>
    <row r="1458" spans="1:7">
      <c r="A1458" s="6">
        <v>42924</v>
      </c>
      <c r="B1458" s="3" t="s">
        <v>2053</v>
      </c>
      <c r="C1458" s="3" t="s">
        <v>18</v>
      </c>
      <c r="D1458" s="8" t="str">
        <f>HYPERLINK("http://npthd.inbcu.com/ViewContent.aspx?filename=NPMR_CBS_2017-07-08_E.MP4$4858$5295","DOUBT: not a word")</f>
        <v>DOUBT: not a word</v>
      </c>
      <c r="E1458" s="3" t="s">
        <v>116</v>
      </c>
      <c r="F1458" s="3" t="s">
        <v>1847</v>
      </c>
      <c r="G1458" s="3" t="s">
        <v>2581</v>
      </c>
    </row>
    <row r="1459" spans="1:7">
      <c r="A1459" s="6">
        <v>42924</v>
      </c>
      <c r="B1459" s="3" t="s">
        <v>2053</v>
      </c>
      <c r="C1459" s="3" t="s">
        <v>21</v>
      </c>
      <c r="D1459" s="8" t="str">
        <f>HYPERLINK("http://npthd.inbcu.com/ViewContent.aspx?filename=NPMR_CBS_2017-07-08_E.MP4$5295$5417","COMMERCIAL")</f>
        <v>COMMERCIAL</v>
      </c>
      <c r="E1459" s="3" t="s">
        <v>252</v>
      </c>
      <c r="F1459" s="3" t="s">
        <v>2581</v>
      </c>
      <c r="G1459" s="3" t="s">
        <v>2152</v>
      </c>
    </row>
    <row r="1460" spans="1:7">
      <c r="A1460" s="6">
        <v>42924</v>
      </c>
      <c r="B1460" s="3" t="s">
        <v>2053</v>
      </c>
      <c r="C1460" s="3" t="s">
        <v>14</v>
      </c>
      <c r="D1460" s="8" t="str">
        <f>HYPERLINK("http://npthd.inbcu.com/ViewContent.aspx?filename=NPMR_CBS_2017-07-08_E.MP4$5417$5427","Late Show with Stephen Colbert")</f>
        <v>Late Show with Stephen Colbert</v>
      </c>
      <c r="E1460" s="3" t="s">
        <v>197</v>
      </c>
      <c r="F1460" s="3" t="s">
        <v>2152</v>
      </c>
      <c r="G1460" s="3" t="s">
        <v>1349</v>
      </c>
    </row>
    <row r="1461" spans="1:7">
      <c r="A1461" s="6">
        <v>42924</v>
      </c>
      <c r="B1461" s="3" t="s">
        <v>2053</v>
      </c>
      <c r="C1461" s="3" t="s">
        <v>14</v>
      </c>
      <c r="D1461" s="8" t="str">
        <f>HYPERLINK("http://npthd.inbcu.com/ViewContent.aspx?filename=NPMR_CBS_2017-07-08_E.MP4$5427$5432","Zoo")</f>
        <v>Zoo</v>
      </c>
      <c r="E1461" s="3" t="s">
        <v>54</v>
      </c>
      <c r="F1461" s="3" t="s">
        <v>1349</v>
      </c>
      <c r="G1461" s="3" t="s">
        <v>3185</v>
      </c>
    </row>
    <row r="1462" spans="1:7">
      <c r="A1462" s="6">
        <v>42924</v>
      </c>
      <c r="B1462" s="3" t="s">
        <v>2053</v>
      </c>
      <c r="C1462" s="3" t="s">
        <v>32</v>
      </c>
      <c r="D1462" s="8" t="str">
        <f>HYPERLINK("http://npthd.inbcu.com/ViewContent.aspx?filename=NPMR_CBS_2017-07-08_E.MP4$5432$5498","LOCAL")</f>
        <v>LOCAL</v>
      </c>
      <c r="E1462" s="3" t="s">
        <v>2088</v>
      </c>
      <c r="F1462" s="3" t="s">
        <v>3185</v>
      </c>
      <c r="G1462" s="3" t="s">
        <v>653</v>
      </c>
    </row>
    <row r="1463" spans="1:7">
      <c r="A1463" s="6">
        <v>42924</v>
      </c>
      <c r="B1463" s="3" t="s">
        <v>2053</v>
      </c>
      <c r="C1463" s="3" t="s">
        <v>18</v>
      </c>
      <c r="D1463" s="8" t="str">
        <f>HYPERLINK("http://npthd.inbcu.com/ViewContent.aspx?filename=NPMR_CBS_2017-07-08_E.MP4$5498$6062","DOUBT: not a word")</f>
        <v>DOUBT: not a word</v>
      </c>
      <c r="E1463" s="3" t="s">
        <v>3186</v>
      </c>
      <c r="F1463" s="3" t="s">
        <v>653</v>
      </c>
      <c r="G1463" s="3" t="s">
        <v>1440</v>
      </c>
    </row>
    <row r="1464" spans="1:7">
      <c r="A1464" s="6">
        <v>42924</v>
      </c>
      <c r="B1464" s="3" t="s">
        <v>2053</v>
      </c>
      <c r="C1464" s="3" t="s">
        <v>21</v>
      </c>
      <c r="D1464" s="8" t="str">
        <f>HYPERLINK("http://npthd.inbcu.com/ViewContent.aspx?filename=NPMR_CBS_2017-07-08_E.MP4$6062$6214","COMMERCIAL")</f>
        <v>COMMERCIAL</v>
      </c>
      <c r="E1464" s="3" t="s">
        <v>128</v>
      </c>
      <c r="F1464" s="3" t="s">
        <v>1440</v>
      </c>
      <c r="G1464" s="3" t="s">
        <v>1000</v>
      </c>
    </row>
    <row r="1465" spans="1:7">
      <c r="A1465" s="6">
        <v>42924</v>
      </c>
      <c r="B1465" s="3" t="s">
        <v>2053</v>
      </c>
      <c r="C1465" s="3" t="s">
        <v>14</v>
      </c>
      <c r="D1465" s="8" t="str">
        <f>HYPERLINK("http://npthd.inbcu.com/ViewContent.aspx?filename=NPMR_CBS_2017-07-08_E.MP4$6214$6234","Candy Crush")</f>
        <v>Candy Crush</v>
      </c>
      <c r="E1465" s="3" t="s">
        <v>1805</v>
      </c>
      <c r="F1465" s="3" t="s">
        <v>1000</v>
      </c>
      <c r="G1465" s="3" t="s">
        <v>3187</v>
      </c>
    </row>
    <row r="1466" spans="1:7">
      <c r="A1466" s="6">
        <v>42924</v>
      </c>
      <c r="B1466" s="3" t="s">
        <v>2053</v>
      </c>
      <c r="C1466" s="3" t="s">
        <v>14</v>
      </c>
      <c r="D1466" s="8" t="str">
        <f>HYPERLINK("http://npthd.inbcu.com/ViewContent.aspx?filename=NPMR_CBS_2017-07-08_E.MP4$6234$6244","Young Sheldon")</f>
        <v>Young Sheldon</v>
      </c>
      <c r="E1466" s="3" t="s">
        <v>197</v>
      </c>
      <c r="F1466" s="3" t="s">
        <v>3187</v>
      </c>
      <c r="G1466" s="3" t="s">
        <v>3188</v>
      </c>
    </row>
    <row r="1467" spans="1:7">
      <c r="A1467" s="6">
        <v>42924</v>
      </c>
      <c r="B1467" s="3" t="s">
        <v>2053</v>
      </c>
      <c r="C1467" s="3" t="s">
        <v>18</v>
      </c>
      <c r="D1467" s="8" t="str">
        <f>HYPERLINK("http://npthd.inbcu.com/ViewContent.aspx?filename=NPMR_CBS_2017-07-08_E.MP4$6244$6985","DOUBT: not a word")</f>
        <v>DOUBT: not a word</v>
      </c>
      <c r="E1467" s="3" t="s">
        <v>185</v>
      </c>
      <c r="F1467" s="3" t="s">
        <v>3188</v>
      </c>
      <c r="G1467" s="3" t="s">
        <v>2212</v>
      </c>
    </row>
    <row r="1468" spans="1:7">
      <c r="A1468" s="6">
        <v>42924</v>
      </c>
      <c r="B1468" s="3" t="s">
        <v>2053</v>
      </c>
      <c r="C1468" s="3" t="s">
        <v>21</v>
      </c>
      <c r="D1468" s="8" t="str">
        <f>HYPERLINK("http://npthd.inbcu.com/ViewContent.aspx?filename=NPMR_CBS_2017-07-08_E.MP4$6985$7107","COMMERCIAL")</f>
        <v>COMMERCIAL</v>
      </c>
      <c r="E1468" s="3" t="s">
        <v>252</v>
      </c>
      <c r="F1468" s="3" t="s">
        <v>2212</v>
      </c>
      <c r="G1468" s="3" t="s">
        <v>3189</v>
      </c>
    </row>
    <row r="1469" spans="1:7">
      <c r="A1469" s="6">
        <v>42924</v>
      </c>
      <c r="B1469" s="3" t="s">
        <v>2053</v>
      </c>
      <c r="C1469" s="3" t="s">
        <v>14</v>
      </c>
      <c r="D1469" s="8" t="str">
        <f>HYPERLINK("http://npthd.inbcu.com/ViewContent.aspx?filename=NPMR_CBS_2017-07-08_E.MP4$7107$7137","Salvation")</f>
        <v>Salvation</v>
      </c>
      <c r="E1469" s="3" t="s">
        <v>38</v>
      </c>
      <c r="F1469" s="3" t="s">
        <v>3189</v>
      </c>
      <c r="G1469" s="3" t="s">
        <v>2213</v>
      </c>
    </row>
    <row r="1470" spans="1:7">
      <c r="A1470" s="6">
        <v>42924</v>
      </c>
      <c r="B1470" s="3" t="s">
        <v>2053</v>
      </c>
      <c r="C1470" s="3" t="s">
        <v>14</v>
      </c>
      <c r="D1470" s="8" t="str">
        <f>HYPERLINK("http://npthd.inbcu.com/ViewContent.aspx?filename=NPMR_CBS_2017-07-08_E.MP4$7137$7157","Kevin Can Wait")</f>
        <v>Kevin Can Wait</v>
      </c>
      <c r="E1470" s="3" t="s">
        <v>1805</v>
      </c>
      <c r="F1470" s="3" t="s">
        <v>2213</v>
      </c>
      <c r="G1470" s="3" t="s">
        <v>2214</v>
      </c>
    </row>
    <row r="1471" spans="1:7">
      <c r="A1471" s="6">
        <v>42924</v>
      </c>
      <c r="B1471" s="3" t="s">
        <v>2053</v>
      </c>
      <c r="C1471" s="3" t="s">
        <v>18</v>
      </c>
      <c r="D1471" s="8" t="str">
        <f>HYPERLINK("http://npthd.inbcu.com/ViewContent.aspx?filename=NPMR_CBS_2017-07-08_E.MP4$7157$7162","DOUBT: not a word")</f>
        <v>DOUBT: not a word</v>
      </c>
      <c r="E1471" s="3" t="s">
        <v>54</v>
      </c>
      <c r="F1471" s="3" t="s">
        <v>2214</v>
      </c>
      <c r="G1471" s="3" t="s">
        <v>2215</v>
      </c>
    </row>
    <row r="1472" spans="1:7">
      <c r="A1472" s="6">
        <v>42924</v>
      </c>
      <c r="B1472" s="3" t="s">
        <v>2053</v>
      </c>
      <c r="C1472" s="3" t="s">
        <v>32</v>
      </c>
      <c r="D1472" s="8" t="str">
        <f>HYPERLINK("http://npthd.inbcu.com/ViewContent.aspx?filename=NPMR_CBS_2017-07-08_E.MP4$7162$7287","LOCAL")</f>
        <v>LOCAL</v>
      </c>
      <c r="E1472" s="3" t="s">
        <v>2216</v>
      </c>
      <c r="F1472" s="3" t="s">
        <v>2215</v>
      </c>
      <c r="G1472" s="3" t="s">
        <v>394</v>
      </c>
    </row>
    <row r="1473" spans="1:7">
      <c r="A1473" s="6">
        <v>42924</v>
      </c>
      <c r="B1473" s="3" t="s">
        <v>2053</v>
      </c>
      <c r="C1473" s="3" t="s">
        <v>14</v>
      </c>
      <c r="D1473" s="8" t="str">
        <f>HYPERLINK("http://npthd.inbcu.com/ViewContent.aspx?filename=NPMR_CBS_2017-07-08_E.MP4$7287$7292","Late Show with Stephen Colbert")</f>
        <v>Late Show with Stephen Colbert</v>
      </c>
      <c r="E1473" s="3" t="s">
        <v>54</v>
      </c>
      <c r="F1473" s="3" t="s">
        <v>394</v>
      </c>
      <c r="G1473" s="3" t="s">
        <v>395</v>
      </c>
    </row>
    <row r="1474" spans="1:7">
      <c r="A1474" s="6">
        <v>42924</v>
      </c>
      <c r="B1474" s="3" t="s">
        <v>2053</v>
      </c>
      <c r="C1474" s="3" t="s">
        <v>18</v>
      </c>
      <c r="D1474" s="8" t="str">
        <f>HYPERLINK("http://npthd.inbcu.com/ViewContent.aspx?filename=NPMR_CBS_2017-07-08_E.MP4$7292$7499","48 HOURS:")</f>
        <v>48 HOURS:</v>
      </c>
      <c r="E1474" s="3" t="s">
        <v>2446</v>
      </c>
      <c r="F1474" s="3" t="s">
        <v>395</v>
      </c>
      <c r="G1474" s="3" t="s">
        <v>3190</v>
      </c>
    </row>
    <row r="1475" spans="1:7">
      <c r="A1475" s="6">
        <v>42924</v>
      </c>
      <c r="B1475" s="3" t="s">
        <v>2053</v>
      </c>
      <c r="C1475" s="3" t="s">
        <v>21</v>
      </c>
      <c r="D1475" s="8" t="str">
        <f>HYPERLINK("http://npthd.inbcu.com/ViewContent.aspx?filename=NPMR_CBS_2017-07-08_E.MP4$7499$7561","COMMERCIAL")</f>
        <v>COMMERCIAL</v>
      </c>
      <c r="E1475" s="3" t="s">
        <v>257</v>
      </c>
      <c r="F1475" s="3" t="s">
        <v>3190</v>
      </c>
      <c r="G1475" s="3" t="s">
        <v>2218</v>
      </c>
    </row>
    <row r="1476" spans="1:7">
      <c r="A1476" s="6">
        <v>42924</v>
      </c>
      <c r="B1476" s="3" t="s">
        <v>2053</v>
      </c>
      <c r="C1476" s="3" t="s">
        <v>14</v>
      </c>
      <c r="D1476" s="8" t="str">
        <f>HYPERLINK("http://npthd.inbcu.com/ViewContent.aspx?filename=NPMR_CBS_2017-07-08_E.MP4$7561$7571","Big Brother")</f>
        <v>Big Brother</v>
      </c>
      <c r="E1476" s="3" t="s">
        <v>197</v>
      </c>
      <c r="F1476" s="3" t="s">
        <v>2218</v>
      </c>
      <c r="G1476" s="3" t="s">
        <v>3191</v>
      </c>
    </row>
    <row r="1477" spans="1:7">
      <c r="A1477" s="6">
        <v>42924</v>
      </c>
      <c r="B1477" s="3" t="s">
        <v>2053</v>
      </c>
      <c r="C1477" s="3" t="s">
        <v>14</v>
      </c>
      <c r="D1477" s="8" t="str">
        <f>HYPERLINK("http://npthd.inbcu.com/ViewContent.aspx?filename=NPMR_CBS_2017-07-08_E.MP4$7571$7581","Candy Crush")</f>
        <v>Candy Crush</v>
      </c>
      <c r="E1477" s="3" t="s">
        <v>197</v>
      </c>
      <c r="F1477" s="3" t="s">
        <v>3191</v>
      </c>
      <c r="G1477" s="3" t="s">
        <v>3192</v>
      </c>
    </row>
    <row r="1478" spans="1:7">
      <c r="A1478" s="6">
        <v>42924</v>
      </c>
      <c r="B1478" s="3" t="s">
        <v>2053</v>
      </c>
      <c r="C1478" s="3" t="s">
        <v>18</v>
      </c>
      <c r="D1478" s="8" t="str">
        <f>HYPERLINK("http://npthd.inbcu.com/ViewContent.aspx?filename=NPMR_CBS_2017-07-08_E.MP4$7581$8057","48 HOURS:")</f>
        <v>48 HOURS:</v>
      </c>
      <c r="E1478" s="3" t="s">
        <v>2308</v>
      </c>
      <c r="F1478" s="3" t="s">
        <v>3192</v>
      </c>
      <c r="G1478" s="3" t="s">
        <v>3193</v>
      </c>
    </row>
    <row r="1479" spans="1:7">
      <c r="A1479" s="6">
        <v>42924</v>
      </c>
      <c r="B1479" s="3" t="s">
        <v>2053</v>
      </c>
      <c r="C1479" s="3" t="s">
        <v>21</v>
      </c>
      <c r="D1479" s="8" t="str">
        <f>HYPERLINK("http://npthd.inbcu.com/ViewContent.aspx?filename=NPMR_CBS_2017-07-08_E.MP4$8057$8209","COMMERCIAL")</f>
        <v>COMMERCIAL</v>
      </c>
      <c r="E1479" s="3" t="s">
        <v>128</v>
      </c>
      <c r="F1479" s="3" t="s">
        <v>3193</v>
      </c>
      <c r="G1479" s="3" t="s">
        <v>3194</v>
      </c>
    </row>
    <row r="1480" spans="1:7">
      <c r="A1480" s="6">
        <v>42924</v>
      </c>
      <c r="B1480" s="3" t="s">
        <v>2053</v>
      </c>
      <c r="C1480" s="3" t="s">
        <v>18</v>
      </c>
      <c r="D1480" s="8" t="str">
        <f>HYPERLINK("http://npthd.inbcu.com/ViewContent.aspx?filename=NPMR_CBS_2017-07-08_E.MP4$8209$8687","48 HOURS:")</f>
        <v>48 HOURS:</v>
      </c>
      <c r="E1480" s="3" t="s">
        <v>908</v>
      </c>
      <c r="F1480" s="3" t="s">
        <v>3194</v>
      </c>
      <c r="G1480" s="3" t="s">
        <v>2877</v>
      </c>
    </row>
    <row r="1481" spans="1:7">
      <c r="A1481" s="6">
        <v>42924</v>
      </c>
      <c r="B1481" s="3" t="s">
        <v>2053</v>
      </c>
      <c r="C1481" s="3" t="s">
        <v>21</v>
      </c>
      <c r="D1481" s="8" t="str">
        <f>HYPERLINK("http://npthd.inbcu.com/ViewContent.aspx?filename=NPMR_CBS_2017-07-08_E.MP4$8687$8869","COMMERCIAL")</f>
        <v>COMMERCIAL</v>
      </c>
      <c r="E1481" s="3" t="s">
        <v>275</v>
      </c>
      <c r="F1481" s="3" t="s">
        <v>2877</v>
      </c>
      <c r="G1481" s="3" t="s">
        <v>3195</v>
      </c>
    </row>
    <row r="1482" spans="1:7">
      <c r="A1482" s="6">
        <v>42924</v>
      </c>
      <c r="B1482" s="3" t="s">
        <v>2053</v>
      </c>
      <c r="C1482" s="3" t="s">
        <v>14</v>
      </c>
      <c r="D1482" s="8" t="str">
        <f>HYPERLINK("http://npthd.inbcu.com/ViewContent.aspx?filename=NPMR_CBS_2017-07-08_E.MP4$8869$8879","Salvation")</f>
        <v>Salvation</v>
      </c>
      <c r="E1482" s="3" t="s">
        <v>197</v>
      </c>
      <c r="F1482" s="3" t="s">
        <v>3195</v>
      </c>
      <c r="G1482" s="3" t="s">
        <v>3196</v>
      </c>
    </row>
    <row r="1483" spans="1:7">
      <c r="A1483" s="6">
        <v>42924</v>
      </c>
      <c r="B1483" s="3" t="s">
        <v>2053</v>
      </c>
      <c r="C1483" s="3" t="s">
        <v>18</v>
      </c>
      <c r="D1483" s="8" t="str">
        <f>HYPERLINK("http://npthd.inbcu.com/ViewContent.aspx?filename=NPMR_CBS_2017-07-08_E.MP4$8879$8885","48 HOURS:")</f>
        <v>48 HOURS:</v>
      </c>
      <c r="E1483" s="3" t="s">
        <v>15</v>
      </c>
      <c r="F1483" s="3" t="s">
        <v>3196</v>
      </c>
      <c r="G1483" s="3" t="s">
        <v>3197</v>
      </c>
    </row>
    <row r="1484" spans="1:7">
      <c r="A1484" s="6">
        <v>42924</v>
      </c>
      <c r="B1484" s="3" t="s">
        <v>2053</v>
      </c>
      <c r="C1484" s="3" t="s">
        <v>14</v>
      </c>
      <c r="D1484" s="8" t="str">
        <f>HYPERLINK("http://npthd.inbcu.com/ViewContent.aspx?filename=NPMR_CBS_2017-07-08_E.MP4$8885$8905","CBS This Morning")</f>
        <v>CBS This Morning</v>
      </c>
      <c r="E1484" s="3" t="s">
        <v>1805</v>
      </c>
      <c r="F1484" s="3" t="s">
        <v>3197</v>
      </c>
      <c r="G1484" s="3" t="s">
        <v>3198</v>
      </c>
    </row>
    <row r="1485" spans="1:7">
      <c r="A1485" s="6">
        <v>42924</v>
      </c>
      <c r="B1485" s="3" t="s">
        <v>2053</v>
      </c>
      <c r="C1485" s="3" t="s">
        <v>14</v>
      </c>
      <c r="D1485" s="8" t="str">
        <f>HYPERLINK("http://npthd.inbcu.com/ViewContent.aspx?filename=NPMR_CBS_2017-07-08_E.MP4$8905$8910","Zoo")</f>
        <v>Zoo</v>
      </c>
      <c r="E1485" s="3" t="s">
        <v>54</v>
      </c>
      <c r="F1485" s="3" t="s">
        <v>3198</v>
      </c>
      <c r="G1485" s="3" t="s">
        <v>3199</v>
      </c>
    </row>
    <row r="1486" spans="1:7">
      <c r="A1486" s="6">
        <v>42924</v>
      </c>
      <c r="B1486" s="3" t="s">
        <v>2053</v>
      </c>
      <c r="C1486" s="3" t="s">
        <v>32</v>
      </c>
      <c r="D1486" s="8" t="str">
        <f>HYPERLINK("http://npthd.inbcu.com/ViewContent.aspx?filename=NPMR_CBS_2017-07-08_E.MP4$8910$9020","LOCAL")</f>
        <v>LOCAL</v>
      </c>
      <c r="E1486" s="3" t="s">
        <v>558</v>
      </c>
      <c r="F1486" s="3" t="s">
        <v>3199</v>
      </c>
      <c r="G1486" s="3" t="s">
        <v>3200</v>
      </c>
    </row>
    <row r="1487" spans="1:7">
      <c r="A1487" s="6">
        <v>42924</v>
      </c>
      <c r="B1487" s="3" t="s">
        <v>2053</v>
      </c>
      <c r="C1487" s="3" t="s">
        <v>18</v>
      </c>
      <c r="D1487" s="8" t="str">
        <f>HYPERLINK("http://npthd.inbcu.com/ViewContent.aspx?filename=NPMR_CBS_2017-07-08_E.MP4$9020$9440","48 HOURS:")</f>
        <v>48 HOURS:</v>
      </c>
      <c r="E1487" s="3" t="s">
        <v>26</v>
      </c>
      <c r="F1487" s="3" t="s">
        <v>3200</v>
      </c>
      <c r="G1487" s="3" t="s">
        <v>3201</v>
      </c>
    </row>
    <row r="1488" spans="1:7">
      <c r="A1488" s="6">
        <v>42924</v>
      </c>
      <c r="B1488" s="3" t="s">
        <v>2053</v>
      </c>
      <c r="C1488" s="3" t="s">
        <v>21</v>
      </c>
      <c r="D1488" s="8" t="str">
        <f>HYPERLINK("http://npthd.inbcu.com/ViewContent.aspx?filename=NPMR_CBS_2017-07-08_E.MP4$9440$9592","COMMERCIAL")</f>
        <v>COMMERCIAL</v>
      </c>
      <c r="E1488" s="3" t="s">
        <v>128</v>
      </c>
      <c r="F1488" s="3" t="s">
        <v>3201</v>
      </c>
      <c r="G1488" s="3" t="s">
        <v>2378</v>
      </c>
    </row>
    <row r="1489" spans="1:7">
      <c r="A1489" s="6">
        <v>42924</v>
      </c>
      <c r="B1489" s="3" t="s">
        <v>2053</v>
      </c>
      <c r="C1489" s="3" t="s">
        <v>14</v>
      </c>
      <c r="D1489" s="8" t="str">
        <f>HYPERLINK("http://npthd.inbcu.com/ViewContent.aspx?filename=NPMR_CBS_2017-07-08_E.MP4$9592$9602","Golf on CBS")</f>
        <v>Golf on CBS</v>
      </c>
      <c r="E1489" s="3" t="s">
        <v>197</v>
      </c>
      <c r="F1489" s="3" t="s">
        <v>2378</v>
      </c>
      <c r="G1489" s="3" t="s">
        <v>3202</v>
      </c>
    </row>
    <row r="1490" spans="1:7">
      <c r="A1490" s="6">
        <v>42924</v>
      </c>
      <c r="B1490" s="3" t="s">
        <v>2053</v>
      </c>
      <c r="C1490" s="3" t="s">
        <v>14</v>
      </c>
      <c r="D1490" s="8" t="str">
        <f>HYPERLINK("http://npthd.inbcu.com/ViewContent.aspx?filename=NPMR_CBS_2017-07-08_E.MP4$9602$9622","Salvation")</f>
        <v>Salvation</v>
      </c>
      <c r="E1490" s="3" t="s">
        <v>1805</v>
      </c>
      <c r="F1490" s="3" t="s">
        <v>3202</v>
      </c>
      <c r="G1490" s="3" t="s">
        <v>3203</v>
      </c>
    </row>
    <row r="1491" spans="1:7">
      <c r="A1491" s="6">
        <v>42924</v>
      </c>
      <c r="B1491" s="3" t="s">
        <v>2053</v>
      </c>
      <c r="C1491" s="3" t="s">
        <v>18</v>
      </c>
      <c r="D1491" s="8" t="str">
        <f>HYPERLINK("http://npthd.inbcu.com/ViewContent.aspx?filename=NPMR_CBS_2017-07-08_E.MP4$9622$9629","48 HOURS:")</f>
        <v>48 HOURS:</v>
      </c>
      <c r="E1491" s="3" t="s">
        <v>567</v>
      </c>
      <c r="F1491" s="3" t="s">
        <v>3203</v>
      </c>
      <c r="G1491" s="3" t="s">
        <v>107</v>
      </c>
    </row>
    <row r="1492" spans="1:7">
      <c r="A1492" s="6">
        <v>42924</v>
      </c>
      <c r="B1492" s="3" t="s">
        <v>2053</v>
      </c>
      <c r="C1492" s="3" t="s">
        <v>14</v>
      </c>
      <c r="D1492" s="8" t="str">
        <f>HYPERLINK("http://npthd.inbcu.com/ViewContent.aspx?filename=NPMR_CBS_2017-07-08_E.MP4$9629$9634","CBS Sunday Morning")</f>
        <v>CBS Sunday Morning</v>
      </c>
      <c r="E1492" s="3" t="s">
        <v>54</v>
      </c>
      <c r="F1492" s="3" t="s">
        <v>107</v>
      </c>
      <c r="G1492" s="3" t="s">
        <v>3204</v>
      </c>
    </row>
    <row r="1493" spans="1:7">
      <c r="A1493" s="6">
        <v>42924</v>
      </c>
      <c r="B1493" s="3" t="s">
        <v>2053</v>
      </c>
      <c r="C1493" s="3" t="s">
        <v>32</v>
      </c>
      <c r="D1493" s="8" t="str">
        <f>HYPERLINK("http://npthd.inbcu.com/ViewContent.aspx?filename=NPMR_CBS_2017-07-08_E.MP4$9634$9730","LOCAL")</f>
        <v>LOCAL</v>
      </c>
      <c r="E1493" s="3" t="s">
        <v>2101</v>
      </c>
      <c r="F1493" s="3" t="s">
        <v>3204</v>
      </c>
      <c r="G1493" s="3" t="s">
        <v>3205</v>
      </c>
    </row>
    <row r="1494" spans="1:7">
      <c r="A1494" s="6">
        <v>42924</v>
      </c>
      <c r="B1494" s="3" t="s">
        <v>2053</v>
      </c>
      <c r="C1494" s="3" t="s">
        <v>18</v>
      </c>
      <c r="D1494" s="8" t="str">
        <f>HYPERLINK("http://npthd.inbcu.com/ViewContent.aspx?filename=NPMR_CBS_2017-07-08_E.MP4$9730$10241","48 HOURS:")</f>
        <v>48 HOURS:</v>
      </c>
      <c r="E1494" s="3" t="s">
        <v>3206</v>
      </c>
      <c r="F1494" s="3" t="s">
        <v>3205</v>
      </c>
      <c r="G1494" s="3" t="s">
        <v>3207</v>
      </c>
    </row>
    <row r="1495" spans="1:7">
      <c r="A1495" s="6">
        <v>42924</v>
      </c>
      <c r="B1495" s="3" t="s">
        <v>2053</v>
      </c>
      <c r="C1495" s="3" t="s">
        <v>32</v>
      </c>
      <c r="D1495" s="8" t="str">
        <f>HYPERLINK("http://npthd.inbcu.com/ViewContent.aspx?filename=NPMR_CBS_2017-07-08_E.MP4$10241$10253","LOCAL")</f>
        <v>LOCAL</v>
      </c>
      <c r="E1495" s="3" t="s">
        <v>2057</v>
      </c>
      <c r="F1495" s="3" t="s">
        <v>3207</v>
      </c>
      <c r="G1495" s="3" t="s">
        <v>3208</v>
      </c>
    </row>
    <row r="1496" spans="1:7">
      <c r="A1496" s="6">
        <v>42924</v>
      </c>
      <c r="B1496" s="3" t="s">
        <v>2053</v>
      </c>
      <c r="C1496" s="3" t="s">
        <v>21</v>
      </c>
      <c r="D1496" s="8" t="str">
        <f>HYPERLINK("http://npthd.inbcu.com/ViewContent.aspx?filename=NPMR_CBS_2017-07-08_E.MP4$10253$10404","COMMERCIAL")</f>
        <v>COMMERCIAL</v>
      </c>
      <c r="E1496" s="3" t="s">
        <v>91</v>
      </c>
      <c r="F1496" s="3" t="s">
        <v>3208</v>
      </c>
      <c r="G1496" s="3" t="s">
        <v>2049</v>
      </c>
    </row>
    <row r="1497" spans="1:7">
      <c r="A1497" s="6">
        <v>42924</v>
      </c>
      <c r="B1497" s="3" t="s">
        <v>2053</v>
      </c>
      <c r="C1497" s="3" t="s">
        <v>14</v>
      </c>
      <c r="D1497" s="8" t="str">
        <f>HYPERLINK("http://npthd.inbcu.com/ViewContent.aspx?filename=NPMR_CBS_2017-07-08_E.MP4$10404$10409","Late Show with Stephen Colbert")</f>
        <v>Late Show with Stephen Colbert</v>
      </c>
      <c r="E1497" s="3" t="s">
        <v>54</v>
      </c>
      <c r="F1497" s="3" t="s">
        <v>2049</v>
      </c>
      <c r="G1497" s="3" t="s">
        <v>3209</v>
      </c>
    </row>
    <row r="1498" spans="1:7">
      <c r="A1498" s="6">
        <v>42924</v>
      </c>
      <c r="B1498" s="3" t="s">
        <v>2053</v>
      </c>
      <c r="C1498" s="3" t="s">
        <v>18</v>
      </c>
      <c r="D1498" s="8" t="str">
        <f>HYPERLINK("http://npthd.inbcu.com/ViewContent.aspx?filename=NPMR_CBS_2017-07-08_E.MP4$10409$10846","48 HOURS:")</f>
        <v>48 HOURS:</v>
      </c>
      <c r="E1498" s="3" t="s">
        <v>116</v>
      </c>
      <c r="F1498" s="3" t="s">
        <v>3209</v>
      </c>
      <c r="G1498" s="3" t="s">
        <v>3210</v>
      </c>
    </row>
    <row r="1499" spans="1:7">
      <c r="A1499" s="6">
        <v>42924</v>
      </c>
      <c r="B1499" s="3" t="s">
        <v>2053</v>
      </c>
      <c r="C1499" s="3" t="s">
        <v>14</v>
      </c>
      <c r="D1499" s="8" t="str">
        <f>HYPERLINK("http://npthd.inbcu.com/ViewContent.aspx?filename=NPMR_CBS_2017-07-08_E.MP4$10846$10866","Salvation")</f>
        <v>Salvation</v>
      </c>
      <c r="E1499" s="3" t="s">
        <v>1805</v>
      </c>
      <c r="F1499" s="3" t="s">
        <v>3210</v>
      </c>
      <c r="G1499" s="3" t="s">
        <v>3211</v>
      </c>
    </row>
    <row r="1500" spans="1:7">
      <c r="A1500" s="6">
        <v>42924</v>
      </c>
      <c r="B1500" s="3" t="s">
        <v>2053</v>
      </c>
      <c r="C1500" s="3" t="s">
        <v>14</v>
      </c>
      <c r="D1500" s="8" t="str">
        <f>HYPERLINK("http://npthd.inbcu.com/ViewContent.aspx?filename=NPMR_CBS_2017-07-08_E.MP4$10866$10876","CBS News")</f>
        <v>CBS News</v>
      </c>
      <c r="E1500" s="3" t="s">
        <v>197</v>
      </c>
      <c r="F1500" s="3" t="s">
        <v>3211</v>
      </c>
      <c r="G1500" s="3" t="s">
        <v>1939</v>
      </c>
    </row>
    <row r="1501" spans="1:7">
      <c r="A1501" s="6">
        <v>42924</v>
      </c>
      <c r="B1501" s="3" t="s">
        <v>2053</v>
      </c>
      <c r="C1501" s="3" t="s">
        <v>32</v>
      </c>
      <c r="D1501" s="8" t="str">
        <f>HYPERLINK("http://npthd.inbcu.com/ViewContent.aspx?filename=NPMR_CBS_2017-07-08_E.MP4$10876$10887","LOCAL")</f>
        <v>LOCAL</v>
      </c>
      <c r="E1501" s="3" t="s">
        <v>1940</v>
      </c>
      <c r="F1501" s="3" t="s">
        <v>1939</v>
      </c>
      <c r="G1501" s="3" t="s">
        <v>124</v>
      </c>
    </row>
    <row r="1502" spans="1:7">
      <c r="A1502" s="6">
        <v>42925</v>
      </c>
      <c r="B1502" s="3" t="s">
        <v>2053</v>
      </c>
      <c r="C1502" s="3" t="s">
        <v>18</v>
      </c>
      <c r="D1502" s="8" t="str">
        <f>HYPERLINK("http://npthd.inbcu.com/ViewContent.aspx?filename=NPMR_CBS_2017-07-09_W.MP4$41$140","60 MINUTES:")</f>
        <v>60 MINUTES:</v>
      </c>
      <c r="E1502" s="3" t="s">
        <v>3212</v>
      </c>
      <c r="F1502" s="3" t="s">
        <v>311</v>
      </c>
      <c r="G1502" s="3" t="s">
        <v>3213</v>
      </c>
    </row>
    <row r="1503" spans="1:7">
      <c r="A1503" s="6">
        <v>42925</v>
      </c>
      <c r="B1503" s="3" t="s">
        <v>2053</v>
      </c>
      <c r="C1503" s="3" t="s">
        <v>21</v>
      </c>
      <c r="D1503" s="8" t="str">
        <f>HYPERLINK("http://npthd.inbcu.com/ViewContent.aspx?filename=NPMR_CBS_2017-07-09_W.MP4$140$323","COMMERCIAL")</f>
        <v>COMMERCIAL</v>
      </c>
      <c r="E1503" s="3" t="s">
        <v>154</v>
      </c>
      <c r="F1503" s="3" t="s">
        <v>3213</v>
      </c>
      <c r="G1503" s="3" t="s">
        <v>3214</v>
      </c>
    </row>
    <row r="1504" spans="1:7">
      <c r="A1504" s="6">
        <v>42925</v>
      </c>
      <c r="B1504" s="3" t="s">
        <v>2053</v>
      </c>
      <c r="C1504" s="3" t="s">
        <v>14</v>
      </c>
      <c r="D1504" s="8" t="str">
        <f>HYPERLINK("http://npthd.inbcu.com/ViewContent.aspx?filename=NPMR_CBS_2017-07-09_W.MP4$323$338","Salvation")</f>
        <v>Salvation</v>
      </c>
      <c r="E1504" s="3" t="s">
        <v>30</v>
      </c>
      <c r="F1504" s="3" t="s">
        <v>3214</v>
      </c>
      <c r="G1504" s="3" t="s">
        <v>3215</v>
      </c>
    </row>
    <row r="1505" spans="1:7">
      <c r="A1505" s="6">
        <v>42925</v>
      </c>
      <c r="B1505" s="3" t="s">
        <v>2053</v>
      </c>
      <c r="C1505" s="3" t="s">
        <v>14</v>
      </c>
      <c r="D1505" s="8" t="str">
        <f>HYPERLINK("http://npthd.inbcu.com/ViewContent.aspx?filename=NPMR_CBS_2017-07-09_W.MP4$338$368","Wisdom of the Crowd")</f>
        <v>Wisdom of the Crowd</v>
      </c>
      <c r="E1505" s="3" t="s">
        <v>38</v>
      </c>
      <c r="F1505" s="3" t="s">
        <v>3215</v>
      </c>
      <c r="G1505" s="3" t="s">
        <v>3216</v>
      </c>
    </row>
    <row r="1506" spans="1:7">
      <c r="A1506" s="6">
        <v>42925</v>
      </c>
      <c r="B1506" s="3" t="s">
        <v>2053</v>
      </c>
      <c r="C1506" s="3" t="s">
        <v>18</v>
      </c>
      <c r="D1506" s="8" t="str">
        <f>HYPERLINK("http://npthd.inbcu.com/ViewContent.aspx?filename=NPMR_CBS_2017-07-09_W.MP4$368$1191","60 MINUTES:")</f>
        <v>60 MINUTES:</v>
      </c>
      <c r="E1506" s="3" t="s">
        <v>3217</v>
      </c>
      <c r="F1506" s="3" t="s">
        <v>3216</v>
      </c>
      <c r="G1506" s="3" t="s">
        <v>3218</v>
      </c>
    </row>
    <row r="1507" spans="1:7">
      <c r="A1507" s="6">
        <v>42925</v>
      </c>
      <c r="B1507" s="3" t="s">
        <v>2053</v>
      </c>
      <c r="C1507" s="3" t="s">
        <v>21</v>
      </c>
      <c r="D1507" s="8" t="str">
        <f>HYPERLINK("http://npthd.inbcu.com/ViewContent.aspx?filename=NPMR_CBS_2017-07-09_W.MP4$1191$1374","COMMERCIAL")</f>
        <v>COMMERCIAL</v>
      </c>
      <c r="E1507" s="3" t="s">
        <v>154</v>
      </c>
      <c r="F1507" s="3" t="s">
        <v>3218</v>
      </c>
      <c r="G1507" s="3" t="s">
        <v>3219</v>
      </c>
    </row>
    <row r="1508" spans="1:7">
      <c r="A1508" s="6">
        <v>42925</v>
      </c>
      <c r="B1508" s="3" t="s">
        <v>2053</v>
      </c>
      <c r="C1508" s="3" t="s">
        <v>14</v>
      </c>
      <c r="D1508" s="8" t="str">
        <f>HYPERLINK("http://npthd.inbcu.com/ViewContent.aspx?filename=NPMR_CBS_2017-07-09_W.MP4$1374$1385","Late Show with Stephen Colbert")</f>
        <v>Late Show with Stephen Colbert</v>
      </c>
      <c r="E1508" s="3" t="s">
        <v>1940</v>
      </c>
      <c r="F1508" s="3" t="s">
        <v>3219</v>
      </c>
      <c r="G1508" s="3" t="s">
        <v>3220</v>
      </c>
    </row>
    <row r="1509" spans="1:7">
      <c r="A1509" s="6">
        <v>42925</v>
      </c>
      <c r="B1509" s="3" t="s">
        <v>2053</v>
      </c>
      <c r="C1509" s="3" t="s">
        <v>14</v>
      </c>
      <c r="D1509" s="8" t="str">
        <f>HYPERLINK("http://npthd.inbcu.com/ViewContent.aspx?filename=NPMR_CBS_2017-07-09_W.MP4$1385$1404","CBS All Access")</f>
        <v>CBS All Access</v>
      </c>
      <c r="E1509" s="3" t="s">
        <v>670</v>
      </c>
      <c r="F1509" s="3" t="s">
        <v>3220</v>
      </c>
      <c r="G1509" s="3" t="s">
        <v>3221</v>
      </c>
    </row>
    <row r="1510" spans="1:7">
      <c r="A1510" s="6">
        <v>42925</v>
      </c>
      <c r="B1510" s="3" t="s">
        <v>2053</v>
      </c>
      <c r="C1510" s="3" t="s">
        <v>14</v>
      </c>
      <c r="D1510" s="8" t="str">
        <f>HYPERLINK("http://npthd.inbcu.com/ViewContent.aspx?filename=NPMR_CBS_2017-07-09_W.MP4$1404$1435","Seal Team")</f>
        <v>Seal Team</v>
      </c>
      <c r="E1510" s="3" t="s">
        <v>98</v>
      </c>
      <c r="F1510" s="3" t="s">
        <v>3221</v>
      </c>
      <c r="G1510" s="3" t="s">
        <v>3222</v>
      </c>
    </row>
    <row r="1511" spans="1:7">
      <c r="A1511" s="6">
        <v>42925</v>
      </c>
      <c r="B1511" s="3" t="s">
        <v>2053</v>
      </c>
      <c r="C1511" s="3" t="s">
        <v>18</v>
      </c>
      <c r="D1511" s="8" t="str">
        <f>HYPERLINK("http://npthd.inbcu.com/ViewContent.aspx?filename=NPMR_CBS_2017-07-09_W.MP4$1435$2205","60 MINUTES:")</f>
        <v>60 MINUTES:</v>
      </c>
      <c r="E1511" s="3" t="s">
        <v>3223</v>
      </c>
      <c r="F1511" s="3" t="s">
        <v>3222</v>
      </c>
      <c r="G1511" s="3" t="s">
        <v>3224</v>
      </c>
    </row>
    <row r="1512" spans="1:7">
      <c r="A1512" s="6">
        <v>42925</v>
      </c>
      <c r="B1512" s="3" t="s">
        <v>2053</v>
      </c>
      <c r="C1512" s="3" t="s">
        <v>21</v>
      </c>
      <c r="D1512" s="8" t="str">
        <f>HYPERLINK("http://npthd.inbcu.com/ViewContent.aspx?filename=NPMR_CBS_2017-07-09_W.MP4$2205$2386","COMMERCIAL")</f>
        <v>COMMERCIAL</v>
      </c>
      <c r="E1512" s="3" t="s">
        <v>108</v>
      </c>
      <c r="F1512" s="3" t="s">
        <v>3224</v>
      </c>
      <c r="G1512" s="3" t="s">
        <v>3225</v>
      </c>
    </row>
    <row r="1513" spans="1:7">
      <c r="A1513" s="6">
        <v>42925</v>
      </c>
      <c r="B1513" s="3" t="s">
        <v>2053</v>
      </c>
      <c r="C1513" s="3" t="s">
        <v>14</v>
      </c>
      <c r="D1513" s="8" t="str">
        <f>HYPERLINK("http://npthd.inbcu.com/ViewContent.aspx?filename=NPMR_CBS_2017-07-09_W.MP4$2386$2396","CBS This Morning")</f>
        <v>CBS This Morning</v>
      </c>
      <c r="E1513" s="3" t="s">
        <v>197</v>
      </c>
      <c r="F1513" s="3" t="s">
        <v>3225</v>
      </c>
      <c r="G1513" s="3" t="s">
        <v>3226</v>
      </c>
    </row>
    <row r="1514" spans="1:7">
      <c r="A1514" s="6">
        <v>42925</v>
      </c>
      <c r="B1514" s="3" t="s">
        <v>2053</v>
      </c>
      <c r="C1514" s="3" t="s">
        <v>18</v>
      </c>
      <c r="D1514" s="8" t="str">
        <f>HYPERLINK("http://npthd.inbcu.com/ViewContent.aspx?filename=NPMR_CBS_2017-07-09_W.MP4$2396$2408","60 MINUTES:")</f>
        <v>60 MINUTES:</v>
      </c>
      <c r="E1514" s="3" t="s">
        <v>2057</v>
      </c>
      <c r="F1514" s="3" t="s">
        <v>3226</v>
      </c>
      <c r="G1514" s="3" t="s">
        <v>3227</v>
      </c>
    </row>
    <row r="1515" spans="1:7">
      <c r="A1515" s="6">
        <v>42925</v>
      </c>
      <c r="B1515" s="3" t="s">
        <v>2053</v>
      </c>
      <c r="C1515" s="3" t="s">
        <v>14</v>
      </c>
      <c r="D1515" s="8" t="str">
        <f>HYPERLINK("http://npthd.inbcu.com/ViewContent.aspx?filename=NPMR_CBS_2017-07-09_W.MP4$2408$2414","Salvation")</f>
        <v>Salvation</v>
      </c>
      <c r="E1515" s="3" t="s">
        <v>15</v>
      </c>
      <c r="F1515" s="3" t="s">
        <v>3227</v>
      </c>
      <c r="G1515" s="3" t="s">
        <v>2252</v>
      </c>
    </row>
    <row r="1516" spans="1:7">
      <c r="A1516" s="6">
        <v>42925</v>
      </c>
      <c r="B1516" s="3" t="s">
        <v>2053</v>
      </c>
      <c r="C1516" s="3" t="s">
        <v>32</v>
      </c>
      <c r="D1516" s="8" t="str">
        <f>HYPERLINK("http://npthd.inbcu.com/ViewContent.aspx?filename=NPMR_CBS_2017-07-09_W.MP4$2414$2479","LOCAL")</f>
        <v>LOCAL</v>
      </c>
      <c r="E1516" s="3" t="s">
        <v>580</v>
      </c>
      <c r="F1516" s="3" t="s">
        <v>2252</v>
      </c>
      <c r="G1516" s="3" t="s">
        <v>2253</v>
      </c>
    </row>
    <row r="1517" spans="1:7">
      <c r="A1517" s="6">
        <v>42925</v>
      </c>
      <c r="B1517" s="3" t="s">
        <v>2053</v>
      </c>
      <c r="C1517" s="3" t="s">
        <v>18</v>
      </c>
      <c r="D1517" s="8" t="str">
        <f>HYPERLINK("http://npthd.inbcu.com/ViewContent.aspx?filename=NPMR_CBS_2017-07-09_W.MP4$2479$3273","60 MINUTES:")</f>
        <v>60 MINUTES:</v>
      </c>
      <c r="E1517" s="3" t="s">
        <v>3228</v>
      </c>
      <c r="F1517" s="3" t="s">
        <v>2253</v>
      </c>
      <c r="G1517" s="3" t="s">
        <v>3229</v>
      </c>
    </row>
    <row r="1518" spans="1:7">
      <c r="A1518" s="6">
        <v>42925</v>
      </c>
      <c r="B1518" s="3" t="s">
        <v>2053</v>
      </c>
      <c r="C1518" s="3" t="s">
        <v>21</v>
      </c>
      <c r="D1518" s="8" t="str">
        <f>HYPERLINK("http://npthd.inbcu.com/ViewContent.aspx?filename=NPMR_CBS_2017-07-09_W.MP4$3273$3365","COMMERCIAL")</f>
        <v>COMMERCIAL</v>
      </c>
      <c r="E1518" s="3" t="s">
        <v>267</v>
      </c>
      <c r="F1518" s="3" t="s">
        <v>3229</v>
      </c>
      <c r="G1518" s="3" t="s">
        <v>3230</v>
      </c>
    </row>
    <row r="1519" spans="1:7">
      <c r="A1519" s="6">
        <v>42925</v>
      </c>
      <c r="B1519" s="3" t="s">
        <v>2053</v>
      </c>
      <c r="C1519" s="3" t="s">
        <v>14</v>
      </c>
      <c r="D1519" s="8" t="str">
        <f>HYPERLINK("http://npthd.inbcu.com/ViewContent.aspx?filename=NPMR_CBS_2017-07-09_W.MP4$3365$3375","Big Brother")</f>
        <v>Big Brother</v>
      </c>
      <c r="E1519" s="3" t="s">
        <v>197</v>
      </c>
      <c r="F1519" s="3" t="s">
        <v>3230</v>
      </c>
      <c r="G1519" s="3" t="s">
        <v>3231</v>
      </c>
    </row>
    <row r="1520" spans="1:7">
      <c r="A1520" s="6">
        <v>42925</v>
      </c>
      <c r="B1520" s="3" t="s">
        <v>2053</v>
      </c>
      <c r="C1520" s="3" t="s">
        <v>14</v>
      </c>
      <c r="D1520" s="8" t="str">
        <f>HYPERLINK("http://npthd.inbcu.com/ViewContent.aspx?filename=NPMR_CBS_2017-07-09_W.MP4$3375$3385","Candy Crush")</f>
        <v>Candy Crush</v>
      </c>
      <c r="E1520" s="3" t="s">
        <v>197</v>
      </c>
      <c r="F1520" s="3" t="s">
        <v>3231</v>
      </c>
      <c r="G1520" s="3" t="s">
        <v>3232</v>
      </c>
    </row>
    <row r="1521" spans="1:7">
      <c r="A1521" s="6">
        <v>42925</v>
      </c>
      <c r="B1521" s="3" t="s">
        <v>2053</v>
      </c>
      <c r="C1521" s="3" t="s">
        <v>14</v>
      </c>
      <c r="D1521" s="8" t="str">
        <f>HYPERLINK("http://npthd.inbcu.com/ViewContent.aspx?filename=NPMR_CBS_2017-07-09_W.MP4$3385$3405","Salvation")</f>
        <v>Salvation</v>
      </c>
      <c r="E1521" s="3" t="s">
        <v>1805</v>
      </c>
      <c r="F1521" s="3" t="s">
        <v>3232</v>
      </c>
      <c r="G1521" s="3" t="s">
        <v>3233</v>
      </c>
    </row>
    <row r="1522" spans="1:7">
      <c r="A1522" s="6">
        <v>42925</v>
      </c>
      <c r="B1522" s="3" t="s">
        <v>2053</v>
      </c>
      <c r="C1522" s="3" t="s">
        <v>14</v>
      </c>
      <c r="D1522" s="8" t="str">
        <f>HYPERLINK("http://npthd.inbcu.com/ViewContent.aspx?filename=NPMR_CBS_2017-07-09_W.MP4$3405$3411","Wisdom of the Crowd")</f>
        <v>Wisdom of the Crowd</v>
      </c>
      <c r="E1522" s="3" t="s">
        <v>15</v>
      </c>
      <c r="F1522" s="3" t="s">
        <v>3233</v>
      </c>
      <c r="G1522" s="3" t="s">
        <v>2686</v>
      </c>
    </row>
    <row r="1523" spans="1:7">
      <c r="A1523" s="6">
        <v>42925</v>
      </c>
      <c r="B1523" s="3" t="s">
        <v>2053</v>
      </c>
      <c r="C1523" s="3" t="s">
        <v>32</v>
      </c>
      <c r="D1523" s="8" t="str">
        <f>HYPERLINK("http://npthd.inbcu.com/ViewContent.aspx?filename=NPMR_CBS_2017-07-09_W.MP4$3411$3475","LOCAL")</f>
        <v>LOCAL</v>
      </c>
      <c r="E1523" s="3" t="s">
        <v>1902</v>
      </c>
      <c r="F1523" s="3" t="s">
        <v>2686</v>
      </c>
      <c r="G1523" s="3" t="s">
        <v>3234</v>
      </c>
    </row>
    <row r="1524" spans="1:7">
      <c r="A1524" s="6">
        <v>42925</v>
      </c>
      <c r="B1524" s="3" t="s">
        <v>2053</v>
      </c>
      <c r="C1524" s="3" t="s">
        <v>18</v>
      </c>
      <c r="D1524" s="8" t="str">
        <f>HYPERLINK("http://npthd.inbcu.com/ViewContent.aspx?filename=NPMR_CBS_2017-07-09_W.MP4$3475$3487","60 MINUTES:")</f>
        <v>60 MINUTES:</v>
      </c>
      <c r="E1524" s="3" t="s">
        <v>2057</v>
      </c>
      <c r="F1524" s="3" t="s">
        <v>3234</v>
      </c>
      <c r="G1524" s="3" t="s">
        <v>2688</v>
      </c>
    </row>
    <row r="1525" spans="1:7">
      <c r="A1525" s="6">
        <v>42925</v>
      </c>
      <c r="B1525" s="3" t="s">
        <v>2053</v>
      </c>
      <c r="C1525" s="3" t="s">
        <v>21</v>
      </c>
      <c r="D1525" s="8" t="str">
        <f>HYPERLINK("http://npthd.inbcu.com/ViewContent.aspx?filename=NPMR_CBS_2017-07-09_W.MP4$3487$3579","COMMERCIAL")</f>
        <v>COMMERCIAL</v>
      </c>
      <c r="E1525" s="3" t="s">
        <v>267</v>
      </c>
      <c r="F1525" s="3" t="s">
        <v>2688</v>
      </c>
      <c r="G1525" s="3" t="s">
        <v>2689</v>
      </c>
    </row>
    <row r="1526" spans="1:7">
      <c r="A1526" s="6">
        <v>42925</v>
      </c>
      <c r="B1526" s="3" t="s">
        <v>2053</v>
      </c>
      <c r="C1526" s="3" t="s">
        <v>14</v>
      </c>
      <c r="D1526" s="8" t="str">
        <f>HYPERLINK("http://npthd.inbcu.com/ViewContent.aspx?filename=NPMR_CBS_2017-07-09_W.MP4$3579$3599","CBSN On Assignment")</f>
        <v>CBSN On Assignment</v>
      </c>
      <c r="E1526" s="3" t="s">
        <v>1805</v>
      </c>
      <c r="F1526" s="3" t="s">
        <v>2689</v>
      </c>
      <c r="G1526" s="3" t="s">
        <v>2690</v>
      </c>
    </row>
    <row r="1527" spans="1:7">
      <c r="A1527" s="6">
        <v>42925</v>
      </c>
      <c r="B1527" s="3" t="s">
        <v>2053</v>
      </c>
      <c r="C1527" s="3" t="s">
        <v>14</v>
      </c>
      <c r="D1527" s="8" t="str">
        <f>HYPERLINK("http://npthd.inbcu.com/ViewContent.aspx?filename=NPMR_CBS_2017-07-09_W.MP4$3599$3621","Kevin Can Wait")</f>
        <v>Kevin Can Wait</v>
      </c>
      <c r="E1527" s="3" t="s">
        <v>2124</v>
      </c>
      <c r="F1527" s="3" t="s">
        <v>2690</v>
      </c>
      <c r="G1527" s="3" t="s">
        <v>2691</v>
      </c>
    </row>
    <row r="1528" spans="1:7">
      <c r="A1528" s="6">
        <v>42925</v>
      </c>
      <c r="B1528" s="3" t="s">
        <v>2053</v>
      </c>
      <c r="C1528" s="3" t="s">
        <v>14</v>
      </c>
      <c r="D1528" s="8" t="str">
        <f>HYPERLINK("http://npthd.inbcu.com/ViewContent.aspx?filename=NPMR_CBS_2017-07-09_W.MP4$3621$3641","Bull")</f>
        <v>Bull</v>
      </c>
      <c r="E1528" s="3" t="s">
        <v>1805</v>
      </c>
      <c r="F1528" s="3" t="s">
        <v>2691</v>
      </c>
      <c r="G1528" s="3" t="s">
        <v>16</v>
      </c>
    </row>
    <row r="1529" spans="1:7">
      <c r="A1529" s="6">
        <v>42925</v>
      </c>
      <c r="B1529" s="3" t="s">
        <v>2053</v>
      </c>
      <c r="C1529" s="3" t="s">
        <v>14</v>
      </c>
      <c r="D1529" s="8" t="str">
        <f>HYPERLINK("http://npthd.inbcu.com/ViewContent.aspx?filename=NPMR_CBS_2017-07-09_W.MP4$3641$3646","Late Show with Stephen Colbert")</f>
        <v>Late Show with Stephen Colbert</v>
      </c>
      <c r="E1529" s="3" t="s">
        <v>54</v>
      </c>
      <c r="F1529" s="3" t="s">
        <v>16</v>
      </c>
      <c r="G1529" s="3" t="s">
        <v>125</v>
      </c>
    </row>
    <row r="1530" spans="1:7">
      <c r="A1530" s="6">
        <v>42925</v>
      </c>
      <c r="B1530" s="3" t="s">
        <v>2053</v>
      </c>
      <c r="C1530" s="3" t="s">
        <v>18</v>
      </c>
      <c r="D1530" s="8" t="str">
        <f>HYPERLINK("http://npthd.inbcu.com/ViewContent.aspx?filename=NPMR_CBS_2017-07-09_W.MP4$3646$4579","BIG BROTHER 19: 1906")</f>
        <v>BIG BROTHER 19: 1906</v>
      </c>
      <c r="E1530" s="3" t="s">
        <v>3235</v>
      </c>
      <c r="F1530" s="3" t="s">
        <v>125</v>
      </c>
      <c r="G1530" s="3" t="s">
        <v>3236</v>
      </c>
    </row>
    <row r="1531" spans="1:7">
      <c r="A1531" s="6">
        <v>42925</v>
      </c>
      <c r="B1531" s="3" t="s">
        <v>2053</v>
      </c>
      <c r="C1531" s="3" t="s">
        <v>21</v>
      </c>
      <c r="D1531" s="8" t="str">
        <f>HYPERLINK("http://npthd.inbcu.com/ViewContent.aspx?filename=NPMR_CBS_2017-07-09_W.MP4$4579$4732","COMMERCIAL")</f>
        <v>COMMERCIAL</v>
      </c>
      <c r="E1531" s="3" t="s">
        <v>1735</v>
      </c>
      <c r="F1531" s="3" t="s">
        <v>3236</v>
      </c>
      <c r="G1531" s="3" t="s">
        <v>1823</v>
      </c>
    </row>
    <row r="1532" spans="1:7">
      <c r="A1532" s="6">
        <v>42925</v>
      </c>
      <c r="B1532" s="3" t="s">
        <v>2053</v>
      </c>
      <c r="C1532" s="3" t="s">
        <v>14</v>
      </c>
      <c r="D1532" s="8" t="str">
        <f>HYPERLINK("http://npthd.inbcu.com/ViewContent.aspx?filename=NPMR_CBS_2017-07-09_W.MP4$4732$4742","Talk, The")</f>
        <v>Talk, The</v>
      </c>
      <c r="E1532" s="3" t="s">
        <v>197</v>
      </c>
      <c r="F1532" s="3" t="s">
        <v>1823</v>
      </c>
      <c r="G1532" s="3" t="s">
        <v>3237</v>
      </c>
    </row>
    <row r="1533" spans="1:7">
      <c r="A1533" s="6">
        <v>42925</v>
      </c>
      <c r="B1533" s="3" t="s">
        <v>2053</v>
      </c>
      <c r="C1533" s="3" t="s">
        <v>14</v>
      </c>
      <c r="D1533" s="8" t="str">
        <f>HYPERLINK("http://npthd.inbcu.com/ViewContent.aspx?filename=NPMR_CBS_2017-07-09_W.MP4$4742$4752","Salvation")</f>
        <v>Salvation</v>
      </c>
      <c r="E1533" s="3" t="s">
        <v>197</v>
      </c>
      <c r="F1533" s="3" t="s">
        <v>3237</v>
      </c>
      <c r="G1533" s="3" t="s">
        <v>3238</v>
      </c>
    </row>
    <row r="1534" spans="1:7">
      <c r="A1534" s="6">
        <v>42925</v>
      </c>
      <c r="B1534" s="3" t="s">
        <v>2053</v>
      </c>
      <c r="C1534" s="3" t="s">
        <v>14</v>
      </c>
      <c r="D1534" s="8" t="str">
        <f>HYPERLINK("http://npthd.inbcu.com/ViewContent.aspx?filename=NPMR_CBS_2017-07-09_W.MP4$4752$4762","CBS.com/BB19")</f>
        <v>CBS.com/BB19</v>
      </c>
      <c r="E1534" s="3" t="s">
        <v>197</v>
      </c>
      <c r="F1534" s="3" t="s">
        <v>3238</v>
      </c>
      <c r="G1534" s="3" t="s">
        <v>1319</v>
      </c>
    </row>
    <row r="1535" spans="1:7">
      <c r="A1535" s="6">
        <v>42925</v>
      </c>
      <c r="B1535" s="3" t="s">
        <v>2053</v>
      </c>
      <c r="C1535" s="3" t="s">
        <v>18</v>
      </c>
      <c r="D1535" s="8" t="str">
        <f>HYPERLINK("http://npthd.inbcu.com/ViewContent.aspx?filename=NPMR_CBS_2017-07-09_W.MP4$4762$5463","BIG BROTHER 19: 1906")</f>
        <v>BIG BROTHER 19: 1906</v>
      </c>
      <c r="E1535" s="3" t="s">
        <v>3239</v>
      </c>
      <c r="F1535" s="3" t="s">
        <v>1319</v>
      </c>
      <c r="G1535" s="3" t="s">
        <v>3240</v>
      </c>
    </row>
    <row r="1536" spans="1:7">
      <c r="A1536" s="6">
        <v>42925</v>
      </c>
      <c r="B1536" s="3" t="s">
        <v>2053</v>
      </c>
      <c r="C1536" s="3" t="s">
        <v>21</v>
      </c>
      <c r="D1536" s="8" t="str">
        <f>HYPERLINK("http://npthd.inbcu.com/ViewContent.aspx?filename=NPMR_CBS_2017-07-09_W.MP4$5463$5615","COMMERCIAL")</f>
        <v>COMMERCIAL</v>
      </c>
      <c r="E1536" s="3" t="s">
        <v>128</v>
      </c>
      <c r="F1536" s="3" t="s">
        <v>3240</v>
      </c>
      <c r="G1536" s="3" t="s">
        <v>3241</v>
      </c>
    </row>
    <row r="1537" spans="1:7">
      <c r="A1537" s="6">
        <v>42925</v>
      </c>
      <c r="B1537" s="3" t="s">
        <v>2053</v>
      </c>
      <c r="C1537" s="3" t="s">
        <v>1618</v>
      </c>
      <c r="D1537" s="8" t="str">
        <f>HYPERLINK("http://npthd.inbcu.com/ViewContent.aspx?filename=NPMR_CBS_2017-07-09_W.MP4$5615$5625","PSA")</f>
        <v>PSA</v>
      </c>
      <c r="E1537" s="3" t="s">
        <v>197</v>
      </c>
      <c r="F1537" s="3" t="s">
        <v>3241</v>
      </c>
      <c r="G1537" s="3" t="s">
        <v>3242</v>
      </c>
    </row>
    <row r="1538" spans="1:7">
      <c r="A1538" s="6">
        <v>42925</v>
      </c>
      <c r="B1538" s="3" t="s">
        <v>2053</v>
      </c>
      <c r="C1538" s="3" t="s">
        <v>14</v>
      </c>
      <c r="D1538" s="8" t="str">
        <f>HYPERLINK("http://npthd.inbcu.com/ViewContent.aspx?filename=NPMR_CBS_2017-07-09_W.MP4$5625$5645","Candy Crush")</f>
        <v>Candy Crush</v>
      </c>
      <c r="E1538" s="3" t="s">
        <v>1805</v>
      </c>
      <c r="F1538" s="3" t="s">
        <v>3242</v>
      </c>
      <c r="G1538" s="3" t="s">
        <v>3243</v>
      </c>
    </row>
    <row r="1539" spans="1:7">
      <c r="A1539" s="6">
        <v>42925</v>
      </c>
      <c r="B1539" s="3" t="s">
        <v>2053</v>
      </c>
      <c r="C1539" s="3" t="s">
        <v>14</v>
      </c>
      <c r="D1539" s="8" t="str">
        <f>HYPERLINK("http://npthd.inbcu.com/ViewContent.aspx?filename=NPMR_CBS_2017-07-09_W.MP4$5645$5656","Salvation")</f>
        <v>Salvation</v>
      </c>
      <c r="E1539" s="3" t="s">
        <v>1940</v>
      </c>
      <c r="F1539" s="3" t="s">
        <v>3243</v>
      </c>
      <c r="G1539" s="3" t="s">
        <v>1482</v>
      </c>
    </row>
    <row r="1540" spans="1:7">
      <c r="A1540" s="6">
        <v>42925</v>
      </c>
      <c r="B1540" s="3" t="s">
        <v>2053</v>
      </c>
      <c r="C1540" s="3" t="s">
        <v>14</v>
      </c>
      <c r="D1540" s="8" t="str">
        <f>HYPERLINK("http://npthd.inbcu.com/ViewContent.aspx?filename=NPMR_CBS_2017-07-09_W.MP4$5656$5667","CBS.com/App")</f>
        <v>CBS.com/App</v>
      </c>
      <c r="E1540" s="3" t="s">
        <v>1940</v>
      </c>
      <c r="F1540" s="3" t="s">
        <v>1482</v>
      </c>
      <c r="G1540" s="3" t="s">
        <v>230</v>
      </c>
    </row>
    <row r="1541" spans="1:7">
      <c r="A1541" s="6">
        <v>42925</v>
      </c>
      <c r="B1541" s="3" t="s">
        <v>2053</v>
      </c>
      <c r="C1541" s="3" t="s">
        <v>18</v>
      </c>
      <c r="D1541" s="8" t="str">
        <f>HYPERLINK("http://npthd.inbcu.com/ViewContent.aspx?filename=NPMR_CBS_2017-07-09_W.MP4$5667$6107","BIG BROTHER 19: 1906")</f>
        <v>BIG BROTHER 19: 1906</v>
      </c>
      <c r="E1541" s="3" t="s">
        <v>1116</v>
      </c>
      <c r="F1541" s="3" t="s">
        <v>230</v>
      </c>
      <c r="G1541" s="3" t="s">
        <v>3244</v>
      </c>
    </row>
    <row r="1542" spans="1:7">
      <c r="A1542" s="6">
        <v>42925</v>
      </c>
      <c r="B1542" s="3" t="s">
        <v>2053</v>
      </c>
      <c r="C1542" s="3" t="s">
        <v>21</v>
      </c>
      <c r="D1542" s="8" t="str">
        <f>HYPERLINK("http://npthd.inbcu.com/ViewContent.aspx?filename=NPMR_CBS_2017-07-09_W.MP4$6107$6258","COMMERCIAL")</f>
        <v>COMMERCIAL</v>
      </c>
      <c r="E1542" s="3" t="s">
        <v>91</v>
      </c>
      <c r="F1542" s="3" t="s">
        <v>3244</v>
      </c>
      <c r="G1542" s="3" t="s">
        <v>3245</v>
      </c>
    </row>
    <row r="1543" spans="1:7">
      <c r="A1543" s="6">
        <v>42925</v>
      </c>
      <c r="B1543" s="3" t="s">
        <v>2053</v>
      </c>
      <c r="C1543" s="3" t="s">
        <v>32</v>
      </c>
      <c r="D1543" s="8" t="str">
        <f>HYPERLINK("http://npthd.inbcu.com/ViewContent.aspx?filename=NPMR_CBS_2017-07-09_W.MP4$6258$6323","LOCAL")</f>
        <v>LOCAL</v>
      </c>
      <c r="E1543" s="3" t="s">
        <v>580</v>
      </c>
      <c r="F1543" s="3" t="s">
        <v>3245</v>
      </c>
      <c r="G1543" s="3" t="s">
        <v>3246</v>
      </c>
    </row>
    <row r="1544" spans="1:7">
      <c r="A1544" s="6">
        <v>42925</v>
      </c>
      <c r="B1544" s="3" t="s">
        <v>2053</v>
      </c>
      <c r="C1544" s="3" t="s">
        <v>14</v>
      </c>
      <c r="D1544" s="8" t="str">
        <f>HYPERLINK("http://npthd.inbcu.com/ViewContent.aspx?filename=NPMR_CBS_2017-07-09_W.MP4$6323$6333","CBS.com/BB19")</f>
        <v>CBS.com/BB19</v>
      </c>
      <c r="E1544" s="3" t="s">
        <v>197</v>
      </c>
      <c r="F1544" s="3" t="s">
        <v>3246</v>
      </c>
      <c r="G1544" s="3" t="s">
        <v>3247</v>
      </c>
    </row>
    <row r="1545" spans="1:7">
      <c r="A1545" s="6">
        <v>42925</v>
      </c>
      <c r="B1545" s="3" t="s">
        <v>2053</v>
      </c>
      <c r="C1545" s="3" t="s">
        <v>18</v>
      </c>
      <c r="D1545" s="8" t="str">
        <f>HYPERLINK("http://npthd.inbcu.com/ViewContent.aspx?filename=NPMR_CBS_2017-07-09_W.MP4$6333$6638","BIG BROTHER 19: 1906")</f>
        <v>BIG BROTHER 19: 1906</v>
      </c>
      <c r="E1545" s="3" t="s">
        <v>2194</v>
      </c>
      <c r="F1545" s="3" t="s">
        <v>3247</v>
      </c>
      <c r="G1545" s="3" t="s">
        <v>3248</v>
      </c>
    </row>
    <row r="1546" spans="1:7">
      <c r="A1546" s="6">
        <v>42925</v>
      </c>
      <c r="B1546" s="3" t="s">
        <v>2053</v>
      </c>
      <c r="C1546" s="3" t="s">
        <v>21</v>
      </c>
      <c r="D1546" s="8" t="str">
        <f>HYPERLINK("http://npthd.inbcu.com/ViewContent.aspx?filename=NPMR_CBS_2017-07-09_W.MP4$6638$6790","COMMERCIAL")</f>
        <v>COMMERCIAL</v>
      </c>
      <c r="E1546" s="3" t="s">
        <v>128</v>
      </c>
      <c r="F1546" s="3" t="s">
        <v>3248</v>
      </c>
      <c r="G1546" s="3" t="s">
        <v>3249</v>
      </c>
    </row>
    <row r="1547" spans="1:7">
      <c r="A1547" s="6">
        <v>42925</v>
      </c>
      <c r="B1547" s="3" t="s">
        <v>2053</v>
      </c>
      <c r="C1547" s="3" t="s">
        <v>14</v>
      </c>
      <c r="D1547" s="8" t="str">
        <f>HYPERLINK("http://npthd.inbcu.com/ViewContent.aspx?filename=NPMR_CBS_2017-07-09_W.MP4$6790$6822","Candy Crush")</f>
        <v>Candy Crush</v>
      </c>
      <c r="E1547" s="3" t="s">
        <v>213</v>
      </c>
      <c r="F1547" s="3" t="s">
        <v>3249</v>
      </c>
      <c r="G1547" s="3" t="s">
        <v>3250</v>
      </c>
    </row>
    <row r="1548" spans="1:7">
      <c r="A1548" s="6">
        <v>42925</v>
      </c>
      <c r="B1548" s="3" t="s">
        <v>2053</v>
      </c>
      <c r="C1548" s="3" t="s">
        <v>32</v>
      </c>
      <c r="D1548" s="8" t="str">
        <f>HYPERLINK("http://npthd.inbcu.com/ViewContent.aspx?filename=NPMR_CBS_2017-07-09_W.MP4$6822$6916","LOCAL")</f>
        <v>LOCAL</v>
      </c>
      <c r="E1548" s="3" t="s">
        <v>1917</v>
      </c>
      <c r="F1548" s="3" t="s">
        <v>3250</v>
      </c>
      <c r="G1548" s="3" t="s">
        <v>3251</v>
      </c>
    </row>
    <row r="1549" spans="1:7">
      <c r="A1549" s="6">
        <v>42925</v>
      </c>
      <c r="B1549" s="3" t="s">
        <v>2053</v>
      </c>
      <c r="C1549" s="3" t="s">
        <v>18</v>
      </c>
      <c r="D1549" s="8" t="str">
        <f>HYPERLINK("http://npthd.inbcu.com/ViewContent.aspx?filename=NPMR_CBS_2017-07-09_W.MP4$6916$7233","BIG BROTHER 19: 1906")</f>
        <v>BIG BROTHER 19: 1906</v>
      </c>
      <c r="E1549" s="3" t="s">
        <v>3252</v>
      </c>
      <c r="F1549" s="3" t="s">
        <v>3251</v>
      </c>
      <c r="G1549" s="3" t="s">
        <v>3253</v>
      </c>
    </row>
    <row r="1550" spans="1:7">
      <c r="A1550" s="6">
        <v>42925</v>
      </c>
      <c r="B1550" s="3" t="s">
        <v>2053</v>
      </c>
      <c r="C1550" s="3" t="s">
        <v>21</v>
      </c>
      <c r="D1550" s="8" t="str">
        <f>HYPERLINK("http://npthd.inbcu.com/ViewContent.aspx?filename=NPMR_CBS_2017-07-09_W.MP4$7233$7324","COMMERCIAL")</f>
        <v>COMMERCIAL</v>
      </c>
      <c r="E1550" s="3" t="s">
        <v>77</v>
      </c>
      <c r="F1550" s="3" t="s">
        <v>3253</v>
      </c>
      <c r="G1550" s="3" t="s">
        <v>3254</v>
      </c>
    </row>
    <row r="1551" spans="1:7">
      <c r="A1551" s="6">
        <v>42925</v>
      </c>
      <c r="B1551" s="3" t="s">
        <v>2053</v>
      </c>
      <c r="C1551" s="3" t="s">
        <v>14</v>
      </c>
      <c r="D1551" s="8" t="str">
        <f>HYPERLINK("http://npthd.inbcu.com/ViewContent.aspx?filename=NPMR_CBS_2017-07-09_W.MP4$7324$7336","Bull")</f>
        <v>Bull</v>
      </c>
      <c r="E1551" s="3" t="s">
        <v>2057</v>
      </c>
      <c r="F1551" s="3" t="s">
        <v>3254</v>
      </c>
      <c r="G1551" s="3" t="s">
        <v>3255</v>
      </c>
    </row>
    <row r="1552" spans="1:7">
      <c r="A1552" s="6">
        <v>42925</v>
      </c>
      <c r="B1552" s="3" t="s">
        <v>2053</v>
      </c>
      <c r="C1552" s="3" t="s">
        <v>14</v>
      </c>
      <c r="D1552" s="8" t="str">
        <f>HYPERLINK("http://npthd.inbcu.com/ViewContent.aspx?filename=NPMR_CBS_2017-07-09_W.MP4$7336$7356","Salvation")</f>
        <v>Salvation</v>
      </c>
      <c r="E1552" s="3" t="s">
        <v>1805</v>
      </c>
      <c r="F1552" s="3" t="s">
        <v>3255</v>
      </c>
      <c r="G1552" s="3" t="s">
        <v>3256</v>
      </c>
    </row>
    <row r="1553" spans="1:7">
      <c r="A1553" s="6">
        <v>42925</v>
      </c>
      <c r="B1553" s="3" t="s">
        <v>2053</v>
      </c>
      <c r="C1553" s="3" t="s">
        <v>18</v>
      </c>
      <c r="D1553" s="8" t="str">
        <f>HYPERLINK("http://npthd.inbcu.com/ViewContent.aspx?filename=NPMR_CBS_2017-07-09_W.MP4$7356$7361","BIG BROTHER 19: 1906")</f>
        <v>BIG BROTHER 19: 1906</v>
      </c>
      <c r="E1553" s="3" t="s">
        <v>54</v>
      </c>
      <c r="F1553" s="3" t="s">
        <v>3256</v>
      </c>
      <c r="G1553" s="3" t="s">
        <v>3257</v>
      </c>
    </row>
    <row r="1554" spans="1:7">
      <c r="A1554" s="6">
        <v>42925</v>
      </c>
      <c r="B1554" s="3" t="s">
        <v>2053</v>
      </c>
      <c r="C1554" s="3" t="s">
        <v>14</v>
      </c>
      <c r="D1554" s="8" t="str">
        <f>HYPERLINK("http://npthd.inbcu.com/ViewContent.aspx?filename=NPMR_CBS_2017-07-09_W.MP4$7361$7366","Zoo")</f>
        <v>Zoo</v>
      </c>
      <c r="E1554" s="3" t="s">
        <v>54</v>
      </c>
      <c r="F1554" s="3" t="s">
        <v>3257</v>
      </c>
      <c r="G1554" s="3" t="s">
        <v>3258</v>
      </c>
    </row>
    <row r="1555" spans="1:7">
      <c r="A1555" s="6">
        <v>42925</v>
      </c>
      <c r="B1555" s="3" t="s">
        <v>2053</v>
      </c>
      <c r="C1555" s="3" t="s">
        <v>18</v>
      </c>
      <c r="D1555" s="8" t="str">
        <f>HYPERLINK("http://npthd.inbcu.com/ViewContent.aspx?filename=NPMR_CBS_2017-07-09_W.MP4$7366$8045","CANDY CRUSH: hundred gs, baby!")</f>
        <v>CANDY CRUSH: hundred gs, baby!</v>
      </c>
      <c r="E1555" s="3" t="s">
        <v>2491</v>
      </c>
      <c r="F1555" s="3" t="s">
        <v>3258</v>
      </c>
      <c r="G1555" s="3" t="s">
        <v>3259</v>
      </c>
    </row>
    <row r="1556" spans="1:7">
      <c r="A1556" s="6">
        <v>42925</v>
      </c>
      <c r="B1556" s="3" t="s">
        <v>2053</v>
      </c>
      <c r="C1556" s="3" t="s">
        <v>21</v>
      </c>
      <c r="D1556" s="8" t="str">
        <f>HYPERLINK("http://npthd.inbcu.com/ViewContent.aspx?filename=NPMR_CBS_2017-07-09_W.MP4$8045$8198","COMMERCIAL")</f>
        <v>COMMERCIAL</v>
      </c>
      <c r="E1556" s="3" t="s">
        <v>1735</v>
      </c>
      <c r="F1556" s="3" t="s">
        <v>3259</v>
      </c>
      <c r="G1556" s="3" t="s">
        <v>1636</v>
      </c>
    </row>
    <row r="1557" spans="1:7">
      <c r="A1557" s="6">
        <v>42925</v>
      </c>
      <c r="B1557" s="3" t="s">
        <v>2053</v>
      </c>
      <c r="C1557" s="3" t="s">
        <v>14</v>
      </c>
      <c r="D1557" s="8" t="str">
        <f>HYPERLINK("http://npthd.inbcu.com/ViewContent.aspx?filename=NPMR_CBS_2017-07-09_W.MP4$8198$8208","Late Show with Stephen Colbert")</f>
        <v>Late Show with Stephen Colbert</v>
      </c>
      <c r="E1557" s="3" t="s">
        <v>197</v>
      </c>
      <c r="F1557" s="3" t="s">
        <v>1636</v>
      </c>
      <c r="G1557" s="3" t="s">
        <v>3260</v>
      </c>
    </row>
    <row r="1558" spans="1:7">
      <c r="A1558" s="6">
        <v>42925</v>
      </c>
      <c r="B1558" s="3" t="s">
        <v>2053</v>
      </c>
      <c r="C1558" s="3" t="s">
        <v>14</v>
      </c>
      <c r="D1558" s="8" t="str">
        <f>HYPERLINK("http://npthd.inbcu.com/ViewContent.aspx?filename=NPMR_CBS_2017-07-09_W.MP4$8208$8238","Salvation")</f>
        <v>Salvation</v>
      </c>
      <c r="E1558" s="3" t="s">
        <v>38</v>
      </c>
      <c r="F1558" s="3" t="s">
        <v>3260</v>
      </c>
      <c r="G1558" s="3" t="s">
        <v>3261</v>
      </c>
    </row>
    <row r="1559" spans="1:7">
      <c r="A1559" s="6">
        <v>42925</v>
      </c>
      <c r="B1559" s="3" t="s">
        <v>2053</v>
      </c>
      <c r="C1559" s="3" t="s">
        <v>18</v>
      </c>
      <c r="D1559" s="8" t="str">
        <f>HYPERLINK("http://npthd.inbcu.com/ViewContent.aspx?filename=NPMR_CBS_2017-07-09_W.MP4$8238$8666","CANDY CRUSH: hundred gs, baby!")</f>
        <v>CANDY CRUSH: hundred gs, baby!</v>
      </c>
      <c r="E1559" s="3" t="s">
        <v>61</v>
      </c>
      <c r="F1559" s="3" t="s">
        <v>3261</v>
      </c>
      <c r="G1559" s="3" t="s">
        <v>3262</v>
      </c>
    </row>
    <row r="1560" spans="1:7">
      <c r="A1560" s="6">
        <v>42925</v>
      </c>
      <c r="B1560" s="3" t="s">
        <v>2053</v>
      </c>
      <c r="C1560" s="3" t="s">
        <v>21</v>
      </c>
      <c r="D1560" s="8" t="str">
        <f>HYPERLINK("http://npthd.inbcu.com/ViewContent.aspx?filename=NPMR_CBS_2017-07-09_W.MP4$8666$8848","COMMERCIAL")</f>
        <v>COMMERCIAL</v>
      </c>
      <c r="E1560" s="3" t="s">
        <v>275</v>
      </c>
      <c r="F1560" s="3" t="s">
        <v>3262</v>
      </c>
      <c r="G1560" s="3" t="s">
        <v>165</v>
      </c>
    </row>
    <row r="1561" spans="1:7">
      <c r="A1561" s="6">
        <v>42925</v>
      </c>
      <c r="B1561" s="3" t="s">
        <v>2053</v>
      </c>
      <c r="C1561" s="3" t="s">
        <v>14</v>
      </c>
      <c r="D1561" s="8" t="str">
        <f>HYPERLINK("http://npthd.inbcu.com/ViewContent.aspx?filename=NPMR_CBS_2017-07-09_W.MP4$8848$8869","Big Brother")</f>
        <v>Big Brother</v>
      </c>
      <c r="E1561" s="3" t="s">
        <v>2067</v>
      </c>
      <c r="F1561" s="3" t="s">
        <v>165</v>
      </c>
      <c r="G1561" s="3" t="s">
        <v>2582</v>
      </c>
    </row>
    <row r="1562" spans="1:7">
      <c r="A1562" s="6">
        <v>42925</v>
      </c>
      <c r="B1562" s="3" t="s">
        <v>2053</v>
      </c>
      <c r="C1562" s="3" t="s">
        <v>18</v>
      </c>
      <c r="D1562" s="8" t="str">
        <f>HYPERLINK("http://npthd.inbcu.com/ViewContent.aspx?filename=NPMR_CBS_2017-07-09_W.MP4$8869$9284","CANDY CRUSH: hundred gs, baby!")</f>
        <v>CANDY CRUSH: hundred gs, baby!</v>
      </c>
      <c r="E1562" s="3" t="s">
        <v>2146</v>
      </c>
      <c r="F1562" s="3" t="s">
        <v>2582</v>
      </c>
      <c r="G1562" s="3" t="s">
        <v>3263</v>
      </c>
    </row>
    <row r="1563" spans="1:7">
      <c r="A1563" s="6">
        <v>42925</v>
      </c>
      <c r="B1563" s="3" t="s">
        <v>2053</v>
      </c>
      <c r="C1563" s="3" t="s">
        <v>21</v>
      </c>
      <c r="D1563" s="8" t="str">
        <f>HYPERLINK("http://npthd.inbcu.com/ViewContent.aspx?filename=NPMR_CBS_2017-07-09_W.MP4$9284$9406","COMMERCIAL")</f>
        <v>COMMERCIAL</v>
      </c>
      <c r="E1563" s="3" t="s">
        <v>252</v>
      </c>
      <c r="F1563" s="3" t="s">
        <v>3263</v>
      </c>
      <c r="G1563" s="3" t="s">
        <v>3264</v>
      </c>
    </row>
    <row r="1564" spans="1:7">
      <c r="A1564" s="6">
        <v>42925</v>
      </c>
      <c r="B1564" s="3" t="s">
        <v>2053</v>
      </c>
      <c r="C1564" s="3" t="s">
        <v>14</v>
      </c>
      <c r="D1564" s="8" t="str">
        <f>HYPERLINK("http://npthd.inbcu.com/ViewContent.aspx?filename=NPMR_CBS_2017-07-09_W.MP4$9406$9417","Late Show with Stephen Colbert")</f>
        <v>Late Show with Stephen Colbert</v>
      </c>
      <c r="E1564" s="3" t="s">
        <v>1940</v>
      </c>
      <c r="F1564" s="3" t="s">
        <v>3264</v>
      </c>
      <c r="G1564" s="3" t="s">
        <v>3265</v>
      </c>
    </row>
    <row r="1565" spans="1:7">
      <c r="A1565" s="6">
        <v>42925</v>
      </c>
      <c r="B1565" s="3" t="s">
        <v>2053</v>
      </c>
      <c r="C1565" s="3" t="s">
        <v>14</v>
      </c>
      <c r="D1565" s="8" t="str">
        <f>HYPERLINK("http://npthd.inbcu.com/ViewContent.aspx?filename=NPMR_CBS_2017-07-09_W.MP4$9417$9447","Salvation")</f>
        <v>Salvation</v>
      </c>
      <c r="E1565" s="3" t="s">
        <v>38</v>
      </c>
      <c r="F1565" s="3" t="s">
        <v>3265</v>
      </c>
      <c r="G1565" s="3" t="s">
        <v>3266</v>
      </c>
    </row>
    <row r="1566" spans="1:7">
      <c r="A1566" s="6">
        <v>42925</v>
      </c>
      <c r="B1566" s="3" t="s">
        <v>2053</v>
      </c>
      <c r="C1566" s="3" t="s">
        <v>32</v>
      </c>
      <c r="D1566" s="8" t="str">
        <f>HYPERLINK("http://npthd.inbcu.com/ViewContent.aspx?filename=NPMR_CBS_2017-07-09_W.MP4$9447$9542","LOCAL")</f>
        <v>LOCAL</v>
      </c>
      <c r="E1566" s="3" t="s">
        <v>2076</v>
      </c>
      <c r="F1566" s="3" t="s">
        <v>3266</v>
      </c>
      <c r="G1566" s="3" t="s">
        <v>3267</v>
      </c>
    </row>
    <row r="1567" spans="1:7">
      <c r="A1567" s="6">
        <v>42925</v>
      </c>
      <c r="B1567" s="3" t="s">
        <v>2053</v>
      </c>
      <c r="C1567" s="3" t="s">
        <v>18</v>
      </c>
      <c r="D1567" s="8" t="str">
        <f>HYPERLINK("http://npthd.inbcu.com/ViewContent.aspx?filename=NPMR_CBS_2017-07-09_W.MP4$9542$9875","CANDY CRUSH: hundred gs, baby!")</f>
        <v>CANDY CRUSH: hundred gs, baby!</v>
      </c>
      <c r="E1567" s="3" t="s">
        <v>515</v>
      </c>
      <c r="F1567" s="3" t="s">
        <v>3267</v>
      </c>
      <c r="G1567" s="3" t="s">
        <v>3268</v>
      </c>
    </row>
    <row r="1568" spans="1:7">
      <c r="A1568" s="6">
        <v>42925</v>
      </c>
      <c r="B1568" s="3" t="s">
        <v>2053</v>
      </c>
      <c r="C1568" s="3" t="s">
        <v>21</v>
      </c>
      <c r="D1568" s="8" t="str">
        <f>HYPERLINK("http://npthd.inbcu.com/ViewContent.aspx?filename=NPMR_CBS_2017-07-09_W.MP4$9875$9998","COMMERCIAL")</f>
        <v>COMMERCIAL</v>
      </c>
      <c r="E1568" s="3" t="s">
        <v>2722</v>
      </c>
      <c r="F1568" s="3" t="s">
        <v>3268</v>
      </c>
      <c r="G1568" s="3" t="s">
        <v>3269</v>
      </c>
    </row>
    <row r="1569" spans="1:7">
      <c r="A1569" s="6">
        <v>42925</v>
      </c>
      <c r="B1569" s="3" t="s">
        <v>2053</v>
      </c>
      <c r="C1569" s="3" t="s">
        <v>14</v>
      </c>
      <c r="D1569" s="8" t="str">
        <f>HYPERLINK("http://npthd.inbcu.com/ViewContent.aspx?filename=NPMR_CBS_2017-07-09_W.MP4$9998$10008","Big Brother")</f>
        <v>Big Brother</v>
      </c>
      <c r="E1569" s="3" t="s">
        <v>197</v>
      </c>
      <c r="F1569" s="3" t="s">
        <v>3269</v>
      </c>
      <c r="G1569" s="3" t="s">
        <v>3270</v>
      </c>
    </row>
    <row r="1570" spans="1:7">
      <c r="A1570" s="6">
        <v>42925</v>
      </c>
      <c r="B1570" s="3" t="s">
        <v>2053</v>
      </c>
      <c r="C1570" s="3" t="s">
        <v>14</v>
      </c>
      <c r="D1570" s="8" t="str">
        <f>HYPERLINK("http://npthd.inbcu.com/ViewContent.aspx?filename=NPMR_CBS_2017-07-09_W.MP4$10008$10028","Wisdom of the Crowd")</f>
        <v>Wisdom of the Crowd</v>
      </c>
      <c r="E1570" s="3" t="s">
        <v>1805</v>
      </c>
      <c r="F1570" s="3" t="s">
        <v>3270</v>
      </c>
      <c r="G1570" s="3" t="s">
        <v>3271</v>
      </c>
    </row>
    <row r="1571" spans="1:7">
      <c r="A1571" s="6">
        <v>42925</v>
      </c>
      <c r="B1571" s="3" t="s">
        <v>2053</v>
      </c>
      <c r="C1571" s="3" t="s">
        <v>32</v>
      </c>
      <c r="D1571" s="8" t="str">
        <f>HYPERLINK("http://npthd.inbcu.com/ViewContent.aspx?filename=NPMR_CBS_2017-07-09_W.MP4$10028$10122","LOCAL")</f>
        <v>LOCAL</v>
      </c>
      <c r="E1571" s="3" t="s">
        <v>1917</v>
      </c>
      <c r="F1571" s="3" t="s">
        <v>3271</v>
      </c>
      <c r="G1571" s="3" t="s">
        <v>3272</v>
      </c>
    </row>
    <row r="1572" spans="1:7">
      <c r="A1572" s="6">
        <v>42925</v>
      </c>
      <c r="B1572" s="3" t="s">
        <v>2053</v>
      </c>
      <c r="C1572" s="3" t="s">
        <v>18</v>
      </c>
      <c r="D1572" s="8" t="str">
        <f>HYPERLINK("http://npthd.inbcu.com/ViewContent.aspx?filename=NPMR_CBS_2017-07-09_W.MP4$10122$10643","CANDY CRUSH: hundred gs, baby!")</f>
        <v>CANDY CRUSH: hundred gs, baby!</v>
      </c>
      <c r="E1572" s="3" t="s">
        <v>3273</v>
      </c>
      <c r="F1572" s="3" t="s">
        <v>3272</v>
      </c>
      <c r="G1572" s="3" t="s">
        <v>1363</v>
      </c>
    </row>
    <row r="1573" spans="1:7">
      <c r="A1573" s="6">
        <v>42925</v>
      </c>
      <c r="B1573" s="3" t="s">
        <v>2053</v>
      </c>
      <c r="C1573" s="3" t="s">
        <v>21</v>
      </c>
      <c r="D1573" s="8" t="str">
        <f>HYPERLINK("http://npthd.inbcu.com/ViewContent.aspx?filename=NPMR_CBS_2017-07-09_W.MP4$10643$10764","COMMERCIAL")</f>
        <v>COMMERCIAL</v>
      </c>
      <c r="E1573" s="3" t="s">
        <v>175</v>
      </c>
      <c r="F1573" s="3" t="s">
        <v>1363</v>
      </c>
      <c r="G1573" s="3" t="s">
        <v>1364</v>
      </c>
    </row>
    <row r="1574" spans="1:7">
      <c r="A1574" s="6">
        <v>42925</v>
      </c>
      <c r="B1574" s="3" t="s">
        <v>2053</v>
      </c>
      <c r="C1574" s="3" t="s">
        <v>14</v>
      </c>
      <c r="D1574" s="8" t="str">
        <f>HYPERLINK("http://npthd.inbcu.com/ViewContent.aspx?filename=NPMR_CBS_2017-07-09_W.MP4$10764$10784","Salvation")</f>
        <v>Salvation</v>
      </c>
      <c r="E1574" s="3" t="s">
        <v>1805</v>
      </c>
      <c r="F1574" s="3" t="s">
        <v>1364</v>
      </c>
      <c r="G1574" s="3" t="s">
        <v>1232</v>
      </c>
    </row>
    <row r="1575" spans="1:7">
      <c r="A1575" s="6">
        <v>42925</v>
      </c>
      <c r="B1575" s="3" t="s">
        <v>2053</v>
      </c>
      <c r="C1575" s="3" t="s">
        <v>14</v>
      </c>
      <c r="D1575" s="8" t="str">
        <f>HYPERLINK("http://npthd.inbcu.com/ViewContent.aspx?filename=NPMR_CBS_2017-07-09_W.MP4$10784$10794","Young Sheldon")</f>
        <v>Young Sheldon</v>
      </c>
      <c r="E1575" s="3" t="s">
        <v>197</v>
      </c>
      <c r="F1575" s="3" t="s">
        <v>1232</v>
      </c>
      <c r="G1575" s="3" t="s">
        <v>2479</v>
      </c>
    </row>
    <row r="1576" spans="1:7">
      <c r="A1576" s="6">
        <v>42925</v>
      </c>
      <c r="B1576" s="3" t="s">
        <v>2053</v>
      </c>
      <c r="C1576" s="3" t="s">
        <v>14</v>
      </c>
      <c r="D1576" s="8" t="str">
        <f>HYPERLINK("http://npthd.inbcu.com/ViewContent.aspx?filename=NPMR_CBS_2017-07-09_W.MP4$10794$10814","Candy Crush")</f>
        <v>Candy Crush</v>
      </c>
      <c r="E1576" s="3" t="s">
        <v>1805</v>
      </c>
      <c r="F1576" s="3" t="s">
        <v>2479</v>
      </c>
      <c r="G1576" s="3" t="s">
        <v>2299</v>
      </c>
    </row>
    <row r="1577" spans="1:7">
      <c r="A1577" s="6">
        <v>42925</v>
      </c>
      <c r="B1577" s="3" t="s">
        <v>2053</v>
      </c>
      <c r="C1577" s="3" t="s">
        <v>14</v>
      </c>
      <c r="D1577" s="8" t="str">
        <f>HYPERLINK("http://npthd.inbcu.com/ViewContent.aspx?filename=NPMR_CBS_2017-07-09_W.MP4$10814$10836","Kevin Can Wait")</f>
        <v>Kevin Can Wait</v>
      </c>
      <c r="E1577" s="3" t="s">
        <v>2124</v>
      </c>
      <c r="F1577" s="3" t="s">
        <v>2299</v>
      </c>
      <c r="G1577" s="3" t="s">
        <v>750</v>
      </c>
    </row>
    <row r="1578" spans="1:7">
      <c r="A1578" s="6">
        <v>42925</v>
      </c>
      <c r="B1578" s="3" t="s">
        <v>2053</v>
      </c>
      <c r="C1578" s="3" t="s">
        <v>18</v>
      </c>
      <c r="D1578" s="8" t="str">
        <f>HYPERLINK("http://npthd.inbcu.com/ViewContent.aspx?filename=NPMR_CBS_2017-07-09_W.MP4$10836$10841","CANDY CRUSH: hundred gs, baby!")</f>
        <v>CANDY CRUSH: hundred gs, baby!</v>
      </c>
      <c r="E1578" s="3" t="s">
        <v>54</v>
      </c>
      <c r="F1578" s="3" t="s">
        <v>750</v>
      </c>
      <c r="G1578" s="3" t="s">
        <v>394</v>
      </c>
    </row>
    <row r="1579" spans="1:7">
      <c r="A1579" s="6">
        <v>42925</v>
      </c>
      <c r="B1579" s="3" t="s">
        <v>2053</v>
      </c>
      <c r="C1579" s="3" t="s">
        <v>14</v>
      </c>
      <c r="D1579" s="8" t="str">
        <f>HYPERLINK("http://npthd.inbcu.com/ViewContent.aspx?filename=NPMR_CBS_2017-07-09_W.MP4$10841$10846","Late Show with Stephen Colbert")</f>
        <v>Late Show with Stephen Colbert</v>
      </c>
      <c r="E1579" s="3" t="s">
        <v>54</v>
      </c>
      <c r="F1579" s="3" t="s">
        <v>394</v>
      </c>
      <c r="G1579" s="3" t="s">
        <v>395</v>
      </c>
    </row>
    <row r="1580" spans="1:7">
      <c r="A1580" s="6">
        <v>42925</v>
      </c>
      <c r="B1580" s="3" t="s">
        <v>2053</v>
      </c>
      <c r="C1580" s="3" t="s">
        <v>18</v>
      </c>
      <c r="D1580" s="8" t="str">
        <f>HYPERLINK("http://npthd.inbcu.com/ViewContent.aspx?filename=NPMR_CBS_2017-07-09_W.MP4$10846$11356","NCIS: LA: hot water")</f>
        <v>NCIS: LA: hot water</v>
      </c>
      <c r="E1580" s="3" t="s">
        <v>1888</v>
      </c>
      <c r="F1580" s="3" t="s">
        <v>395</v>
      </c>
      <c r="G1580" s="3" t="s">
        <v>3274</v>
      </c>
    </row>
    <row r="1581" spans="1:7">
      <c r="A1581" s="6">
        <v>42925</v>
      </c>
      <c r="B1581" s="3" t="s">
        <v>2053</v>
      </c>
      <c r="C1581" s="3" t="s">
        <v>21</v>
      </c>
      <c r="D1581" s="8" t="str">
        <f>HYPERLINK("http://npthd.inbcu.com/ViewContent.aspx?filename=NPMR_CBS_2017-07-09_W.MP4$11356$11507","COMMERCIAL")</f>
        <v>COMMERCIAL</v>
      </c>
      <c r="E1581" s="3" t="s">
        <v>91</v>
      </c>
      <c r="F1581" s="3" t="s">
        <v>3274</v>
      </c>
      <c r="G1581" s="3" t="s">
        <v>1013</v>
      </c>
    </row>
    <row r="1582" spans="1:7">
      <c r="A1582" s="6">
        <v>42925</v>
      </c>
      <c r="B1582" s="3" t="s">
        <v>2053</v>
      </c>
      <c r="C1582" s="3" t="s">
        <v>14</v>
      </c>
      <c r="D1582" s="8" t="str">
        <f>HYPERLINK("http://npthd.inbcu.com/ViewContent.aspx?filename=NPMR_CBS_2017-07-09_W.MP4$11507$11522","Salvation")</f>
        <v>Salvation</v>
      </c>
      <c r="E1582" s="3" t="s">
        <v>30</v>
      </c>
      <c r="F1582" s="3" t="s">
        <v>1013</v>
      </c>
      <c r="G1582" s="3" t="s">
        <v>1014</v>
      </c>
    </row>
    <row r="1583" spans="1:7">
      <c r="A1583" s="6">
        <v>42925</v>
      </c>
      <c r="B1583" s="3" t="s">
        <v>2053</v>
      </c>
      <c r="C1583" s="3" t="s">
        <v>18</v>
      </c>
      <c r="D1583" s="8" t="str">
        <f>HYPERLINK("http://npthd.inbcu.com/ViewContent.aspx?filename=NPMR_CBS_2017-07-09_W.MP4$11522$11988","NCIS: LA: hot water")</f>
        <v>NCIS: LA: hot water</v>
      </c>
      <c r="E1583" s="3" t="s">
        <v>2515</v>
      </c>
      <c r="F1583" s="3" t="s">
        <v>1014</v>
      </c>
      <c r="G1583" s="3" t="s">
        <v>1925</v>
      </c>
    </row>
    <row r="1584" spans="1:7">
      <c r="A1584" s="6">
        <v>42925</v>
      </c>
      <c r="B1584" s="3" t="s">
        <v>2053</v>
      </c>
      <c r="C1584" s="3" t="s">
        <v>21</v>
      </c>
      <c r="D1584" s="8" t="str">
        <f>HYPERLINK("http://npthd.inbcu.com/ViewContent.aspx?filename=NPMR_CBS_2017-07-09_W.MP4$11988$12169","COMMERCIAL")</f>
        <v>COMMERCIAL</v>
      </c>
      <c r="E1584" s="3" t="s">
        <v>108</v>
      </c>
      <c r="F1584" s="3" t="s">
        <v>1925</v>
      </c>
      <c r="G1584" s="3" t="s">
        <v>3275</v>
      </c>
    </row>
    <row r="1585" spans="1:7">
      <c r="A1585" s="6">
        <v>42925</v>
      </c>
      <c r="B1585" s="3" t="s">
        <v>2053</v>
      </c>
      <c r="C1585" s="3" t="s">
        <v>14</v>
      </c>
      <c r="D1585" s="8" t="str">
        <f>HYPERLINK("http://npthd.inbcu.com/ViewContent.aspx?filename=NPMR_CBS_2017-07-09_W.MP4$12169$12186","Big Brother")</f>
        <v>Big Brother</v>
      </c>
      <c r="E1585" s="3" t="s">
        <v>576</v>
      </c>
      <c r="F1585" s="3" t="s">
        <v>3275</v>
      </c>
      <c r="G1585" s="3" t="s">
        <v>3276</v>
      </c>
    </row>
    <row r="1586" spans="1:7">
      <c r="A1586" s="6">
        <v>42925</v>
      </c>
      <c r="B1586" s="3" t="s">
        <v>2053</v>
      </c>
      <c r="C1586" s="3" t="s">
        <v>18</v>
      </c>
      <c r="D1586" s="8" t="str">
        <f>HYPERLINK("http://npthd.inbcu.com/ViewContent.aspx?filename=NPMR_CBS_2017-07-09_W.MP4$12186$12631","NCIS: LA: hot water")</f>
        <v>NCIS: LA: hot water</v>
      </c>
      <c r="E1586" s="3" t="s">
        <v>426</v>
      </c>
      <c r="F1586" s="3" t="s">
        <v>3276</v>
      </c>
      <c r="G1586" s="3" t="s">
        <v>3277</v>
      </c>
    </row>
    <row r="1587" spans="1:7">
      <c r="A1587" s="6">
        <v>42925</v>
      </c>
      <c r="B1587" s="3" t="s">
        <v>2053</v>
      </c>
      <c r="C1587" s="3" t="s">
        <v>21</v>
      </c>
      <c r="D1587" s="8" t="str">
        <f>HYPERLINK("http://npthd.inbcu.com/ViewContent.aspx?filename=NPMR_CBS_2017-07-09_W.MP4$12631$12782","COMMERCIAL")</f>
        <v>COMMERCIAL</v>
      </c>
      <c r="E1587" s="3" t="s">
        <v>91</v>
      </c>
      <c r="F1587" s="3" t="s">
        <v>3277</v>
      </c>
      <c r="G1587" s="3" t="s">
        <v>1525</v>
      </c>
    </row>
    <row r="1588" spans="1:7">
      <c r="A1588" s="6">
        <v>42925</v>
      </c>
      <c r="B1588" s="3" t="s">
        <v>2053</v>
      </c>
      <c r="C1588" s="3" t="s">
        <v>14</v>
      </c>
      <c r="D1588" s="8" t="str">
        <f>HYPERLINK("http://npthd.inbcu.com/ViewContent.aspx?filename=NPMR_CBS_2017-07-09_W.MP4$12782$12793","Late Show with Stephen Colbert")</f>
        <v>Late Show with Stephen Colbert</v>
      </c>
      <c r="E1588" s="3" t="s">
        <v>1940</v>
      </c>
      <c r="F1588" s="3" t="s">
        <v>1525</v>
      </c>
      <c r="G1588" s="3" t="s">
        <v>1593</v>
      </c>
    </row>
    <row r="1589" spans="1:7">
      <c r="A1589" s="6">
        <v>42925</v>
      </c>
      <c r="B1589" s="3" t="s">
        <v>2053</v>
      </c>
      <c r="C1589" s="3" t="s">
        <v>14</v>
      </c>
      <c r="D1589" s="8" t="str">
        <f>HYPERLINK("http://npthd.inbcu.com/ViewContent.aspx?filename=NPMR_CBS_2017-07-09_W.MP4$12793$12803","Seal Team")</f>
        <v>Seal Team</v>
      </c>
      <c r="E1589" s="3" t="s">
        <v>197</v>
      </c>
      <c r="F1589" s="3" t="s">
        <v>1593</v>
      </c>
      <c r="G1589" s="3" t="s">
        <v>3278</v>
      </c>
    </row>
    <row r="1590" spans="1:7">
      <c r="A1590" s="6">
        <v>42925</v>
      </c>
      <c r="B1590" s="3" t="s">
        <v>2053</v>
      </c>
      <c r="C1590" s="3" t="s">
        <v>32</v>
      </c>
      <c r="D1590" s="8" t="str">
        <f>HYPERLINK("http://npthd.inbcu.com/ViewContent.aspx?filename=NPMR_CBS_2017-07-09_W.MP4$12803$12913","LOCAL")</f>
        <v>LOCAL</v>
      </c>
      <c r="E1590" s="3" t="s">
        <v>558</v>
      </c>
      <c r="F1590" s="3" t="s">
        <v>3278</v>
      </c>
      <c r="G1590" s="3" t="s">
        <v>3279</v>
      </c>
    </row>
    <row r="1591" spans="1:7">
      <c r="A1591" s="6">
        <v>42925</v>
      </c>
      <c r="B1591" s="3" t="s">
        <v>2053</v>
      </c>
      <c r="C1591" s="3" t="s">
        <v>18</v>
      </c>
      <c r="D1591" s="8" t="str">
        <f>HYPERLINK("http://npthd.inbcu.com/ViewContent.aspx?filename=NPMR_CBS_2017-07-09_W.MP4$12913$13619","NCIS: LA: hot water")</f>
        <v>NCIS: LA: hot water</v>
      </c>
      <c r="E1591" s="3" t="s">
        <v>2560</v>
      </c>
      <c r="F1591" s="3" t="s">
        <v>3279</v>
      </c>
      <c r="G1591" s="3" t="s">
        <v>1879</v>
      </c>
    </row>
    <row r="1592" spans="1:7">
      <c r="A1592" s="6">
        <v>42925</v>
      </c>
      <c r="B1592" s="3" t="s">
        <v>2053</v>
      </c>
      <c r="C1592" s="3" t="s">
        <v>21</v>
      </c>
      <c r="D1592" s="8" t="str">
        <f>HYPERLINK("http://npthd.inbcu.com/ViewContent.aspx?filename=NPMR_CBS_2017-07-09_W.MP4$13619$13816","COMMERCIAL")</f>
        <v>COMMERCIAL</v>
      </c>
      <c r="E1592" s="3" t="s">
        <v>2354</v>
      </c>
      <c r="F1592" s="3" t="s">
        <v>1879</v>
      </c>
      <c r="G1592" s="3" t="s">
        <v>3280</v>
      </c>
    </row>
    <row r="1593" spans="1:7">
      <c r="A1593" s="6">
        <v>42925</v>
      </c>
      <c r="B1593" s="3" t="s">
        <v>2053</v>
      </c>
      <c r="C1593" s="3" t="s">
        <v>14</v>
      </c>
      <c r="D1593" s="8" t="str">
        <f>HYPERLINK("http://npthd.inbcu.com/ViewContent.aspx?filename=NPMR_CBS_2017-07-09_W.MP4$13816$13836","Salvation")</f>
        <v>Salvation</v>
      </c>
      <c r="E1593" s="3" t="s">
        <v>1805</v>
      </c>
      <c r="F1593" s="3" t="s">
        <v>3280</v>
      </c>
      <c r="G1593" s="3" t="s">
        <v>2119</v>
      </c>
    </row>
    <row r="1594" spans="1:7">
      <c r="A1594" s="6">
        <v>42925</v>
      </c>
      <c r="B1594" s="3" t="s">
        <v>2053</v>
      </c>
      <c r="C1594" s="3" t="s">
        <v>32</v>
      </c>
      <c r="D1594" s="8" t="str">
        <f>HYPERLINK("http://npthd.inbcu.com/ViewContent.aspx?filename=NPMR_CBS_2017-07-09_W.MP4$13836$13930","LOCAL")</f>
        <v>LOCAL</v>
      </c>
      <c r="E1594" s="3" t="s">
        <v>1917</v>
      </c>
      <c r="F1594" s="3" t="s">
        <v>2119</v>
      </c>
      <c r="G1594" s="3" t="s">
        <v>3281</v>
      </c>
    </row>
    <row r="1595" spans="1:7">
      <c r="A1595" s="6">
        <v>42925</v>
      </c>
      <c r="B1595" s="3" t="s">
        <v>2053</v>
      </c>
      <c r="C1595" s="3" t="s">
        <v>18</v>
      </c>
      <c r="D1595" s="8" t="str">
        <f>HYPERLINK("http://npthd.inbcu.com/ViewContent.aspx?filename=NPMR_CBS_2017-07-09_W.MP4$13930$14326","NCIS: LA: hot water")</f>
        <v>NCIS: LA: hot water</v>
      </c>
      <c r="E1595" s="3" t="s">
        <v>3282</v>
      </c>
      <c r="F1595" s="3" t="s">
        <v>3281</v>
      </c>
      <c r="G1595" s="3" t="s">
        <v>2606</v>
      </c>
    </row>
    <row r="1596" spans="1:7">
      <c r="A1596" s="6">
        <v>42925</v>
      </c>
      <c r="B1596" s="3" t="s">
        <v>2053</v>
      </c>
      <c r="C1596" s="3" t="s">
        <v>32</v>
      </c>
      <c r="D1596" s="8" t="str">
        <f>HYPERLINK("http://npthd.inbcu.com/ViewContent.aspx?filename=NPMR_CBS_2017-07-09_W.MP4$14326$14337","LOCAL")</f>
        <v>LOCAL</v>
      </c>
      <c r="E1596" s="3" t="s">
        <v>1940</v>
      </c>
      <c r="F1596" s="3" t="s">
        <v>2606</v>
      </c>
      <c r="G1596" s="3" t="s">
        <v>2123</v>
      </c>
    </row>
    <row r="1597" spans="1:7">
      <c r="A1597" s="6">
        <v>42925</v>
      </c>
      <c r="B1597" s="3" t="s">
        <v>2053</v>
      </c>
      <c r="C1597" s="3" t="s">
        <v>21</v>
      </c>
      <c r="D1597" s="8" t="str">
        <f>HYPERLINK("http://npthd.inbcu.com/ViewContent.aspx?filename=NPMR_CBS_2017-07-09_W.MP4$14337$14397","COMMERCIAL")</f>
        <v>COMMERCIAL</v>
      </c>
      <c r="E1597" s="3" t="s">
        <v>66</v>
      </c>
      <c r="F1597" s="3" t="s">
        <v>2123</v>
      </c>
      <c r="G1597" s="3" t="s">
        <v>938</v>
      </c>
    </row>
    <row r="1598" spans="1:7">
      <c r="A1598" s="6">
        <v>42925</v>
      </c>
      <c r="B1598" s="3" t="s">
        <v>2053</v>
      </c>
      <c r="C1598" s="3" t="s">
        <v>14</v>
      </c>
      <c r="D1598" s="8" t="str">
        <f>HYPERLINK("http://npthd.inbcu.com/ViewContent.aspx?filename=NPMR_CBS_2017-07-09_W.MP4$14397$14403","Late Show with Stephen Colbert")</f>
        <v>Late Show with Stephen Colbert</v>
      </c>
      <c r="E1598" s="3" t="s">
        <v>15</v>
      </c>
      <c r="F1598" s="3" t="s">
        <v>938</v>
      </c>
      <c r="G1598" s="3" t="s">
        <v>773</v>
      </c>
    </row>
    <row r="1599" spans="1:7">
      <c r="A1599" s="6">
        <v>42925</v>
      </c>
      <c r="B1599" s="3" t="s">
        <v>2053</v>
      </c>
      <c r="C1599" s="3" t="s">
        <v>14</v>
      </c>
      <c r="D1599" s="8" t="str">
        <f>HYPERLINK("http://npthd.inbcu.com/ViewContent.aspx?filename=NPMR_CBS_2017-07-09_W.MP4$14403$14425","Kevin Can Wait")</f>
        <v>Kevin Can Wait</v>
      </c>
      <c r="E1599" s="3" t="s">
        <v>2124</v>
      </c>
      <c r="F1599" s="3" t="s">
        <v>773</v>
      </c>
      <c r="G1599" s="3" t="s">
        <v>1181</v>
      </c>
    </row>
    <row r="1600" spans="1:7">
      <c r="A1600" s="6">
        <v>42925</v>
      </c>
      <c r="B1600" s="3" t="s">
        <v>2053</v>
      </c>
      <c r="C1600" s="3" t="s">
        <v>18</v>
      </c>
      <c r="D1600" s="8" t="str">
        <f>HYPERLINK("http://npthd.inbcu.com/ViewContent.aspx?filename=NPMR_CBS_2017-07-09_W.MP4$14425$14431","NCIS: LA: hot water")</f>
        <v>NCIS: LA: hot water</v>
      </c>
      <c r="E1600" s="3" t="s">
        <v>15</v>
      </c>
      <c r="F1600" s="3" t="s">
        <v>1181</v>
      </c>
      <c r="G1600" s="3" t="s">
        <v>3163</v>
      </c>
    </row>
    <row r="1601" spans="1:7">
      <c r="A1601" s="6">
        <v>42925</v>
      </c>
      <c r="B1601" s="3" t="s">
        <v>2053</v>
      </c>
      <c r="C1601" s="3" t="s">
        <v>32</v>
      </c>
      <c r="D1601" s="8" t="str">
        <f>HYPERLINK("http://npthd.inbcu.com/ViewContent.aspx?filename=NPMR_CBS_2017-07-09_W.MP4$14431$14441","LOCAL")</f>
        <v>LOCAL</v>
      </c>
      <c r="E1601" s="3" t="s">
        <v>197</v>
      </c>
      <c r="F1601" s="3" t="s">
        <v>3163</v>
      </c>
      <c r="G1601" s="3" t="s">
        <v>124</v>
      </c>
    </row>
    <row r="1602" spans="1:7">
      <c r="A1602" s="6">
        <v>42926</v>
      </c>
      <c r="B1602" s="3" t="s">
        <v>2053</v>
      </c>
      <c r="C1602" s="3" t="s">
        <v>18</v>
      </c>
      <c r="D1602" s="8" t="str">
        <f>HYPERLINK("http://npthd.inbcu.com/ViewContent.aspx?filename=NPMR_CBS_2017-07-10_E.MP4$90$660","KEVIN CAN WAIT: hallow-we-aint-home")</f>
        <v>KEVIN CAN WAIT: hallow-we-aint-home</v>
      </c>
      <c r="E1602" s="3" t="s">
        <v>3283</v>
      </c>
      <c r="F1602" s="3" t="s">
        <v>16</v>
      </c>
      <c r="G1602" s="3" t="s">
        <v>1106</v>
      </c>
    </row>
    <row r="1603" spans="1:7">
      <c r="A1603" s="6">
        <v>42926</v>
      </c>
      <c r="B1603" s="3" t="s">
        <v>2053</v>
      </c>
      <c r="C1603" s="3" t="s">
        <v>21</v>
      </c>
      <c r="D1603" s="8" t="str">
        <f>HYPERLINK("http://npthd.inbcu.com/ViewContent.aspx?filename=NPMR_CBS_2017-07-10_E.MP4$660$752","COMMERCIAL")</f>
        <v>COMMERCIAL</v>
      </c>
      <c r="E1603" s="3" t="s">
        <v>267</v>
      </c>
      <c r="F1603" s="3" t="s">
        <v>1106</v>
      </c>
      <c r="G1603" s="3" t="s">
        <v>3284</v>
      </c>
    </row>
    <row r="1604" spans="1:7">
      <c r="A1604" s="6">
        <v>42926</v>
      </c>
      <c r="B1604" s="3" t="s">
        <v>2053</v>
      </c>
      <c r="C1604" s="3" t="s">
        <v>14</v>
      </c>
      <c r="D1604" s="8" t="str">
        <f>HYPERLINK("http://npthd.inbcu.com/ViewContent.aspx?filename=NPMR_CBS_2017-07-10_E.MP4$752$782","Salvation")</f>
        <v>Salvation</v>
      </c>
      <c r="E1604" s="3" t="s">
        <v>38</v>
      </c>
      <c r="F1604" s="3" t="s">
        <v>3284</v>
      </c>
      <c r="G1604" s="3" t="s">
        <v>3285</v>
      </c>
    </row>
    <row r="1605" spans="1:7">
      <c r="A1605" s="6">
        <v>42926</v>
      </c>
      <c r="B1605" s="3" t="s">
        <v>2053</v>
      </c>
      <c r="C1605" s="3" t="s">
        <v>14</v>
      </c>
      <c r="D1605" s="8" t="str">
        <f>HYPERLINK("http://npthd.inbcu.com/ViewContent.aspx?filename=NPMR_CBS_2017-07-10_E.MP4$782$792","Young Sheldon")</f>
        <v>Young Sheldon</v>
      </c>
      <c r="E1605" s="3" t="s">
        <v>197</v>
      </c>
      <c r="F1605" s="3" t="s">
        <v>3285</v>
      </c>
      <c r="G1605" s="3" t="s">
        <v>3286</v>
      </c>
    </row>
    <row r="1606" spans="1:7">
      <c r="A1606" s="6">
        <v>42926</v>
      </c>
      <c r="B1606" s="3" t="s">
        <v>2053</v>
      </c>
      <c r="C1606" s="3" t="s">
        <v>18</v>
      </c>
      <c r="D1606" s="8" t="str">
        <f>HYPERLINK("http://npthd.inbcu.com/ViewContent.aspx?filename=NPMR_CBS_2017-07-10_E.MP4$792$1140","KEVIN CAN WAIT: hallow-we-aint-home")</f>
        <v>KEVIN CAN WAIT: hallow-we-aint-home</v>
      </c>
      <c r="E1606" s="3" t="s">
        <v>442</v>
      </c>
      <c r="F1606" s="3" t="s">
        <v>3286</v>
      </c>
      <c r="G1606" s="3" t="s">
        <v>3287</v>
      </c>
    </row>
    <row r="1607" spans="1:7">
      <c r="A1607" s="6">
        <v>42926</v>
      </c>
      <c r="B1607" s="3" t="s">
        <v>2053</v>
      </c>
      <c r="C1607" s="3" t="s">
        <v>21</v>
      </c>
      <c r="D1607" s="8" t="str">
        <f>HYPERLINK("http://npthd.inbcu.com/ViewContent.aspx?filename=NPMR_CBS_2017-07-10_E.MP4$1140$1292","COMMERCIAL")</f>
        <v>COMMERCIAL</v>
      </c>
      <c r="E1607" s="3" t="s">
        <v>128</v>
      </c>
      <c r="F1607" s="3" t="s">
        <v>3287</v>
      </c>
      <c r="G1607" s="3" t="s">
        <v>2269</v>
      </c>
    </row>
    <row r="1608" spans="1:7">
      <c r="A1608" s="6">
        <v>42926</v>
      </c>
      <c r="B1608" s="3" t="s">
        <v>2053</v>
      </c>
      <c r="C1608" s="3" t="s">
        <v>1618</v>
      </c>
      <c r="D1608" s="8" t="str">
        <f>HYPERLINK("http://npthd.inbcu.com/ViewContent.aspx?filename=NPMR_CBS_2017-07-10_E.MP4$1292$1302","PSA")</f>
        <v>PSA</v>
      </c>
      <c r="E1608" s="3" t="s">
        <v>197</v>
      </c>
      <c r="F1608" s="3" t="s">
        <v>2269</v>
      </c>
      <c r="G1608" s="3" t="s">
        <v>1112</v>
      </c>
    </row>
    <row r="1609" spans="1:7">
      <c r="A1609" s="6">
        <v>42926</v>
      </c>
      <c r="B1609" s="3" t="s">
        <v>2053</v>
      </c>
      <c r="C1609" s="3" t="s">
        <v>14</v>
      </c>
      <c r="D1609" s="8" t="str">
        <f>HYPERLINK("http://npthd.inbcu.com/ViewContent.aspx?filename=NPMR_CBS_2017-07-10_E.MP4$1302$1312","Big Brother")</f>
        <v>Big Brother</v>
      </c>
      <c r="E1609" s="3" t="s">
        <v>197</v>
      </c>
      <c r="F1609" s="3" t="s">
        <v>1112</v>
      </c>
      <c r="G1609" s="3" t="s">
        <v>1769</v>
      </c>
    </row>
    <row r="1610" spans="1:7">
      <c r="A1610" s="6">
        <v>42926</v>
      </c>
      <c r="B1610" s="3" t="s">
        <v>2053</v>
      </c>
      <c r="C1610" s="3" t="s">
        <v>32</v>
      </c>
      <c r="D1610" s="8" t="str">
        <f>HYPERLINK("http://npthd.inbcu.com/ViewContent.aspx?filename=NPMR_CBS_2017-07-10_E.MP4$1312$1377","LOCAL")</f>
        <v>LOCAL</v>
      </c>
      <c r="E1610" s="3" t="s">
        <v>580</v>
      </c>
      <c r="F1610" s="3" t="s">
        <v>1769</v>
      </c>
      <c r="G1610" s="3" t="s">
        <v>1698</v>
      </c>
    </row>
    <row r="1611" spans="1:7">
      <c r="A1611" s="6">
        <v>42926</v>
      </c>
      <c r="B1611" s="3" t="s">
        <v>2053</v>
      </c>
      <c r="C1611" s="3" t="s">
        <v>18</v>
      </c>
      <c r="D1611" s="8" t="str">
        <f>HYPERLINK("http://npthd.inbcu.com/ViewContent.aspx?filename=NPMR_CBS_2017-07-10_E.MP4$1377$1648","KEVIN CAN WAIT: hallow-we-aint-home")</f>
        <v>KEVIN CAN WAIT: hallow-we-aint-home</v>
      </c>
      <c r="E1611" s="3" t="s">
        <v>994</v>
      </c>
      <c r="F1611" s="3" t="s">
        <v>1698</v>
      </c>
      <c r="G1611" s="3" t="s">
        <v>3288</v>
      </c>
    </row>
    <row r="1612" spans="1:7">
      <c r="A1612" s="6">
        <v>42926</v>
      </c>
      <c r="B1612" s="3" t="s">
        <v>2053</v>
      </c>
      <c r="C1612" s="3" t="s">
        <v>21</v>
      </c>
      <c r="D1612" s="8" t="str">
        <f>HYPERLINK("http://npthd.inbcu.com/ViewContent.aspx?filename=NPMR_CBS_2017-07-10_E.MP4$1648$1800","COMMERCIAL")</f>
        <v>COMMERCIAL</v>
      </c>
      <c r="E1612" s="3" t="s">
        <v>128</v>
      </c>
      <c r="F1612" s="3" t="s">
        <v>3288</v>
      </c>
      <c r="G1612" s="3" t="s">
        <v>3289</v>
      </c>
    </row>
    <row r="1613" spans="1:7">
      <c r="A1613" s="6">
        <v>42926</v>
      </c>
      <c r="B1613" s="3" t="s">
        <v>2053</v>
      </c>
      <c r="C1613" s="3" t="s">
        <v>14</v>
      </c>
      <c r="D1613" s="8" t="str">
        <f>HYPERLINK("http://npthd.inbcu.com/ViewContent.aspx?filename=NPMR_CBS_2017-07-10_E.MP4$1800$1816","Salvation")</f>
        <v>Salvation</v>
      </c>
      <c r="E1613" s="3" t="s">
        <v>64</v>
      </c>
      <c r="F1613" s="3" t="s">
        <v>3289</v>
      </c>
      <c r="G1613" s="3" t="s">
        <v>3290</v>
      </c>
    </row>
    <row r="1614" spans="1:7">
      <c r="A1614" s="6">
        <v>42926</v>
      </c>
      <c r="B1614" s="3" t="s">
        <v>2053</v>
      </c>
      <c r="C1614" s="3" t="s">
        <v>18</v>
      </c>
      <c r="D1614" s="8" t="str">
        <f>HYPERLINK("http://npthd.inbcu.com/ViewContent.aspx?filename=NPMR_CBS_2017-07-10_E.MP4$1816$1864","KEVIN CAN WAIT: hallow-we-aint-home")</f>
        <v>KEVIN CAN WAIT: hallow-we-aint-home</v>
      </c>
      <c r="E1614" s="3" t="s">
        <v>1167</v>
      </c>
      <c r="F1614" s="3" t="s">
        <v>3290</v>
      </c>
      <c r="G1614" s="3" t="s">
        <v>2064</v>
      </c>
    </row>
    <row r="1615" spans="1:7">
      <c r="A1615" s="6">
        <v>42926</v>
      </c>
      <c r="B1615" s="3" t="s">
        <v>2053</v>
      </c>
      <c r="C1615" s="3" t="s">
        <v>14</v>
      </c>
      <c r="D1615" s="8" t="str">
        <f>HYPERLINK("http://npthd.inbcu.com/ViewContent.aspx?filename=NPMR_CBS_2017-07-10_E.MP4$1864$1874","Big Brother")</f>
        <v>Big Brother</v>
      </c>
      <c r="E1615" s="3" t="s">
        <v>197</v>
      </c>
      <c r="F1615" s="3" t="s">
        <v>2064</v>
      </c>
      <c r="G1615" s="3" t="s">
        <v>3291</v>
      </c>
    </row>
    <row r="1616" spans="1:7">
      <c r="A1616" s="6">
        <v>42926</v>
      </c>
      <c r="B1616" s="3" t="s">
        <v>2053</v>
      </c>
      <c r="C1616" s="3" t="s">
        <v>14</v>
      </c>
      <c r="D1616" s="8" t="str">
        <f>HYPERLINK("http://npthd.inbcu.com/ViewContent.aspx?filename=NPMR_CBS_2017-07-10_E.MP4$1874$1885","Me, Myself &amp; I")</f>
        <v>Me, Myself &amp; I</v>
      </c>
      <c r="E1616" s="3" t="s">
        <v>1940</v>
      </c>
      <c r="F1616" s="3" t="s">
        <v>3291</v>
      </c>
      <c r="G1616" s="3" t="s">
        <v>2331</v>
      </c>
    </row>
    <row r="1617" spans="1:7">
      <c r="A1617" s="6">
        <v>42926</v>
      </c>
      <c r="B1617" s="3" t="s">
        <v>2053</v>
      </c>
      <c r="C1617" s="3" t="s">
        <v>18</v>
      </c>
      <c r="D1617" s="8" t="str">
        <f>HYPERLINK("http://npthd.inbcu.com/ViewContent.aspx?filename=NPMR_CBS_2017-07-10_E.MP4$1885$1890","KEVIN CAN WAIT: hallow-we-aint-home")</f>
        <v>KEVIN CAN WAIT: hallow-we-aint-home</v>
      </c>
      <c r="E1617" s="3" t="s">
        <v>54</v>
      </c>
      <c r="F1617" s="3" t="s">
        <v>2331</v>
      </c>
      <c r="G1617" s="3" t="s">
        <v>513</v>
      </c>
    </row>
    <row r="1618" spans="1:7">
      <c r="A1618" s="6">
        <v>42926</v>
      </c>
      <c r="B1618" s="3" t="s">
        <v>2053</v>
      </c>
      <c r="C1618" s="3" t="s">
        <v>14</v>
      </c>
      <c r="D1618" s="8" t="str">
        <f>HYPERLINK("http://npthd.inbcu.com/ViewContent.aspx?filename=NPMR_CBS_2017-07-10_E.MP4$1890$1895","Salvation")</f>
        <v>Salvation</v>
      </c>
      <c r="E1618" s="3" t="s">
        <v>54</v>
      </c>
      <c r="F1618" s="3" t="s">
        <v>513</v>
      </c>
      <c r="G1618" s="3" t="s">
        <v>620</v>
      </c>
    </row>
    <row r="1619" spans="1:7">
      <c r="A1619" s="6">
        <v>42926</v>
      </c>
      <c r="B1619" s="3" t="s">
        <v>2053</v>
      </c>
      <c r="C1619" s="3" t="s">
        <v>18</v>
      </c>
      <c r="D1619" s="8" t="str">
        <f>HYPERLINK("http://npthd.inbcu.com/ViewContent.aspx?filename=NPMR_CBS_2017-07-10_E.MP4$1895$2125","MAN WITH A PLAN: the three amigos")</f>
        <v>MAN WITH A PLAN: the three amigos</v>
      </c>
      <c r="E1619" s="3" t="s">
        <v>3292</v>
      </c>
      <c r="F1619" s="3" t="s">
        <v>620</v>
      </c>
      <c r="G1619" s="3" t="s">
        <v>3293</v>
      </c>
    </row>
    <row r="1620" spans="1:7">
      <c r="A1620" s="6">
        <v>42926</v>
      </c>
      <c r="B1620" s="3" t="s">
        <v>2053</v>
      </c>
      <c r="C1620" s="3" t="s">
        <v>21</v>
      </c>
      <c r="D1620" s="8" t="str">
        <f>HYPERLINK("http://npthd.inbcu.com/ViewContent.aspx?filename=NPMR_CBS_2017-07-10_E.MP4$2125$2217","COMMERCIAL")</f>
        <v>COMMERCIAL</v>
      </c>
      <c r="E1620" s="3" t="s">
        <v>267</v>
      </c>
      <c r="F1620" s="3" t="s">
        <v>3293</v>
      </c>
      <c r="G1620" s="3" t="s">
        <v>3294</v>
      </c>
    </row>
    <row r="1621" spans="1:7">
      <c r="A1621" s="6">
        <v>42926</v>
      </c>
      <c r="B1621" s="3" t="s">
        <v>2053</v>
      </c>
      <c r="C1621" s="3" t="s">
        <v>14</v>
      </c>
      <c r="D1621" s="8" t="str">
        <f>HYPERLINK("http://npthd.inbcu.com/ViewContent.aspx?filename=NPMR_CBS_2017-07-10_E.MP4$2217$2227","Big Brother")</f>
        <v>Big Brother</v>
      </c>
      <c r="E1621" s="3" t="s">
        <v>197</v>
      </c>
      <c r="F1621" s="3" t="s">
        <v>3294</v>
      </c>
      <c r="G1621" s="3" t="s">
        <v>3295</v>
      </c>
    </row>
    <row r="1622" spans="1:7">
      <c r="A1622" s="6">
        <v>42926</v>
      </c>
      <c r="B1622" s="3" t="s">
        <v>2053</v>
      </c>
      <c r="C1622" s="3" t="s">
        <v>14</v>
      </c>
      <c r="D1622" s="8" t="str">
        <f>HYPERLINK("http://npthd.inbcu.com/ViewContent.aspx?filename=NPMR_CBS_2017-07-10_E.MP4$2227$2237","Young Sheldon")</f>
        <v>Young Sheldon</v>
      </c>
      <c r="E1622" s="3" t="s">
        <v>197</v>
      </c>
      <c r="F1622" s="3" t="s">
        <v>3295</v>
      </c>
      <c r="G1622" s="3" t="s">
        <v>3296</v>
      </c>
    </row>
    <row r="1623" spans="1:7">
      <c r="A1623" s="6">
        <v>42926</v>
      </c>
      <c r="B1623" s="3" t="s">
        <v>2053</v>
      </c>
      <c r="C1623" s="3" t="s">
        <v>18</v>
      </c>
      <c r="D1623" s="8" t="str">
        <f>HYPERLINK("http://npthd.inbcu.com/ViewContent.aspx?filename=NPMR_CBS_2017-07-10_E.MP4$2237$2780","MAN WITH A PLAN: the three amigos")</f>
        <v>MAN WITH A PLAN: the three amigos</v>
      </c>
      <c r="E1623" s="3" t="s">
        <v>148</v>
      </c>
      <c r="F1623" s="3" t="s">
        <v>3296</v>
      </c>
      <c r="G1623" s="3" t="s">
        <v>3297</v>
      </c>
    </row>
    <row r="1624" spans="1:7">
      <c r="A1624" s="6">
        <v>42926</v>
      </c>
      <c r="B1624" s="3" t="s">
        <v>2053</v>
      </c>
      <c r="C1624" s="3" t="s">
        <v>21</v>
      </c>
      <c r="D1624" s="8" t="str">
        <f>HYPERLINK("http://npthd.inbcu.com/ViewContent.aspx?filename=NPMR_CBS_2017-07-10_E.MP4$2780$2930","COMMERCIAL")</f>
        <v>COMMERCIAL</v>
      </c>
      <c r="E1624" s="3" t="s">
        <v>28</v>
      </c>
      <c r="F1624" s="3" t="s">
        <v>3297</v>
      </c>
      <c r="G1624" s="3" t="s">
        <v>3298</v>
      </c>
    </row>
    <row r="1625" spans="1:7">
      <c r="A1625" s="6">
        <v>42926</v>
      </c>
      <c r="B1625" s="3" t="s">
        <v>2053</v>
      </c>
      <c r="C1625" s="3" t="s">
        <v>14</v>
      </c>
      <c r="D1625" s="8" t="str">
        <f>HYPERLINK("http://npthd.inbcu.com/ViewContent.aspx?filename=NPMR_CBS_2017-07-10_E.MP4$2930$2940","Salvation")</f>
        <v>Salvation</v>
      </c>
      <c r="E1625" s="3" t="s">
        <v>197</v>
      </c>
      <c r="F1625" s="3" t="s">
        <v>3298</v>
      </c>
      <c r="G1625" s="3" t="s">
        <v>1834</v>
      </c>
    </row>
    <row r="1626" spans="1:7">
      <c r="A1626" s="6">
        <v>42926</v>
      </c>
      <c r="B1626" s="3" t="s">
        <v>2053</v>
      </c>
      <c r="C1626" s="3" t="s">
        <v>32</v>
      </c>
      <c r="D1626" s="8" t="str">
        <f>HYPERLINK("http://npthd.inbcu.com/ViewContent.aspx?filename=NPMR_CBS_2017-07-10_E.MP4$2940$3005","LOCAL")</f>
        <v>LOCAL</v>
      </c>
      <c r="E1626" s="3" t="s">
        <v>580</v>
      </c>
      <c r="F1626" s="3" t="s">
        <v>1834</v>
      </c>
      <c r="G1626" s="3" t="s">
        <v>1330</v>
      </c>
    </row>
    <row r="1627" spans="1:7">
      <c r="A1627" s="6">
        <v>42926</v>
      </c>
      <c r="B1627" s="3" t="s">
        <v>2053</v>
      </c>
      <c r="C1627" s="3" t="s">
        <v>18</v>
      </c>
      <c r="D1627" s="8" t="str">
        <f>HYPERLINK("http://npthd.inbcu.com/ViewContent.aspx?filename=NPMR_CBS_2017-07-10_E.MP4$3005$3445","KEVIN CAN WAIT: hallow-we-aint-home")</f>
        <v>KEVIN CAN WAIT: hallow-we-aint-home</v>
      </c>
      <c r="E1627" s="3" t="s">
        <v>1116</v>
      </c>
      <c r="F1627" s="3" t="s">
        <v>1330</v>
      </c>
      <c r="G1627" s="3" t="s">
        <v>2910</v>
      </c>
    </row>
    <row r="1628" spans="1:7">
      <c r="A1628" s="6">
        <v>42926</v>
      </c>
      <c r="B1628" s="3" t="s">
        <v>2053</v>
      </c>
      <c r="C1628" s="3" t="s">
        <v>21</v>
      </c>
      <c r="D1628" s="8" t="str">
        <f>HYPERLINK("http://npthd.inbcu.com/ViewContent.aspx?filename=NPMR_CBS_2017-07-10_E.MP4$3445$3612","COMMERCIAL")</f>
        <v>COMMERCIAL</v>
      </c>
      <c r="E1628" s="3" t="s">
        <v>1217</v>
      </c>
      <c r="F1628" s="3" t="s">
        <v>2910</v>
      </c>
      <c r="G1628" s="3" t="s">
        <v>632</v>
      </c>
    </row>
    <row r="1629" spans="1:7">
      <c r="A1629" s="6">
        <v>42926</v>
      </c>
      <c r="B1629" s="3" t="s">
        <v>2053</v>
      </c>
      <c r="C1629" s="3" t="s">
        <v>14</v>
      </c>
      <c r="D1629" s="8" t="str">
        <f>HYPERLINK("http://npthd.inbcu.com/ViewContent.aspx?filename=NPMR_CBS_2017-07-10_E.MP4$3612$3622","Salvation")</f>
        <v>Salvation</v>
      </c>
      <c r="E1629" s="3" t="s">
        <v>197</v>
      </c>
      <c r="F1629" s="3" t="s">
        <v>632</v>
      </c>
      <c r="G1629" s="3" t="s">
        <v>1841</v>
      </c>
    </row>
    <row r="1630" spans="1:7">
      <c r="A1630" s="6">
        <v>42926</v>
      </c>
      <c r="B1630" s="3" t="s">
        <v>2053</v>
      </c>
      <c r="C1630" s="3" t="s">
        <v>18</v>
      </c>
      <c r="D1630" s="8" t="str">
        <f>HYPERLINK("http://npthd.inbcu.com/ViewContent.aspx?filename=NPMR_CBS_2017-07-10_E.MP4$3622$3665","KEVIN CAN WAIT: hallow-we-aint-home")</f>
        <v>KEVIN CAN WAIT: hallow-we-aint-home</v>
      </c>
      <c r="E1630" s="3" t="s">
        <v>1220</v>
      </c>
      <c r="F1630" s="3" t="s">
        <v>1841</v>
      </c>
      <c r="G1630" s="3" t="s">
        <v>2343</v>
      </c>
    </row>
    <row r="1631" spans="1:7">
      <c r="A1631" s="6">
        <v>42926</v>
      </c>
      <c r="B1631" s="3" t="s">
        <v>2053</v>
      </c>
      <c r="C1631" s="3" t="s">
        <v>14</v>
      </c>
      <c r="D1631" s="8" t="str">
        <f>HYPERLINK("http://npthd.inbcu.com/ViewContent.aspx?filename=NPMR_CBS_2017-07-10_E.MP4$3665$3685","Bull")</f>
        <v>Bull</v>
      </c>
      <c r="E1631" s="3" t="s">
        <v>1805</v>
      </c>
      <c r="F1631" s="3" t="s">
        <v>2343</v>
      </c>
      <c r="G1631" s="3" t="s">
        <v>2196</v>
      </c>
    </row>
    <row r="1632" spans="1:7">
      <c r="A1632" s="6">
        <v>42926</v>
      </c>
      <c r="B1632" s="3" t="s">
        <v>2053</v>
      </c>
      <c r="C1632" s="3" t="s">
        <v>18</v>
      </c>
      <c r="D1632" s="8" t="str">
        <f>HYPERLINK("http://npthd.inbcu.com/ViewContent.aspx?filename=NPMR_CBS_2017-07-10_E.MP4$3685$3689","KEVIN CAN WAIT: hallow-we-aint-home")</f>
        <v>KEVIN CAN WAIT: hallow-we-aint-home</v>
      </c>
      <c r="E1632" s="3" t="s">
        <v>84</v>
      </c>
      <c r="F1632" s="3" t="s">
        <v>2196</v>
      </c>
      <c r="G1632" s="3" t="s">
        <v>2283</v>
      </c>
    </row>
    <row r="1633" spans="1:7">
      <c r="A1633" s="6">
        <v>42926</v>
      </c>
      <c r="B1633" s="3" t="s">
        <v>2053</v>
      </c>
      <c r="C1633" s="3" t="s">
        <v>14</v>
      </c>
      <c r="D1633" s="8" t="str">
        <f>HYPERLINK("http://npthd.inbcu.com/ViewContent.aspx?filename=NPMR_CBS_2017-07-10_E.MP4$3689$3695","Late Show with Stephen Colbert")</f>
        <v>Late Show with Stephen Colbert</v>
      </c>
      <c r="E1633" s="3" t="s">
        <v>15</v>
      </c>
      <c r="F1633" s="3" t="s">
        <v>2283</v>
      </c>
      <c r="G1633" s="3" t="s">
        <v>243</v>
      </c>
    </row>
    <row r="1634" spans="1:7">
      <c r="A1634" s="6">
        <v>42926</v>
      </c>
      <c r="B1634" s="3" t="s">
        <v>2053</v>
      </c>
      <c r="C1634" s="3" t="s">
        <v>18</v>
      </c>
      <c r="D1634" s="8" t="str">
        <f>HYPERLINK("http://npthd.inbcu.com/ViewContent.aspx?filename=NPMR_CBS_2017-07-10_E.MP4$3695$3850","MOM: roast chicken and a funny story")</f>
        <v>MOM: roast chicken and a funny story</v>
      </c>
      <c r="E1634" s="3" t="s">
        <v>1029</v>
      </c>
      <c r="F1634" s="3" t="s">
        <v>243</v>
      </c>
      <c r="G1634" s="3" t="s">
        <v>3299</v>
      </c>
    </row>
    <row r="1635" spans="1:7">
      <c r="A1635" s="6">
        <v>42926</v>
      </c>
      <c r="B1635" s="3" t="s">
        <v>2053</v>
      </c>
      <c r="C1635" s="3" t="s">
        <v>21</v>
      </c>
      <c r="D1635" s="8" t="str">
        <f>HYPERLINK("http://npthd.inbcu.com/ViewContent.aspx?filename=NPMR_CBS_2017-07-10_E.MP4$3850$3942","COMMERCIAL")</f>
        <v>COMMERCIAL</v>
      </c>
      <c r="E1635" s="3" t="s">
        <v>267</v>
      </c>
      <c r="F1635" s="3" t="s">
        <v>3299</v>
      </c>
      <c r="G1635" s="3" t="s">
        <v>3300</v>
      </c>
    </row>
    <row r="1636" spans="1:7">
      <c r="A1636" s="6">
        <v>42926</v>
      </c>
      <c r="B1636" s="3" t="s">
        <v>2053</v>
      </c>
      <c r="C1636" s="3" t="s">
        <v>14</v>
      </c>
      <c r="D1636" s="8" t="str">
        <f>HYPERLINK("http://npthd.inbcu.com/ViewContent.aspx?filename=NPMR_CBS_2017-07-10_E.MP4$3942$3952","Big Brother")</f>
        <v>Big Brother</v>
      </c>
      <c r="E1636" s="3" t="s">
        <v>197</v>
      </c>
      <c r="F1636" s="3" t="s">
        <v>3300</v>
      </c>
      <c r="G1636" s="3" t="s">
        <v>3301</v>
      </c>
    </row>
    <row r="1637" spans="1:7">
      <c r="A1637" s="6">
        <v>42926</v>
      </c>
      <c r="B1637" s="3" t="s">
        <v>2053</v>
      </c>
      <c r="C1637" s="3" t="s">
        <v>14</v>
      </c>
      <c r="D1637" s="8" t="str">
        <f>HYPERLINK("http://npthd.inbcu.com/ViewContent.aspx?filename=NPMR_CBS_2017-07-10_E.MP4$3952$3982","Salvation")</f>
        <v>Salvation</v>
      </c>
      <c r="E1637" s="3" t="s">
        <v>38</v>
      </c>
      <c r="F1637" s="3" t="s">
        <v>3301</v>
      </c>
      <c r="G1637" s="3" t="s">
        <v>3302</v>
      </c>
    </row>
    <row r="1638" spans="1:7">
      <c r="A1638" s="6">
        <v>42926</v>
      </c>
      <c r="B1638" s="3" t="s">
        <v>2053</v>
      </c>
      <c r="C1638" s="3" t="s">
        <v>18</v>
      </c>
      <c r="D1638" s="8" t="str">
        <f>HYPERLINK("http://npthd.inbcu.com/ViewContent.aspx?filename=NPMR_CBS_2017-07-10_E.MP4$3982$4426","MOM: roast chicken and a funny story")</f>
        <v>MOM: roast chicken and a funny story</v>
      </c>
      <c r="E1638" s="3" t="s">
        <v>244</v>
      </c>
      <c r="F1638" s="3" t="s">
        <v>3302</v>
      </c>
      <c r="G1638" s="3" t="s">
        <v>1279</v>
      </c>
    </row>
    <row r="1639" spans="1:7">
      <c r="A1639" s="6">
        <v>42926</v>
      </c>
      <c r="B1639" s="3" t="s">
        <v>2053</v>
      </c>
      <c r="C1639" s="3" t="s">
        <v>21</v>
      </c>
      <c r="D1639" s="8" t="str">
        <f>HYPERLINK("http://npthd.inbcu.com/ViewContent.aspx?filename=NPMR_CBS_2017-07-10_E.MP4$4426$4593","COMMERCIAL")</f>
        <v>COMMERCIAL</v>
      </c>
      <c r="E1639" s="3" t="s">
        <v>1217</v>
      </c>
      <c r="F1639" s="3" t="s">
        <v>1279</v>
      </c>
      <c r="G1639" s="3" t="s">
        <v>3303</v>
      </c>
    </row>
    <row r="1640" spans="1:7">
      <c r="A1640" s="6">
        <v>42926</v>
      </c>
      <c r="B1640" s="3" t="s">
        <v>2053</v>
      </c>
      <c r="C1640" s="3" t="s">
        <v>14</v>
      </c>
      <c r="D1640" s="8" t="str">
        <f>HYPERLINK("http://npthd.inbcu.com/ViewContent.aspx?filename=NPMR_CBS_2017-07-10_E.MP4$4593$4603","Young Sheldon")</f>
        <v>Young Sheldon</v>
      </c>
      <c r="E1640" s="3" t="s">
        <v>197</v>
      </c>
      <c r="F1640" s="3" t="s">
        <v>3303</v>
      </c>
      <c r="G1640" s="3" t="s">
        <v>3304</v>
      </c>
    </row>
    <row r="1641" spans="1:7">
      <c r="A1641" s="6">
        <v>42926</v>
      </c>
      <c r="B1641" s="3" t="s">
        <v>2053</v>
      </c>
      <c r="C1641" s="3" t="s">
        <v>32</v>
      </c>
      <c r="D1641" s="8" t="str">
        <f>HYPERLINK("http://npthd.inbcu.com/ViewContent.aspx?filename=NPMR_CBS_2017-07-10_E.MP4$4603$4669","LOCAL")</f>
        <v>LOCAL</v>
      </c>
      <c r="E1641" s="3" t="s">
        <v>2088</v>
      </c>
      <c r="F1641" s="3" t="s">
        <v>3304</v>
      </c>
      <c r="G1641" s="3" t="s">
        <v>3305</v>
      </c>
    </row>
    <row r="1642" spans="1:7">
      <c r="A1642" s="6">
        <v>42926</v>
      </c>
      <c r="B1642" s="3" t="s">
        <v>2053</v>
      </c>
      <c r="C1642" s="3" t="s">
        <v>18</v>
      </c>
      <c r="D1642" s="8" t="str">
        <f>HYPERLINK("http://npthd.inbcu.com/ViewContent.aspx?filename=NPMR_CBS_2017-07-10_E.MP4$4669$5265","MOM: roast chicken and a funny story")</f>
        <v>MOM: roast chicken and a funny story</v>
      </c>
      <c r="E1642" s="3" t="s">
        <v>2359</v>
      </c>
      <c r="F1642" s="3" t="s">
        <v>3305</v>
      </c>
      <c r="G1642" s="3" t="s">
        <v>1347</v>
      </c>
    </row>
    <row r="1643" spans="1:7">
      <c r="A1643" s="6">
        <v>42926</v>
      </c>
      <c r="B1643" s="3" t="s">
        <v>2053</v>
      </c>
      <c r="C1643" s="3" t="s">
        <v>21</v>
      </c>
      <c r="D1643" s="8" t="str">
        <f>HYPERLINK("http://npthd.inbcu.com/ViewContent.aspx?filename=NPMR_CBS_2017-07-10_E.MP4$5265$5416","COMMERCIAL")</f>
        <v>COMMERCIAL</v>
      </c>
      <c r="E1643" s="3" t="s">
        <v>91</v>
      </c>
      <c r="F1643" s="3" t="s">
        <v>1347</v>
      </c>
      <c r="G1643" s="3" t="s">
        <v>2716</v>
      </c>
    </row>
    <row r="1644" spans="1:7">
      <c r="A1644" s="6">
        <v>42926</v>
      </c>
      <c r="B1644" s="3" t="s">
        <v>2053</v>
      </c>
      <c r="C1644" s="3" t="s">
        <v>14</v>
      </c>
      <c r="D1644" s="8" t="str">
        <f>HYPERLINK("http://npthd.inbcu.com/ViewContent.aspx?filename=NPMR_CBS_2017-07-10_E.MP4$5416$5432","Salvation")</f>
        <v>Salvation</v>
      </c>
      <c r="E1644" s="3" t="s">
        <v>64</v>
      </c>
      <c r="F1644" s="3" t="s">
        <v>2716</v>
      </c>
      <c r="G1644" s="3" t="s">
        <v>3306</v>
      </c>
    </row>
    <row r="1645" spans="1:7">
      <c r="A1645" s="6">
        <v>42926</v>
      </c>
      <c r="B1645" s="3" t="s">
        <v>2053</v>
      </c>
      <c r="C1645" s="3" t="s">
        <v>18</v>
      </c>
      <c r="D1645" s="8" t="str">
        <f>HYPERLINK("http://npthd.inbcu.com/ViewContent.aspx?filename=NPMR_CBS_2017-07-10_E.MP4$5432$5465","MOM: roast chicken and a funny story")</f>
        <v>MOM: roast chicken and a funny story</v>
      </c>
      <c r="E1645" s="3" t="s">
        <v>2667</v>
      </c>
      <c r="F1645" s="3" t="s">
        <v>3306</v>
      </c>
      <c r="G1645" s="3" t="s">
        <v>2092</v>
      </c>
    </row>
    <row r="1646" spans="1:7">
      <c r="A1646" s="6">
        <v>42926</v>
      </c>
      <c r="B1646" s="3" t="s">
        <v>2053</v>
      </c>
      <c r="C1646" s="3" t="s">
        <v>14</v>
      </c>
      <c r="D1646" s="8" t="str">
        <f>HYPERLINK("http://npthd.inbcu.com/ViewContent.aspx?filename=NPMR_CBS_2017-07-10_E.MP4$5465$5484","Big Bang Theory")</f>
        <v>Big Bang Theory</v>
      </c>
      <c r="E1646" s="3" t="s">
        <v>670</v>
      </c>
      <c r="F1646" s="3" t="s">
        <v>2092</v>
      </c>
      <c r="G1646" s="3" t="s">
        <v>2926</v>
      </c>
    </row>
    <row r="1647" spans="1:7">
      <c r="A1647" s="6">
        <v>42926</v>
      </c>
      <c r="B1647" s="3" t="s">
        <v>2053</v>
      </c>
      <c r="C1647" s="3" t="s">
        <v>18</v>
      </c>
      <c r="D1647" s="8" t="str">
        <f>HYPERLINK("http://npthd.inbcu.com/ViewContent.aspx?filename=NPMR_CBS_2017-07-10_E.MP4$5484$5490","MOM: roast chicken and a funny story")</f>
        <v>MOM: roast chicken and a funny story</v>
      </c>
      <c r="E1647" s="3" t="s">
        <v>15</v>
      </c>
      <c r="F1647" s="3" t="s">
        <v>2926</v>
      </c>
      <c r="G1647" s="3" t="s">
        <v>550</v>
      </c>
    </row>
    <row r="1648" spans="1:7">
      <c r="A1648" s="6">
        <v>42926</v>
      </c>
      <c r="B1648" s="3" t="s">
        <v>2053</v>
      </c>
      <c r="C1648" s="3" t="s">
        <v>14</v>
      </c>
      <c r="D1648" s="8" t="str">
        <f>HYPERLINK("http://npthd.inbcu.com/ViewContent.aspx?filename=NPMR_CBS_2017-07-10_E.MP4$5490$5495","Salvation")</f>
        <v>Salvation</v>
      </c>
      <c r="E1648" s="3" t="s">
        <v>54</v>
      </c>
      <c r="F1648" s="3" t="s">
        <v>550</v>
      </c>
      <c r="G1648" s="3" t="s">
        <v>551</v>
      </c>
    </row>
    <row r="1649" spans="1:7">
      <c r="A1649" s="6">
        <v>42926</v>
      </c>
      <c r="B1649" s="3" t="s">
        <v>2053</v>
      </c>
      <c r="C1649" s="3" t="s">
        <v>18</v>
      </c>
      <c r="D1649" s="8" t="str">
        <f>HYPERLINK("http://npthd.inbcu.com/ViewContent.aspx?filename=NPMR_CBS_2017-07-10_E.MP4$5495$6184","LIFE IN PIECES: receptionist pot voting cramp")</f>
        <v>LIFE IN PIECES: receptionist pot voting cramp</v>
      </c>
      <c r="E1649" s="3" t="s">
        <v>3307</v>
      </c>
      <c r="F1649" s="3" t="s">
        <v>551</v>
      </c>
      <c r="G1649" s="3" t="s">
        <v>3308</v>
      </c>
    </row>
    <row r="1650" spans="1:7">
      <c r="A1650" s="6">
        <v>42926</v>
      </c>
      <c r="B1650" s="3" t="s">
        <v>2053</v>
      </c>
      <c r="C1650" s="3" t="s">
        <v>21</v>
      </c>
      <c r="D1650" s="8" t="str">
        <f>HYPERLINK("http://npthd.inbcu.com/ViewContent.aspx?filename=NPMR_CBS_2017-07-10_E.MP4$6184$6305","COMMERCIAL")</f>
        <v>COMMERCIAL</v>
      </c>
      <c r="E1650" s="3" t="s">
        <v>175</v>
      </c>
      <c r="F1650" s="3" t="s">
        <v>3308</v>
      </c>
      <c r="G1650" s="3" t="s">
        <v>1507</v>
      </c>
    </row>
    <row r="1651" spans="1:7">
      <c r="A1651" s="6">
        <v>42926</v>
      </c>
      <c r="B1651" s="3" t="s">
        <v>2053</v>
      </c>
      <c r="C1651" s="3" t="s">
        <v>14</v>
      </c>
      <c r="D1651" s="8" t="str">
        <f>HYPERLINK("http://npthd.inbcu.com/ViewContent.aspx?filename=NPMR_CBS_2017-07-10_E.MP4$6305$6315","Big Brother")</f>
        <v>Big Brother</v>
      </c>
      <c r="E1651" s="3" t="s">
        <v>197</v>
      </c>
      <c r="F1651" s="3" t="s">
        <v>1507</v>
      </c>
      <c r="G1651" s="3" t="s">
        <v>3309</v>
      </c>
    </row>
    <row r="1652" spans="1:7">
      <c r="A1652" s="6">
        <v>42926</v>
      </c>
      <c r="B1652" s="3" t="s">
        <v>2053</v>
      </c>
      <c r="C1652" s="3" t="s">
        <v>14</v>
      </c>
      <c r="D1652" s="8" t="str">
        <f>HYPERLINK("http://npthd.inbcu.com/ViewContent.aspx?filename=NPMR_CBS_2017-07-10_E.MP4$6315$6325","Salvation")</f>
        <v>Salvation</v>
      </c>
      <c r="E1652" s="3" t="s">
        <v>197</v>
      </c>
      <c r="F1652" s="3" t="s">
        <v>3309</v>
      </c>
      <c r="G1652" s="3" t="s">
        <v>3310</v>
      </c>
    </row>
    <row r="1653" spans="1:7">
      <c r="A1653" s="6">
        <v>42926</v>
      </c>
      <c r="B1653" s="3" t="s">
        <v>2053</v>
      </c>
      <c r="C1653" s="3" t="s">
        <v>18</v>
      </c>
      <c r="D1653" s="8" t="str">
        <f>HYPERLINK("http://npthd.inbcu.com/ViewContent.aspx?filename=NPMR_CBS_2017-07-10_E.MP4$6325$6664","LIFE IN PIECES: receptionist pot voting cramp")</f>
        <v>LIFE IN PIECES: receptionist pot voting cramp</v>
      </c>
      <c r="E1653" s="3" t="s">
        <v>1839</v>
      </c>
      <c r="F1653" s="3" t="s">
        <v>3310</v>
      </c>
      <c r="G1653" s="3" t="s">
        <v>2538</v>
      </c>
    </row>
    <row r="1654" spans="1:7">
      <c r="A1654" s="6">
        <v>42926</v>
      </c>
      <c r="B1654" s="3" t="s">
        <v>2053</v>
      </c>
      <c r="C1654" s="3" t="s">
        <v>21</v>
      </c>
      <c r="D1654" s="8" t="str">
        <f>HYPERLINK("http://npthd.inbcu.com/ViewContent.aspx?filename=NPMR_CBS_2017-07-10_E.MP4$6664$6815","COMMERCIAL")</f>
        <v>COMMERCIAL</v>
      </c>
      <c r="E1654" s="3" t="s">
        <v>91</v>
      </c>
      <c r="F1654" s="3" t="s">
        <v>2538</v>
      </c>
      <c r="G1654" s="3" t="s">
        <v>3311</v>
      </c>
    </row>
    <row r="1655" spans="1:7">
      <c r="A1655" s="6">
        <v>42926</v>
      </c>
      <c r="B1655" s="3" t="s">
        <v>2053</v>
      </c>
      <c r="C1655" s="3" t="s">
        <v>14</v>
      </c>
      <c r="D1655" s="8" t="str">
        <f>HYPERLINK("http://npthd.inbcu.com/ViewContent.aspx?filename=NPMR_CBS_2017-07-10_E.MP4$6815$6830","Salvation")</f>
        <v>Salvation</v>
      </c>
      <c r="E1655" s="3" t="s">
        <v>30</v>
      </c>
      <c r="F1655" s="3" t="s">
        <v>3311</v>
      </c>
      <c r="G1655" s="3" t="s">
        <v>1361</v>
      </c>
    </row>
    <row r="1656" spans="1:7">
      <c r="A1656" s="6">
        <v>42926</v>
      </c>
      <c r="B1656" s="3" t="s">
        <v>2053</v>
      </c>
      <c r="C1656" s="3" t="s">
        <v>32</v>
      </c>
      <c r="D1656" s="8" t="str">
        <f>HYPERLINK("http://npthd.inbcu.com/ViewContent.aspx?filename=NPMR_CBS_2017-07-10_E.MP4$6830$6895","LOCAL")</f>
        <v>LOCAL</v>
      </c>
      <c r="E1656" s="3" t="s">
        <v>580</v>
      </c>
      <c r="F1656" s="3" t="s">
        <v>1361</v>
      </c>
      <c r="G1656" s="3" t="s">
        <v>3312</v>
      </c>
    </row>
    <row r="1657" spans="1:7">
      <c r="A1657" s="6">
        <v>42926</v>
      </c>
      <c r="B1657" s="3" t="s">
        <v>2053</v>
      </c>
      <c r="C1657" s="3" t="s">
        <v>18</v>
      </c>
      <c r="D1657" s="8" t="str">
        <f>HYPERLINK("http://npthd.inbcu.com/ViewContent.aspx?filename=NPMR_CBS_2017-07-10_E.MP4$6895$7028","LIFE IN PIECES: receptionist pot voting cramp")</f>
        <v>LIFE IN PIECES: receptionist pot voting cramp</v>
      </c>
      <c r="E1657" s="3" t="s">
        <v>3313</v>
      </c>
      <c r="F1657" s="3" t="s">
        <v>3312</v>
      </c>
      <c r="G1657" s="3" t="s">
        <v>3314</v>
      </c>
    </row>
    <row r="1658" spans="1:7">
      <c r="A1658" s="6">
        <v>42926</v>
      </c>
      <c r="B1658" s="3" t="s">
        <v>2053</v>
      </c>
      <c r="C1658" s="3" t="s">
        <v>21</v>
      </c>
      <c r="D1658" s="8" t="str">
        <f>HYPERLINK("http://npthd.inbcu.com/ViewContent.aspx?filename=NPMR_CBS_2017-07-10_E.MP4$7028$7166","COMMERCIAL")</f>
        <v>COMMERCIAL</v>
      </c>
      <c r="E1658" s="3" t="s">
        <v>3315</v>
      </c>
      <c r="F1658" s="3" t="s">
        <v>3314</v>
      </c>
      <c r="G1658" s="3" t="s">
        <v>3316</v>
      </c>
    </row>
    <row r="1659" spans="1:7">
      <c r="A1659" s="6">
        <v>42926</v>
      </c>
      <c r="B1659" s="3" t="s">
        <v>2053</v>
      </c>
      <c r="C1659" s="3" t="s">
        <v>14</v>
      </c>
      <c r="D1659" s="8" t="str">
        <f>HYPERLINK("http://npthd.inbcu.com/ViewContent.aspx?filename=NPMR_CBS_2017-07-10_E.MP4$7166$7176","Talk, The")</f>
        <v>Talk, The</v>
      </c>
      <c r="E1659" s="3" t="s">
        <v>197</v>
      </c>
      <c r="F1659" s="3" t="s">
        <v>3316</v>
      </c>
      <c r="G1659" s="3" t="s">
        <v>3317</v>
      </c>
    </row>
    <row r="1660" spans="1:7">
      <c r="A1660" s="6">
        <v>42926</v>
      </c>
      <c r="B1660" s="3" t="s">
        <v>2053</v>
      </c>
      <c r="C1660" s="3" t="s">
        <v>18</v>
      </c>
      <c r="D1660" s="8" t="str">
        <f>HYPERLINK("http://npthd.inbcu.com/ViewContent.aspx?filename=NPMR_CBS_2017-07-10_E.MP4$7176$7264","LIFE IN PIECES: receptionist pot voting cramp")</f>
        <v>LIFE IN PIECES: receptionist pot voting cramp</v>
      </c>
      <c r="E1660" s="3" t="s">
        <v>3318</v>
      </c>
      <c r="F1660" s="3" t="s">
        <v>3317</v>
      </c>
      <c r="G1660" s="3" t="s">
        <v>2542</v>
      </c>
    </row>
    <row r="1661" spans="1:7">
      <c r="A1661" s="6">
        <v>42926</v>
      </c>
      <c r="B1661" s="3" t="s">
        <v>2053</v>
      </c>
      <c r="C1661" s="3" t="s">
        <v>14</v>
      </c>
      <c r="D1661" s="8" t="str">
        <f>HYPERLINK("http://npthd.inbcu.com/ViewContent.aspx?filename=NPMR_CBS_2017-07-10_E.MP4$7264$7285","Bull")</f>
        <v>Bull</v>
      </c>
      <c r="E1661" s="3" t="s">
        <v>2067</v>
      </c>
      <c r="F1661" s="3" t="s">
        <v>2542</v>
      </c>
      <c r="G1661" s="3" t="s">
        <v>750</v>
      </c>
    </row>
    <row r="1662" spans="1:7">
      <c r="A1662" s="6">
        <v>42926</v>
      </c>
      <c r="B1662" s="3" t="s">
        <v>2053</v>
      </c>
      <c r="C1662" s="3" t="s">
        <v>18</v>
      </c>
      <c r="D1662" s="8" t="str">
        <f>HYPERLINK("http://npthd.inbcu.com/ViewContent.aspx?filename=NPMR_CBS_2017-07-10_E.MP4$7285$7290","LIFE IN PIECES: receptionist pot voting cramp")</f>
        <v>LIFE IN PIECES: receptionist pot voting cramp</v>
      </c>
      <c r="E1662" s="3" t="s">
        <v>54</v>
      </c>
      <c r="F1662" s="3" t="s">
        <v>750</v>
      </c>
      <c r="G1662" s="3" t="s">
        <v>394</v>
      </c>
    </row>
    <row r="1663" spans="1:7">
      <c r="A1663" s="6">
        <v>42926</v>
      </c>
      <c r="B1663" s="3" t="s">
        <v>2053</v>
      </c>
      <c r="C1663" s="3" t="s">
        <v>14</v>
      </c>
      <c r="D1663" s="8" t="str">
        <f>HYPERLINK("http://npthd.inbcu.com/ViewContent.aspx?filename=NPMR_CBS_2017-07-10_E.MP4$7290$7295","Late Show with Stephen Colbert")</f>
        <v>Late Show with Stephen Colbert</v>
      </c>
      <c r="E1663" s="3" t="s">
        <v>54</v>
      </c>
      <c r="F1663" s="3" t="s">
        <v>394</v>
      </c>
      <c r="G1663" s="3" t="s">
        <v>395</v>
      </c>
    </row>
    <row r="1664" spans="1:7">
      <c r="A1664" s="6">
        <v>42926</v>
      </c>
      <c r="B1664" s="3" t="s">
        <v>2053</v>
      </c>
      <c r="C1664" s="3" t="s">
        <v>18</v>
      </c>
      <c r="D1664" s="8" t="str">
        <f>HYPERLINK("http://npthd.inbcu.com/ViewContent.aspx?filename=NPMR_CBS_2017-07-10_E.MP4$7295$7971","SCORPION: the hole truth")</f>
        <v>SCORPION: the hole truth</v>
      </c>
      <c r="E1664" s="3" t="s">
        <v>3319</v>
      </c>
      <c r="F1664" s="3" t="s">
        <v>395</v>
      </c>
      <c r="G1664" s="3" t="s">
        <v>1014</v>
      </c>
    </row>
    <row r="1665" spans="1:7">
      <c r="A1665" s="6">
        <v>42926</v>
      </c>
      <c r="B1665" s="3" t="s">
        <v>2053</v>
      </c>
      <c r="C1665" s="3" t="s">
        <v>21</v>
      </c>
      <c r="D1665" s="8" t="str">
        <f>HYPERLINK("http://npthd.inbcu.com/ViewContent.aspx?filename=NPMR_CBS_2017-07-10_E.MP4$7971$8151","COMMERCIAL")</f>
        <v>COMMERCIAL</v>
      </c>
      <c r="E1665" s="3" t="s">
        <v>22</v>
      </c>
      <c r="F1665" s="3" t="s">
        <v>1014</v>
      </c>
      <c r="G1665" s="3" t="s">
        <v>3320</v>
      </c>
    </row>
    <row r="1666" spans="1:7">
      <c r="A1666" s="6">
        <v>42926</v>
      </c>
      <c r="B1666" s="3" t="s">
        <v>2053</v>
      </c>
      <c r="C1666" s="3" t="s">
        <v>14</v>
      </c>
      <c r="D1666" s="8" t="str">
        <f>HYPERLINK("http://npthd.inbcu.com/ViewContent.aspx?filename=NPMR_CBS_2017-07-10_E.MP4$8151$8173","Big Brother")</f>
        <v>Big Brother</v>
      </c>
      <c r="E1666" s="3" t="s">
        <v>2124</v>
      </c>
      <c r="F1666" s="3" t="s">
        <v>3320</v>
      </c>
      <c r="G1666" s="3" t="s">
        <v>3321</v>
      </c>
    </row>
    <row r="1667" spans="1:7">
      <c r="A1667" s="6">
        <v>42926</v>
      </c>
      <c r="B1667" s="3" t="s">
        <v>2053</v>
      </c>
      <c r="C1667" s="3" t="s">
        <v>14</v>
      </c>
      <c r="D1667" s="8" t="str">
        <f>HYPERLINK("http://npthd.inbcu.com/ViewContent.aspx?filename=NPMR_CBS_2017-07-10_E.MP4$8173$8178","Salvation")</f>
        <v>Salvation</v>
      </c>
      <c r="E1667" s="3" t="s">
        <v>54</v>
      </c>
      <c r="F1667" s="3" t="s">
        <v>3321</v>
      </c>
      <c r="G1667" s="3" t="s">
        <v>3322</v>
      </c>
    </row>
    <row r="1668" spans="1:7">
      <c r="A1668" s="6">
        <v>42926</v>
      </c>
      <c r="B1668" s="3" t="s">
        <v>2053</v>
      </c>
      <c r="C1668" s="3" t="s">
        <v>18</v>
      </c>
      <c r="D1668" s="8" t="str">
        <f>HYPERLINK("http://npthd.inbcu.com/ViewContent.aspx?filename=NPMR_CBS_2017-07-10_E.MP4$8178$8672","SCORPION: the hole truth")</f>
        <v>SCORPION: the hole truth</v>
      </c>
      <c r="E1668" s="3" t="s">
        <v>386</v>
      </c>
      <c r="F1668" s="3" t="s">
        <v>3322</v>
      </c>
      <c r="G1668" s="3" t="s">
        <v>3323</v>
      </c>
    </row>
    <row r="1669" spans="1:7">
      <c r="A1669" s="6">
        <v>42926</v>
      </c>
      <c r="B1669" s="3" t="s">
        <v>2053</v>
      </c>
      <c r="C1669" s="3" t="s">
        <v>21</v>
      </c>
      <c r="D1669" s="8" t="str">
        <f>HYPERLINK("http://npthd.inbcu.com/ViewContent.aspx?filename=NPMR_CBS_2017-07-10_E.MP4$8672$8825","COMMERCIAL")</f>
        <v>COMMERCIAL</v>
      </c>
      <c r="E1669" s="3" t="s">
        <v>1735</v>
      </c>
      <c r="F1669" s="3" t="s">
        <v>3323</v>
      </c>
      <c r="G1669" s="3" t="s">
        <v>3324</v>
      </c>
    </row>
    <row r="1670" spans="1:7">
      <c r="A1670" s="6">
        <v>42926</v>
      </c>
      <c r="B1670" s="3" t="s">
        <v>2053</v>
      </c>
      <c r="C1670" s="3" t="s">
        <v>14</v>
      </c>
      <c r="D1670" s="8" t="str">
        <f>HYPERLINK("http://npthd.inbcu.com/ViewContent.aspx?filename=NPMR_CBS_2017-07-10_E.MP4$8825$8855","Salvation")</f>
        <v>Salvation</v>
      </c>
      <c r="E1670" s="3" t="s">
        <v>38</v>
      </c>
      <c r="F1670" s="3" t="s">
        <v>3324</v>
      </c>
      <c r="G1670" s="3" t="s">
        <v>1023</v>
      </c>
    </row>
    <row r="1671" spans="1:7">
      <c r="A1671" s="6">
        <v>42926</v>
      </c>
      <c r="B1671" s="3" t="s">
        <v>2053</v>
      </c>
      <c r="C1671" s="3" t="s">
        <v>14</v>
      </c>
      <c r="D1671" s="8" t="str">
        <f>HYPERLINK("http://npthd.inbcu.com/ViewContent.aspx?filename=NPMR_CBS_2017-07-10_E.MP4$8855$8861","Young Sheldon")</f>
        <v>Young Sheldon</v>
      </c>
      <c r="E1671" s="3" t="s">
        <v>15</v>
      </c>
      <c r="F1671" s="3" t="s">
        <v>1023</v>
      </c>
      <c r="G1671" s="3" t="s">
        <v>918</v>
      </c>
    </row>
    <row r="1672" spans="1:7">
      <c r="A1672" s="6">
        <v>42926</v>
      </c>
      <c r="B1672" s="3" t="s">
        <v>2053</v>
      </c>
      <c r="C1672" s="3" t="s">
        <v>18</v>
      </c>
      <c r="D1672" s="8" t="str">
        <f>HYPERLINK("http://npthd.inbcu.com/ViewContent.aspx?filename=NPMR_CBS_2017-07-10_E.MP4$8861$9378","SCORPION: the hole truth")</f>
        <v>SCORPION: the hole truth</v>
      </c>
      <c r="E1672" s="3" t="s">
        <v>557</v>
      </c>
      <c r="F1672" s="3" t="s">
        <v>918</v>
      </c>
      <c r="G1672" s="3" t="s">
        <v>3325</v>
      </c>
    </row>
    <row r="1673" spans="1:7">
      <c r="A1673" s="6">
        <v>42926</v>
      </c>
      <c r="B1673" s="3" t="s">
        <v>2053</v>
      </c>
      <c r="C1673" s="3" t="s">
        <v>21</v>
      </c>
      <c r="D1673" s="8" t="str">
        <f>HYPERLINK("http://npthd.inbcu.com/ViewContent.aspx?filename=NPMR_CBS_2017-07-10_E.MP4$9378$9528","COMMERCIAL")</f>
        <v>COMMERCIAL</v>
      </c>
      <c r="E1673" s="3" t="s">
        <v>28</v>
      </c>
      <c r="F1673" s="3" t="s">
        <v>3325</v>
      </c>
      <c r="G1673" s="3" t="s">
        <v>3326</v>
      </c>
    </row>
    <row r="1674" spans="1:7">
      <c r="A1674" s="6">
        <v>42926</v>
      </c>
      <c r="B1674" s="3" t="s">
        <v>2053</v>
      </c>
      <c r="C1674" s="3" t="s">
        <v>32</v>
      </c>
      <c r="D1674" s="8" t="str">
        <f>HYPERLINK("http://npthd.inbcu.com/ViewContent.aspx?filename=NPMR_CBS_2017-07-10_E.MP4$9528$9671","LOCAL")</f>
        <v>LOCAL</v>
      </c>
      <c r="E1674" s="3" t="s">
        <v>3327</v>
      </c>
      <c r="F1674" s="3" t="s">
        <v>3326</v>
      </c>
      <c r="G1674" s="3" t="s">
        <v>3328</v>
      </c>
    </row>
    <row r="1675" spans="1:7">
      <c r="A1675" s="6">
        <v>42926</v>
      </c>
      <c r="B1675" s="3" t="s">
        <v>2053</v>
      </c>
      <c r="C1675" s="3" t="s">
        <v>18</v>
      </c>
      <c r="D1675" s="8" t="str">
        <f>HYPERLINK("http://npthd.inbcu.com/ViewContent.aspx?filename=NPMR_CBS_2017-07-10_E.MP4$9671$9955","SCORPION: the hole truth")</f>
        <v>SCORPION: the hole truth</v>
      </c>
      <c r="E1675" s="3" t="s">
        <v>3329</v>
      </c>
      <c r="F1675" s="3" t="s">
        <v>3328</v>
      </c>
      <c r="G1675" s="3" t="s">
        <v>3330</v>
      </c>
    </row>
    <row r="1676" spans="1:7">
      <c r="A1676" s="6">
        <v>42926</v>
      </c>
      <c r="B1676" s="3" t="s">
        <v>2053</v>
      </c>
      <c r="C1676" s="3" t="s">
        <v>21</v>
      </c>
      <c r="D1676" s="8" t="str">
        <f>HYPERLINK("http://npthd.inbcu.com/ViewContent.aspx?filename=NPMR_CBS_2017-07-10_E.MP4$9955$10137","COMMERCIAL")</f>
        <v>COMMERCIAL</v>
      </c>
      <c r="E1676" s="3" t="s">
        <v>275</v>
      </c>
      <c r="F1676" s="3" t="s">
        <v>3330</v>
      </c>
      <c r="G1676" s="3" t="s">
        <v>2311</v>
      </c>
    </row>
    <row r="1677" spans="1:7">
      <c r="A1677" s="6">
        <v>42926</v>
      </c>
      <c r="B1677" s="3" t="s">
        <v>2053</v>
      </c>
      <c r="C1677" s="3" t="s">
        <v>14</v>
      </c>
      <c r="D1677" s="8" t="str">
        <f>HYPERLINK("http://npthd.inbcu.com/ViewContent.aspx?filename=NPMR_CBS_2017-07-10_E.MP4$10137$10147","Late Show with Stephen Colbert")</f>
        <v>Late Show with Stephen Colbert</v>
      </c>
      <c r="E1677" s="3" t="s">
        <v>197</v>
      </c>
      <c r="F1677" s="3" t="s">
        <v>2311</v>
      </c>
      <c r="G1677" s="3" t="s">
        <v>2441</v>
      </c>
    </row>
    <row r="1678" spans="1:7">
      <c r="A1678" s="6">
        <v>42926</v>
      </c>
      <c r="B1678" s="3" t="s">
        <v>2053</v>
      </c>
      <c r="C1678" s="3" t="s">
        <v>14</v>
      </c>
      <c r="D1678" s="8" t="str">
        <f>HYPERLINK("http://npthd.inbcu.com/ViewContent.aspx?filename=NPMR_CBS_2017-07-10_E.MP4$10147$10168","Salvation")</f>
        <v>Salvation</v>
      </c>
      <c r="E1678" s="3" t="s">
        <v>2067</v>
      </c>
      <c r="F1678" s="3" t="s">
        <v>2441</v>
      </c>
      <c r="G1678" s="3" t="s">
        <v>2554</v>
      </c>
    </row>
    <row r="1679" spans="1:7">
      <c r="A1679" s="6">
        <v>42926</v>
      </c>
      <c r="B1679" s="3" t="s">
        <v>2053</v>
      </c>
      <c r="C1679" s="3" t="s">
        <v>32</v>
      </c>
      <c r="D1679" s="8" t="str">
        <f>HYPERLINK("http://npthd.inbcu.com/ViewContent.aspx?filename=NPMR_CBS_2017-07-10_E.MP4$10168$10262","LOCAL")</f>
        <v>LOCAL</v>
      </c>
      <c r="E1679" s="3" t="s">
        <v>1917</v>
      </c>
      <c r="F1679" s="3" t="s">
        <v>2554</v>
      </c>
      <c r="G1679" s="3" t="s">
        <v>3331</v>
      </c>
    </row>
    <row r="1680" spans="1:7">
      <c r="A1680" s="6">
        <v>42926</v>
      </c>
      <c r="B1680" s="3" t="s">
        <v>2053</v>
      </c>
      <c r="C1680" s="3" t="s">
        <v>18</v>
      </c>
      <c r="D1680" s="8" t="str">
        <f>HYPERLINK("http://npthd.inbcu.com/ViewContent.aspx?filename=NPMR_CBS_2017-07-10_E.MP4$10262$10772","SCORPION: the hole truth")</f>
        <v>SCORPION: the hole truth</v>
      </c>
      <c r="E1680" s="3" t="s">
        <v>1888</v>
      </c>
      <c r="F1680" s="3" t="s">
        <v>3331</v>
      </c>
      <c r="G1680" s="3" t="s">
        <v>2313</v>
      </c>
    </row>
    <row r="1681" spans="1:7">
      <c r="A1681" s="6">
        <v>42926</v>
      </c>
      <c r="B1681" s="3" t="s">
        <v>2053</v>
      </c>
      <c r="C1681" s="3" t="s">
        <v>32</v>
      </c>
      <c r="D1681" s="8" t="str">
        <f>HYPERLINK("http://npthd.inbcu.com/ViewContent.aspx?filename=NPMR_CBS_2017-07-10_E.MP4$10772$10785","LOCAL")</f>
        <v>LOCAL</v>
      </c>
      <c r="E1681" s="3" t="s">
        <v>851</v>
      </c>
      <c r="F1681" s="3" t="s">
        <v>2313</v>
      </c>
      <c r="G1681" s="3" t="s">
        <v>2386</v>
      </c>
    </row>
    <row r="1682" spans="1:7">
      <c r="A1682" s="6">
        <v>42926</v>
      </c>
      <c r="B1682" s="3" t="s">
        <v>2053</v>
      </c>
      <c r="C1682" s="3" t="s">
        <v>21</v>
      </c>
      <c r="D1682" s="8" t="str">
        <f>HYPERLINK("http://npthd.inbcu.com/ViewContent.aspx?filename=NPMR_CBS_2017-07-10_E.MP4$10785$10845","COMMERCIAL")</f>
        <v>COMMERCIAL</v>
      </c>
      <c r="E1682" s="3" t="s">
        <v>66</v>
      </c>
      <c r="F1682" s="3" t="s">
        <v>2386</v>
      </c>
      <c r="G1682" s="3" t="s">
        <v>310</v>
      </c>
    </row>
    <row r="1683" spans="1:7">
      <c r="A1683" s="6">
        <v>42926</v>
      </c>
      <c r="B1683" s="3" t="s">
        <v>2053</v>
      </c>
      <c r="C1683" s="3" t="s">
        <v>32</v>
      </c>
      <c r="D1683" s="8" t="str">
        <f>HYPERLINK("http://npthd.inbcu.com/ViewContent.aspx?filename=NPMR_CBS_2017-07-10_E.MP4$10845$10850","LOCAL")</f>
        <v>LOCAL</v>
      </c>
      <c r="E1683" s="3" t="s">
        <v>54</v>
      </c>
      <c r="F1683" s="3" t="s">
        <v>310</v>
      </c>
      <c r="G1683" s="3" t="s">
        <v>2387</v>
      </c>
    </row>
    <row r="1684" spans="1:7">
      <c r="A1684" s="6">
        <v>42926</v>
      </c>
      <c r="B1684" s="3" t="s">
        <v>2053</v>
      </c>
      <c r="C1684" s="3" t="s">
        <v>14</v>
      </c>
      <c r="D1684" s="8" t="str">
        <f>HYPERLINK("http://npthd.inbcu.com/ViewContent.aspx?filename=NPMR_CBS_2017-07-10_E.MP4$10850$10871","Bull")</f>
        <v>Bull</v>
      </c>
      <c r="E1684" s="3" t="s">
        <v>2067</v>
      </c>
      <c r="F1684" s="3" t="s">
        <v>2387</v>
      </c>
      <c r="G1684" s="3" t="s">
        <v>1603</v>
      </c>
    </row>
    <row r="1685" spans="1:7">
      <c r="A1685" s="6">
        <v>42926</v>
      </c>
      <c r="B1685" s="3" t="s">
        <v>2053</v>
      </c>
      <c r="C1685" s="3" t="s">
        <v>18</v>
      </c>
      <c r="D1685" s="8" t="str">
        <f>HYPERLINK("http://npthd.inbcu.com/ViewContent.aspx?filename=NPMR_CBS_2017-07-10_E.MP4$10871$10877","SCORPION: the hole truth")</f>
        <v>SCORPION: the hole truth</v>
      </c>
      <c r="E1685" s="3" t="s">
        <v>15</v>
      </c>
      <c r="F1685" s="3" t="s">
        <v>1603</v>
      </c>
      <c r="G1685" s="3" t="s">
        <v>850</v>
      </c>
    </row>
    <row r="1686" spans="1:7">
      <c r="A1686" s="6">
        <v>42926</v>
      </c>
      <c r="B1686" s="3" t="s">
        <v>2053</v>
      </c>
      <c r="C1686" s="3" t="s">
        <v>32</v>
      </c>
      <c r="D1686" s="8" t="str">
        <f>HYPERLINK("http://npthd.inbcu.com/ViewContent.aspx?filename=NPMR_CBS_2017-07-10_E.MP4$10877$10890","LOCAL")</f>
        <v>LOCAL</v>
      </c>
      <c r="E1686" s="3" t="s">
        <v>851</v>
      </c>
      <c r="F1686" s="3" t="s">
        <v>850</v>
      </c>
      <c r="G1686" s="3" t="s">
        <v>124</v>
      </c>
    </row>
    <row r="1687" spans="1:7">
      <c r="A1687" s="6">
        <v>42927</v>
      </c>
      <c r="B1687" s="3" t="s">
        <v>2053</v>
      </c>
      <c r="C1687" s="3" t="s">
        <v>18</v>
      </c>
      <c r="D1687" s="8" t="str">
        <f>HYPERLINK("http://npthd.inbcu.com/ViewContent.aspx?filename=NPMR_CBS_2017-07-11_E.MP4$117$467","NCIS: being bad")</f>
        <v>NCIS: being bad</v>
      </c>
      <c r="E1687" s="3" t="s">
        <v>636</v>
      </c>
      <c r="F1687" s="3" t="s">
        <v>16</v>
      </c>
      <c r="G1687" s="3" t="s">
        <v>3332</v>
      </c>
    </row>
    <row r="1688" spans="1:7">
      <c r="A1688" s="6">
        <v>42927</v>
      </c>
      <c r="B1688" s="3" t="s">
        <v>2053</v>
      </c>
      <c r="C1688" s="3" t="s">
        <v>21</v>
      </c>
      <c r="D1688" s="8" t="str">
        <f>HYPERLINK("http://npthd.inbcu.com/ViewContent.aspx?filename=NPMR_CBS_2017-07-11_E.MP4$467$617","COMMERCIAL")</f>
        <v>COMMERCIAL</v>
      </c>
      <c r="E1688" s="3" t="s">
        <v>28</v>
      </c>
      <c r="F1688" s="3" t="s">
        <v>3332</v>
      </c>
      <c r="G1688" s="3" t="s">
        <v>1313</v>
      </c>
    </row>
    <row r="1689" spans="1:7">
      <c r="A1689" s="6">
        <v>42927</v>
      </c>
      <c r="B1689" s="3" t="s">
        <v>2053</v>
      </c>
      <c r="C1689" s="3" t="s">
        <v>14</v>
      </c>
      <c r="D1689" s="8" t="str">
        <f>HYPERLINK("http://npthd.inbcu.com/ViewContent.aspx?filename=NPMR_CBS_2017-07-11_E.MP4$617$632","Big Brother")</f>
        <v>Big Brother</v>
      </c>
      <c r="E1689" s="3" t="s">
        <v>30</v>
      </c>
      <c r="F1689" s="3" t="s">
        <v>1313</v>
      </c>
      <c r="G1689" s="3" t="s">
        <v>3333</v>
      </c>
    </row>
    <row r="1690" spans="1:7">
      <c r="A1690" s="6">
        <v>42927</v>
      </c>
      <c r="B1690" s="3" t="s">
        <v>2053</v>
      </c>
      <c r="C1690" s="3" t="s">
        <v>14</v>
      </c>
      <c r="D1690" s="8" t="str">
        <f>HYPERLINK("http://npthd.inbcu.com/ViewContent.aspx?filename=NPMR_CBS_2017-07-11_E.MP4$632$652","Seal Team")</f>
        <v>Seal Team</v>
      </c>
      <c r="E1690" s="3" t="s">
        <v>1805</v>
      </c>
      <c r="F1690" s="3" t="s">
        <v>3333</v>
      </c>
      <c r="G1690" s="3" t="s">
        <v>1820</v>
      </c>
    </row>
    <row r="1691" spans="1:7">
      <c r="A1691" s="6">
        <v>42927</v>
      </c>
      <c r="B1691" s="3" t="s">
        <v>2053</v>
      </c>
      <c r="C1691" s="3" t="s">
        <v>18</v>
      </c>
      <c r="D1691" s="8" t="str">
        <f>HYPERLINK("http://npthd.inbcu.com/ViewContent.aspx?filename=NPMR_CBS_2017-07-11_E.MP4$652$1055","NCIS: being bad")</f>
        <v>NCIS: being bad</v>
      </c>
      <c r="E1691" s="3" t="s">
        <v>737</v>
      </c>
      <c r="F1691" s="3" t="s">
        <v>1820</v>
      </c>
      <c r="G1691" s="3" t="s">
        <v>3236</v>
      </c>
    </row>
    <row r="1692" spans="1:7">
      <c r="A1692" s="6">
        <v>42927</v>
      </c>
      <c r="B1692" s="3" t="s">
        <v>2053</v>
      </c>
      <c r="C1692" s="3" t="s">
        <v>21</v>
      </c>
      <c r="D1692" s="8" t="str">
        <f>HYPERLINK("http://npthd.inbcu.com/ViewContent.aspx?filename=NPMR_CBS_2017-07-11_E.MP4$1055$1207","COMMERCIAL")</f>
        <v>COMMERCIAL</v>
      </c>
      <c r="E1692" s="3" t="s">
        <v>128</v>
      </c>
      <c r="F1692" s="3" t="s">
        <v>3236</v>
      </c>
      <c r="G1692" s="3" t="s">
        <v>3334</v>
      </c>
    </row>
    <row r="1693" spans="1:7">
      <c r="A1693" s="6">
        <v>42927</v>
      </c>
      <c r="B1693" s="3" t="s">
        <v>2053</v>
      </c>
      <c r="C1693" s="3" t="s">
        <v>1618</v>
      </c>
      <c r="D1693" s="8" t="str">
        <f>HYPERLINK("http://npthd.inbcu.com/ViewContent.aspx?filename=NPMR_CBS_2017-07-11_E.MP4$1207$1217","PSA")</f>
        <v>PSA</v>
      </c>
      <c r="E1693" s="3" t="s">
        <v>197</v>
      </c>
      <c r="F1693" s="3" t="s">
        <v>3334</v>
      </c>
      <c r="G1693" s="3" t="s">
        <v>3335</v>
      </c>
    </row>
    <row r="1694" spans="1:7">
      <c r="A1694" s="6">
        <v>42927</v>
      </c>
      <c r="B1694" s="3" t="s">
        <v>2053</v>
      </c>
      <c r="C1694" s="3" t="s">
        <v>14</v>
      </c>
      <c r="D1694" s="8" t="str">
        <f>HYPERLINK("http://npthd.inbcu.com/ViewContent.aspx?filename=NPMR_CBS_2017-07-11_E.MP4$1217$1247","Salvation")</f>
        <v>Salvation</v>
      </c>
      <c r="E1694" s="3" t="s">
        <v>38</v>
      </c>
      <c r="F1694" s="3" t="s">
        <v>3335</v>
      </c>
      <c r="G1694" s="3" t="s">
        <v>3336</v>
      </c>
    </row>
    <row r="1695" spans="1:7">
      <c r="A1695" s="6">
        <v>42927</v>
      </c>
      <c r="B1695" s="3" t="s">
        <v>2053</v>
      </c>
      <c r="C1695" s="3" t="s">
        <v>14</v>
      </c>
      <c r="D1695" s="8" t="str">
        <f>HYPERLINK("http://npthd.inbcu.com/ViewContent.aspx?filename=NPMR_CBS_2017-07-11_E.MP4$1247$1257","Wisdom of the Crowd")</f>
        <v>Wisdom of the Crowd</v>
      </c>
      <c r="E1695" s="3" t="s">
        <v>197</v>
      </c>
      <c r="F1695" s="3" t="s">
        <v>3336</v>
      </c>
      <c r="G1695" s="3" t="s">
        <v>3337</v>
      </c>
    </row>
    <row r="1696" spans="1:7">
      <c r="A1696" s="6">
        <v>42927</v>
      </c>
      <c r="B1696" s="3" t="s">
        <v>2053</v>
      </c>
      <c r="C1696" s="3" t="s">
        <v>18</v>
      </c>
      <c r="D1696" s="8" t="str">
        <f>HYPERLINK("http://npthd.inbcu.com/ViewContent.aspx?filename=NPMR_CBS_2017-07-11_E.MP4$1257$1931","NCIS: being bad")</f>
        <v>NCIS: being bad</v>
      </c>
      <c r="E1696" s="3" t="s">
        <v>3023</v>
      </c>
      <c r="F1696" s="3" t="s">
        <v>3337</v>
      </c>
      <c r="G1696" s="3" t="s">
        <v>3338</v>
      </c>
    </row>
    <row r="1697" spans="1:7">
      <c r="A1697" s="6">
        <v>42927</v>
      </c>
      <c r="B1697" s="3" t="s">
        <v>2053</v>
      </c>
      <c r="C1697" s="3" t="s">
        <v>21</v>
      </c>
      <c r="D1697" s="8" t="str">
        <f>HYPERLINK("http://npthd.inbcu.com/ViewContent.aspx?filename=NPMR_CBS_2017-07-11_E.MP4$1931$2084","COMMERCIAL")</f>
        <v>COMMERCIAL</v>
      </c>
      <c r="E1697" s="3" t="s">
        <v>1735</v>
      </c>
      <c r="F1697" s="3" t="s">
        <v>3338</v>
      </c>
      <c r="G1697" s="3" t="s">
        <v>2275</v>
      </c>
    </row>
    <row r="1698" spans="1:7">
      <c r="A1698" s="6">
        <v>42927</v>
      </c>
      <c r="B1698" s="3" t="s">
        <v>2053</v>
      </c>
      <c r="C1698" s="3" t="s">
        <v>14</v>
      </c>
      <c r="D1698" s="8" t="str">
        <f>HYPERLINK("http://npthd.inbcu.com/ViewContent.aspx?filename=NPMR_CBS_2017-07-11_E.MP4$2084$2094","Late Show with Stephen Colbert")</f>
        <v>Late Show with Stephen Colbert</v>
      </c>
      <c r="E1698" s="3" t="s">
        <v>197</v>
      </c>
      <c r="F1698" s="3" t="s">
        <v>2275</v>
      </c>
      <c r="G1698" s="3" t="s">
        <v>3339</v>
      </c>
    </row>
    <row r="1699" spans="1:7">
      <c r="A1699" s="6">
        <v>42927</v>
      </c>
      <c r="B1699" s="3" t="s">
        <v>2053</v>
      </c>
      <c r="C1699" s="3" t="s">
        <v>32</v>
      </c>
      <c r="D1699" s="8" t="str">
        <f>HYPERLINK("http://npthd.inbcu.com/ViewContent.aspx?filename=NPMR_CBS_2017-07-11_E.MP4$2094$2189","LOCAL")</f>
        <v>LOCAL</v>
      </c>
      <c r="E1699" s="3" t="s">
        <v>2076</v>
      </c>
      <c r="F1699" s="3" t="s">
        <v>3339</v>
      </c>
      <c r="G1699" s="3" t="s">
        <v>1775</v>
      </c>
    </row>
    <row r="1700" spans="1:7">
      <c r="A1700" s="6">
        <v>42927</v>
      </c>
      <c r="B1700" s="3" t="s">
        <v>2053</v>
      </c>
      <c r="C1700" s="3" t="s">
        <v>18</v>
      </c>
      <c r="D1700" s="8" t="str">
        <f>HYPERLINK("http://npthd.inbcu.com/ViewContent.aspx?filename=NPMR_CBS_2017-07-11_E.MP4$2189$2798","NCIS: being bad")</f>
        <v>NCIS: being bad</v>
      </c>
      <c r="E1700" s="3" t="s">
        <v>2507</v>
      </c>
      <c r="F1700" s="3" t="s">
        <v>1775</v>
      </c>
      <c r="G1700" s="3" t="s">
        <v>3340</v>
      </c>
    </row>
    <row r="1701" spans="1:7">
      <c r="A1701" s="6">
        <v>42927</v>
      </c>
      <c r="B1701" s="3" t="s">
        <v>2053</v>
      </c>
      <c r="C1701" s="3" t="s">
        <v>21</v>
      </c>
      <c r="D1701" s="8" t="str">
        <f>HYPERLINK("http://npthd.inbcu.com/ViewContent.aspx?filename=NPMR_CBS_2017-07-11_E.MP4$2798$2921","COMMERCIAL")</f>
        <v>COMMERCIAL</v>
      </c>
      <c r="E1701" s="3" t="s">
        <v>2722</v>
      </c>
      <c r="F1701" s="3" t="s">
        <v>3340</v>
      </c>
      <c r="G1701" s="3" t="s">
        <v>3341</v>
      </c>
    </row>
    <row r="1702" spans="1:7">
      <c r="A1702" s="6">
        <v>42927</v>
      </c>
      <c r="B1702" s="3" t="s">
        <v>2053</v>
      </c>
      <c r="C1702" s="3" t="s">
        <v>14</v>
      </c>
      <c r="D1702" s="8" t="str">
        <f>HYPERLINK("http://npthd.inbcu.com/ViewContent.aspx?filename=NPMR_CBS_2017-07-11_E.MP4$2921$2931","Bull")</f>
        <v>Bull</v>
      </c>
      <c r="E1702" s="3" t="s">
        <v>197</v>
      </c>
      <c r="F1702" s="3" t="s">
        <v>3341</v>
      </c>
      <c r="G1702" s="3" t="s">
        <v>3342</v>
      </c>
    </row>
    <row r="1703" spans="1:7">
      <c r="A1703" s="6">
        <v>42927</v>
      </c>
      <c r="B1703" s="3" t="s">
        <v>2053</v>
      </c>
      <c r="C1703" s="3" t="s">
        <v>14</v>
      </c>
      <c r="D1703" s="8" t="str">
        <f>HYPERLINK("http://npthd.inbcu.com/ViewContent.aspx?filename=NPMR_CBS_2017-07-11_E.MP4$2931$2951","Salvation")</f>
        <v>Salvation</v>
      </c>
      <c r="E1703" s="3" t="s">
        <v>1805</v>
      </c>
      <c r="F1703" s="3" t="s">
        <v>3342</v>
      </c>
      <c r="G1703" s="3" t="s">
        <v>2708</v>
      </c>
    </row>
    <row r="1704" spans="1:7">
      <c r="A1704" s="6">
        <v>42927</v>
      </c>
      <c r="B1704" s="3" t="s">
        <v>2053</v>
      </c>
      <c r="C1704" s="3" t="s">
        <v>32</v>
      </c>
      <c r="D1704" s="8" t="str">
        <f>HYPERLINK("http://npthd.inbcu.com/ViewContent.aspx?filename=NPMR_CBS_2017-07-11_E.MP4$2951$3046","LOCAL")</f>
        <v>LOCAL</v>
      </c>
      <c r="E1704" s="3" t="s">
        <v>2076</v>
      </c>
      <c r="F1704" s="3" t="s">
        <v>2708</v>
      </c>
      <c r="G1704" s="3" t="s">
        <v>3343</v>
      </c>
    </row>
    <row r="1705" spans="1:7">
      <c r="A1705" s="6">
        <v>42927</v>
      </c>
      <c r="B1705" s="3" t="s">
        <v>2053</v>
      </c>
      <c r="C1705" s="3" t="s">
        <v>18</v>
      </c>
      <c r="D1705" s="8" t="str">
        <f>HYPERLINK("http://npthd.inbcu.com/ViewContent.aspx?filename=NPMR_CBS_2017-07-11_E.MP4$3046$3540","NCIS: being bad")</f>
        <v>NCIS: being bad</v>
      </c>
      <c r="E1705" s="3" t="s">
        <v>386</v>
      </c>
      <c r="F1705" s="3" t="s">
        <v>3343</v>
      </c>
      <c r="G1705" s="3" t="s">
        <v>2522</v>
      </c>
    </row>
    <row r="1706" spans="1:7">
      <c r="A1706" s="6">
        <v>42927</v>
      </c>
      <c r="B1706" s="3" t="s">
        <v>2053</v>
      </c>
      <c r="C1706" s="3" t="s">
        <v>21</v>
      </c>
      <c r="D1706" s="8" t="str">
        <f>HYPERLINK("http://npthd.inbcu.com/ViewContent.aspx?filename=NPMR_CBS_2017-07-11_E.MP4$3540$3692","COMMERCIAL")</f>
        <v>COMMERCIAL</v>
      </c>
      <c r="E1706" s="3" t="s">
        <v>128</v>
      </c>
      <c r="F1706" s="3" t="s">
        <v>2522</v>
      </c>
      <c r="G1706" s="3" t="s">
        <v>2343</v>
      </c>
    </row>
    <row r="1707" spans="1:7">
      <c r="A1707" s="6">
        <v>42927</v>
      </c>
      <c r="B1707" s="3" t="s">
        <v>2053</v>
      </c>
      <c r="C1707" s="3" t="s">
        <v>14</v>
      </c>
      <c r="D1707" s="8" t="str">
        <f>HYPERLINK("http://npthd.inbcu.com/ViewContent.aspx?filename=NPMR_CBS_2017-07-11_E.MP4$3692$3712","Zoo")</f>
        <v>Zoo</v>
      </c>
      <c r="E1707" s="3" t="s">
        <v>1805</v>
      </c>
      <c r="F1707" s="3" t="s">
        <v>2343</v>
      </c>
      <c r="G1707" s="3" t="s">
        <v>2196</v>
      </c>
    </row>
    <row r="1708" spans="1:7">
      <c r="A1708" s="6">
        <v>42927</v>
      </c>
      <c r="B1708" s="3" t="s">
        <v>2053</v>
      </c>
      <c r="C1708" s="3" t="s">
        <v>18</v>
      </c>
      <c r="D1708" s="8" t="str">
        <f>HYPERLINK("http://npthd.inbcu.com/ViewContent.aspx?filename=NPMR_CBS_2017-07-11_E.MP4$3712$3717","NCIS: being bad")</f>
        <v>NCIS: being bad</v>
      </c>
      <c r="E1708" s="3" t="s">
        <v>54</v>
      </c>
      <c r="F1708" s="3" t="s">
        <v>2196</v>
      </c>
      <c r="G1708" s="3" t="s">
        <v>242</v>
      </c>
    </row>
    <row r="1709" spans="1:7">
      <c r="A1709" s="6">
        <v>42927</v>
      </c>
      <c r="B1709" s="3" t="s">
        <v>2053</v>
      </c>
      <c r="C1709" s="3" t="s">
        <v>14</v>
      </c>
      <c r="D1709" s="8" t="str">
        <f>HYPERLINK("http://npthd.inbcu.com/ViewContent.aspx?filename=NPMR_CBS_2017-07-11_E.MP4$3717$3722","Late Show with Stephen Colbert")</f>
        <v>Late Show with Stephen Colbert</v>
      </c>
      <c r="E1709" s="3" t="s">
        <v>54</v>
      </c>
      <c r="F1709" s="3" t="s">
        <v>242</v>
      </c>
      <c r="G1709" s="3" t="s">
        <v>243</v>
      </c>
    </row>
    <row r="1710" spans="1:7">
      <c r="A1710" s="6">
        <v>42927</v>
      </c>
      <c r="B1710" s="3" t="s">
        <v>2053</v>
      </c>
      <c r="C1710" s="3" t="s">
        <v>18</v>
      </c>
      <c r="D1710" s="8" t="str">
        <f>HYPERLINK("http://npthd.inbcu.com/ViewContent.aspx?filename=NPMR_CBS_2017-07-11_E.MP4$3722$4305","BULL: the fall")</f>
        <v>BULL: the fall</v>
      </c>
      <c r="E1710" s="3" t="s">
        <v>3344</v>
      </c>
      <c r="F1710" s="3" t="s">
        <v>243</v>
      </c>
      <c r="G1710" s="3" t="s">
        <v>3345</v>
      </c>
    </row>
    <row r="1711" spans="1:7">
      <c r="A1711" s="6">
        <v>42927</v>
      </c>
      <c r="B1711" s="3" t="s">
        <v>2053</v>
      </c>
      <c r="C1711" s="3" t="s">
        <v>21</v>
      </c>
      <c r="D1711" s="8" t="str">
        <f>HYPERLINK("http://npthd.inbcu.com/ViewContent.aspx?filename=NPMR_CBS_2017-07-11_E.MP4$4305$4487","COMMERCIAL")</f>
        <v>COMMERCIAL</v>
      </c>
      <c r="E1711" s="3" t="s">
        <v>275</v>
      </c>
      <c r="F1711" s="3" t="s">
        <v>3345</v>
      </c>
      <c r="G1711" s="3" t="s">
        <v>3346</v>
      </c>
    </row>
    <row r="1712" spans="1:7">
      <c r="A1712" s="6">
        <v>42927</v>
      </c>
      <c r="B1712" s="3" t="s">
        <v>2053</v>
      </c>
      <c r="C1712" s="3" t="s">
        <v>14</v>
      </c>
      <c r="D1712" s="8" t="str">
        <f>HYPERLINK("http://npthd.inbcu.com/ViewContent.aspx?filename=NPMR_CBS_2017-07-11_E.MP4$4487$4497","Big Brother")</f>
        <v>Big Brother</v>
      </c>
      <c r="E1712" s="3" t="s">
        <v>197</v>
      </c>
      <c r="F1712" s="3" t="s">
        <v>3346</v>
      </c>
      <c r="G1712" s="3" t="s">
        <v>1899</v>
      </c>
    </row>
    <row r="1713" spans="1:7">
      <c r="A1713" s="6">
        <v>42927</v>
      </c>
      <c r="B1713" s="3" t="s">
        <v>2053</v>
      </c>
      <c r="C1713" s="3" t="s">
        <v>14</v>
      </c>
      <c r="D1713" s="8" t="str">
        <f>HYPERLINK("http://npthd.inbcu.com/ViewContent.aspx?filename=NPMR_CBS_2017-07-11_E.MP4$4497$4517","Seal Team")</f>
        <v>Seal Team</v>
      </c>
      <c r="E1713" s="3" t="s">
        <v>1805</v>
      </c>
      <c r="F1713" s="3" t="s">
        <v>1899</v>
      </c>
      <c r="G1713" s="3" t="s">
        <v>3347</v>
      </c>
    </row>
    <row r="1714" spans="1:7">
      <c r="A1714" s="6">
        <v>42927</v>
      </c>
      <c r="B1714" s="3" t="s">
        <v>2053</v>
      </c>
      <c r="C1714" s="3" t="s">
        <v>18</v>
      </c>
      <c r="D1714" s="8" t="str">
        <f>HYPERLINK("http://npthd.inbcu.com/ViewContent.aspx?filename=NPMR_CBS_2017-07-11_E.MP4$4517$5055","BULL: the fall")</f>
        <v>BULL: the fall</v>
      </c>
      <c r="E1714" s="3" t="s">
        <v>3348</v>
      </c>
      <c r="F1714" s="3" t="s">
        <v>3347</v>
      </c>
      <c r="G1714" s="3" t="s">
        <v>65</v>
      </c>
    </row>
    <row r="1715" spans="1:7">
      <c r="A1715" s="6">
        <v>42927</v>
      </c>
      <c r="B1715" s="3" t="s">
        <v>2053</v>
      </c>
      <c r="C1715" s="3" t="s">
        <v>21</v>
      </c>
      <c r="D1715" s="8" t="str">
        <f>HYPERLINK("http://npthd.inbcu.com/ViewContent.aspx?filename=NPMR_CBS_2017-07-11_E.MP4$5055$5207","COMMERCIAL")</f>
        <v>COMMERCIAL</v>
      </c>
      <c r="E1715" s="3" t="s">
        <v>128</v>
      </c>
      <c r="F1715" s="3" t="s">
        <v>65</v>
      </c>
      <c r="G1715" s="3" t="s">
        <v>3349</v>
      </c>
    </row>
    <row r="1716" spans="1:7">
      <c r="A1716" s="6">
        <v>42927</v>
      </c>
      <c r="B1716" s="3" t="s">
        <v>2053</v>
      </c>
      <c r="C1716" s="3" t="s">
        <v>14</v>
      </c>
      <c r="D1716" s="8" t="str">
        <f>HYPERLINK("http://npthd.inbcu.com/ViewContent.aspx?filename=NPMR_CBS_2017-07-11_E.MP4$5207$5247","Salvation")</f>
        <v>Salvation</v>
      </c>
      <c r="E1716" s="3" t="s">
        <v>619</v>
      </c>
      <c r="F1716" s="3" t="s">
        <v>3349</v>
      </c>
      <c r="G1716" s="3" t="s">
        <v>3350</v>
      </c>
    </row>
    <row r="1717" spans="1:7">
      <c r="A1717" s="6">
        <v>42927</v>
      </c>
      <c r="B1717" s="3" t="s">
        <v>2053</v>
      </c>
      <c r="C1717" s="3" t="s">
        <v>18</v>
      </c>
      <c r="D1717" s="8" t="str">
        <f>HYPERLINK("http://npthd.inbcu.com/ViewContent.aspx?filename=NPMR_CBS_2017-07-11_E.MP4$5247$5690","BULL: the fall")</f>
        <v>BULL: the fall</v>
      </c>
      <c r="E1717" s="3" t="s">
        <v>2348</v>
      </c>
      <c r="F1717" s="3" t="s">
        <v>3350</v>
      </c>
      <c r="G1717" s="3" t="s">
        <v>3351</v>
      </c>
    </row>
    <row r="1718" spans="1:7">
      <c r="A1718" s="6">
        <v>42927</v>
      </c>
      <c r="B1718" s="3" t="s">
        <v>2053</v>
      </c>
      <c r="C1718" s="3" t="s">
        <v>21</v>
      </c>
      <c r="D1718" s="8" t="str">
        <f>HYPERLINK("http://npthd.inbcu.com/ViewContent.aspx?filename=NPMR_CBS_2017-07-11_E.MP4$5690$5870","COMMERCIAL")</f>
        <v>COMMERCIAL</v>
      </c>
      <c r="E1718" s="3" t="s">
        <v>22</v>
      </c>
      <c r="F1718" s="3" t="s">
        <v>3351</v>
      </c>
      <c r="G1718" s="3" t="s">
        <v>1505</v>
      </c>
    </row>
    <row r="1719" spans="1:7">
      <c r="A1719" s="6">
        <v>42927</v>
      </c>
      <c r="B1719" s="3" t="s">
        <v>2053</v>
      </c>
      <c r="C1719" s="3" t="s">
        <v>14</v>
      </c>
      <c r="D1719" s="8" t="str">
        <f>HYPERLINK("http://npthd.inbcu.com/ViewContent.aspx?filename=NPMR_CBS_2017-07-11_E.MP4$5870$5880","Late Show with Stephen Colbert")</f>
        <v>Late Show with Stephen Colbert</v>
      </c>
      <c r="E1719" s="3" t="s">
        <v>197</v>
      </c>
      <c r="F1719" s="3" t="s">
        <v>1505</v>
      </c>
      <c r="G1719" s="3" t="s">
        <v>3352</v>
      </c>
    </row>
    <row r="1720" spans="1:7">
      <c r="A1720" s="6">
        <v>42927</v>
      </c>
      <c r="B1720" s="3" t="s">
        <v>2053</v>
      </c>
      <c r="C1720" s="3" t="s">
        <v>32</v>
      </c>
      <c r="D1720" s="8" t="str">
        <f>HYPERLINK("http://npthd.inbcu.com/ViewContent.aspx?filename=NPMR_CBS_2017-07-11_E.MP4$5880$5945","LOCAL")</f>
        <v>LOCAL</v>
      </c>
      <c r="E1720" s="3" t="s">
        <v>580</v>
      </c>
      <c r="F1720" s="3" t="s">
        <v>3352</v>
      </c>
      <c r="G1720" s="3" t="s">
        <v>3353</v>
      </c>
    </row>
    <row r="1721" spans="1:7">
      <c r="A1721" s="6">
        <v>42927</v>
      </c>
      <c r="B1721" s="3" t="s">
        <v>2053</v>
      </c>
      <c r="C1721" s="3" t="s">
        <v>18</v>
      </c>
      <c r="D1721" s="8" t="str">
        <f>HYPERLINK("http://npthd.inbcu.com/ViewContent.aspx?filename=NPMR_CBS_2017-07-11_E.MP4$5945$6428","BULL: the fall")</f>
        <v>BULL: the fall</v>
      </c>
      <c r="E1721" s="3" t="s">
        <v>1854</v>
      </c>
      <c r="F1721" s="3" t="s">
        <v>3353</v>
      </c>
      <c r="G1721" s="3" t="s">
        <v>2476</v>
      </c>
    </row>
    <row r="1722" spans="1:7">
      <c r="A1722" s="6">
        <v>42927</v>
      </c>
      <c r="B1722" s="3" t="s">
        <v>2053</v>
      </c>
      <c r="C1722" s="3" t="s">
        <v>21</v>
      </c>
      <c r="D1722" s="8" t="str">
        <f>HYPERLINK("http://npthd.inbcu.com/ViewContent.aspx?filename=NPMR_CBS_2017-07-11_E.MP4$6428$6518","COMMERCIAL")</f>
        <v>COMMERCIAL</v>
      </c>
      <c r="E1722" s="3" t="s">
        <v>46</v>
      </c>
      <c r="F1722" s="3" t="s">
        <v>2476</v>
      </c>
      <c r="G1722" s="3" t="s">
        <v>3354</v>
      </c>
    </row>
    <row r="1723" spans="1:7">
      <c r="A1723" s="6">
        <v>42927</v>
      </c>
      <c r="B1723" s="3" t="s">
        <v>2053</v>
      </c>
      <c r="C1723" s="3" t="s">
        <v>32</v>
      </c>
      <c r="D1723" s="8" t="str">
        <f>HYPERLINK("http://npthd.inbcu.com/ViewContent.aspx?filename=NPMR_CBS_2017-07-11_E.MP4$6518$6673","LOCAL")</f>
        <v>LOCAL</v>
      </c>
      <c r="E1723" s="3" t="s">
        <v>1029</v>
      </c>
      <c r="F1723" s="3" t="s">
        <v>3354</v>
      </c>
      <c r="G1723" s="3" t="s">
        <v>661</v>
      </c>
    </row>
    <row r="1724" spans="1:7">
      <c r="A1724" s="6">
        <v>42927</v>
      </c>
      <c r="B1724" s="3" t="s">
        <v>2053</v>
      </c>
      <c r="C1724" s="3" t="s">
        <v>18</v>
      </c>
      <c r="D1724" s="8" t="str">
        <f>HYPERLINK("http://npthd.inbcu.com/ViewContent.aspx?filename=NPMR_CBS_2017-07-11_E.MP4$6673$7119","BULL: the fall")</f>
        <v>BULL: the fall</v>
      </c>
      <c r="E1724" s="3" t="s">
        <v>2023</v>
      </c>
      <c r="F1724" s="3" t="s">
        <v>661</v>
      </c>
      <c r="G1724" s="3" t="s">
        <v>1363</v>
      </c>
    </row>
    <row r="1725" spans="1:7">
      <c r="A1725" s="6">
        <v>42927</v>
      </c>
      <c r="B1725" s="3" t="s">
        <v>2053</v>
      </c>
      <c r="C1725" s="3" t="s">
        <v>21</v>
      </c>
      <c r="D1725" s="8" t="str">
        <f>HYPERLINK("http://npthd.inbcu.com/ViewContent.aspx?filename=NPMR_CBS_2017-07-11_E.MP4$7119$7271","COMMERCIAL")</f>
        <v>COMMERCIAL</v>
      </c>
      <c r="E1725" s="3" t="s">
        <v>128</v>
      </c>
      <c r="F1725" s="3" t="s">
        <v>1363</v>
      </c>
      <c r="G1725" s="3" t="s">
        <v>2830</v>
      </c>
    </row>
    <row r="1726" spans="1:7">
      <c r="A1726" s="6">
        <v>42927</v>
      </c>
      <c r="B1726" s="3" t="s">
        <v>2053</v>
      </c>
      <c r="C1726" s="3" t="s">
        <v>14</v>
      </c>
      <c r="D1726" s="8" t="str">
        <f>HYPERLINK("http://npthd.inbcu.com/ViewContent.aspx?filename=NPMR_CBS_2017-07-11_E.MP4$7271$7281","Salvation")</f>
        <v>Salvation</v>
      </c>
      <c r="E1726" s="3" t="s">
        <v>197</v>
      </c>
      <c r="F1726" s="3" t="s">
        <v>2830</v>
      </c>
      <c r="G1726" s="3" t="s">
        <v>181</v>
      </c>
    </row>
    <row r="1727" spans="1:7">
      <c r="A1727" s="6">
        <v>42927</v>
      </c>
      <c r="B1727" s="3" t="s">
        <v>2053</v>
      </c>
      <c r="C1727" s="3" t="s">
        <v>14</v>
      </c>
      <c r="D1727" s="8" t="str">
        <f>HYPERLINK("http://npthd.inbcu.com/ViewContent.aspx?filename=NPMR_CBS_2017-07-11_E.MP4$7281$7312","Zoo")</f>
        <v>Zoo</v>
      </c>
      <c r="E1727" s="3" t="s">
        <v>98</v>
      </c>
      <c r="F1727" s="3" t="s">
        <v>181</v>
      </c>
      <c r="G1727" s="3" t="s">
        <v>750</v>
      </c>
    </row>
    <row r="1728" spans="1:7">
      <c r="A1728" s="6">
        <v>42927</v>
      </c>
      <c r="B1728" s="3" t="s">
        <v>2053</v>
      </c>
      <c r="C1728" s="3" t="s">
        <v>18</v>
      </c>
      <c r="D1728" s="8" t="str">
        <f>HYPERLINK("http://npthd.inbcu.com/ViewContent.aspx?filename=NPMR_CBS_2017-07-11_E.MP4$7312$7317","BULL: the fall")</f>
        <v>BULL: the fall</v>
      </c>
      <c r="E1728" s="3" t="s">
        <v>54</v>
      </c>
      <c r="F1728" s="3" t="s">
        <v>750</v>
      </c>
      <c r="G1728" s="3" t="s">
        <v>394</v>
      </c>
    </row>
    <row r="1729" spans="1:7">
      <c r="A1729" s="6">
        <v>42927</v>
      </c>
      <c r="B1729" s="3" t="s">
        <v>2053</v>
      </c>
      <c r="C1729" s="3" t="s">
        <v>14</v>
      </c>
      <c r="D1729" s="8" t="str">
        <f>HYPERLINK("http://npthd.inbcu.com/ViewContent.aspx?filename=NPMR_CBS_2017-07-11_E.MP4$7317$7322","Late Show with Stephen Colbert")</f>
        <v>Late Show with Stephen Colbert</v>
      </c>
      <c r="E1729" s="3" t="s">
        <v>54</v>
      </c>
      <c r="F1729" s="3" t="s">
        <v>394</v>
      </c>
      <c r="G1729" s="3" t="s">
        <v>395</v>
      </c>
    </row>
    <row r="1730" spans="1:7">
      <c r="A1730" s="6">
        <v>42927</v>
      </c>
      <c r="B1730" s="3" t="s">
        <v>2053</v>
      </c>
      <c r="C1730" s="3" t="s">
        <v>18</v>
      </c>
      <c r="D1730" s="8" t="str">
        <f>HYPERLINK("http://npthd.inbcu.com/ViewContent.aspx?filename=NPMR_CBS_2017-07-11_E.MP4$7322$7849","NCIS: NEW ORLEANS: let it ride")</f>
        <v>NCIS: NEW ORLEANS: let it ride</v>
      </c>
      <c r="E1730" s="3" t="s">
        <v>1010</v>
      </c>
      <c r="F1730" s="3" t="s">
        <v>395</v>
      </c>
      <c r="G1730" s="3" t="s">
        <v>3355</v>
      </c>
    </row>
    <row r="1731" spans="1:7">
      <c r="A1731" s="6">
        <v>42927</v>
      </c>
      <c r="B1731" s="3" t="s">
        <v>2053</v>
      </c>
      <c r="C1731" s="3" t="s">
        <v>21</v>
      </c>
      <c r="D1731" s="8" t="str">
        <f>HYPERLINK("http://npthd.inbcu.com/ViewContent.aspx?filename=NPMR_CBS_2017-07-11_E.MP4$7849$8016","COMMERCIAL")</f>
        <v>COMMERCIAL</v>
      </c>
      <c r="E1731" s="3" t="s">
        <v>1217</v>
      </c>
      <c r="F1731" s="3" t="s">
        <v>3355</v>
      </c>
      <c r="G1731" s="3" t="s">
        <v>3356</v>
      </c>
    </row>
    <row r="1732" spans="1:7">
      <c r="A1732" s="6">
        <v>42927</v>
      </c>
      <c r="B1732" s="3" t="s">
        <v>2053</v>
      </c>
      <c r="C1732" s="3" t="s">
        <v>14</v>
      </c>
      <c r="D1732" s="8" t="str">
        <f>HYPERLINK("http://npthd.inbcu.com/ViewContent.aspx?filename=NPMR_CBS_2017-07-11_E.MP4$8016$8033","Big Brother")</f>
        <v>Big Brother</v>
      </c>
      <c r="E1732" s="3" t="s">
        <v>576</v>
      </c>
      <c r="F1732" s="3" t="s">
        <v>3356</v>
      </c>
      <c r="G1732" s="3" t="s">
        <v>1803</v>
      </c>
    </row>
    <row r="1733" spans="1:7">
      <c r="A1733" s="6">
        <v>42927</v>
      </c>
      <c r="B1733" s="3" t="s">
        <v>2053</v>
      </c>
      <c r="C1733" s="3" t="s">
        <v>18</v>
      </c>
      <c r="D1733" s="8" t="str">
        <f>HYPERLINK("http://npthd.inbcu.com/ViewContent.aspx?filename=NPMR_CBS_2017-07-11_E.MP4$8033$8413","NCIS: NEW ORLEANS: let it ride")</f>
        <v>NCIS: NEW ORLEANS: let it ride</v>
      </c>
      <c r="E1733" s="3" t="s">
        <v>1034</v>
      </c>
      <c r="F1733" s="3" t="s">
        <v>1803</v>
      </c>
      <c r="G1733" s="3" t="s">
        <v>3357</v>
      </c>
    </row>
    <row r="1734" spans="1:7">
      <c r="A1734" s="6">
        <v>42927</v>
      </c>
      <c r="B1734" s="3" t="s">
        <v>2053</v>
      </c>
      <c r="C1734" s="3" t="s">
        <v>21</v>
      </c>
      <c r="D1734" s="8" t="str">
        <f>HYPERLINK("http://npthd.inbcu.com/ViewContent.aspx?filename=NPMR_CBS_2017-07-11_E.MP4$8413$8565","COMMERCIAL")</f>
        <v>COMMERCIAL</v>
      </c>
      <c r="E1734" s="3" t="s">
        <v>128</v>
      </c>
      <c r="F1734" s="3" t="s">
        <v>3357</v>
      </c>
      <c r="G1734" s="3" t="s">
        <v>3358</v>
      </c>
    </row>
    <row r="1735" spans="1:7">
      <c r="A1735" s="6">
        <v>42927</v>
      </c>
      <c r="B1735" s="3" t="s">
        <v>2053</v>
      </c>
      <c r="C1735" s="3" t="s">
        <v>14</v>
      </c>
      <c r="D1735" s="8" t="str">
        <f>HYPERLINK("http://npthd.inbcu.com/ViewContent.aspx?filename=NPMR_CBS_2017-07-11_E.MP4$8565$8575","Late Show with Stephen Colbert")</f>
        <v>Late Show with Stephen Colbert</v>
      </c>
      <c r="E1735" s="3" t="s">
        <v>197</v>
      </c>
      <c r="F1735" s="3" t="s">
        <v>3358</v>
      </c>
      <c r="G1735" s="3" t="s">
        <v>3359</v>
      </c>
    </row>
    <row r="1736" spans="1:7">
      <c r="A1736" s="6">
        <v>42927</v>
      </c>
      <c r="B1736" s="3" t="s">
        <v>2053</v>
      </c>
      <c r="C1736" s="3" t="s">
        <v>14</v>
      </c>
      <c r="D1736" s="8" t="str">
        <f>HYPERLINK("http://npthd.inbcu.com/ViewContent.aspx?filename=NPMR_CBS_2017-07-11_E.MP4$8575$8595","Salvation")</f>
        <v>Salvation</v>
      </c>
      <c r="E1736" s="3" t="s">
        <v>1805</v>
      </c>
      <c r="F1736" s="3" t="s">
        <v>3359</v>
      </c>
      <c r="G1736" s="3" t="s">
        <v>3360</v>
      </c>
    </row>
    <row r="1737" spans="1:7">
      <c r="A1737" s="6">
        <v>42927</v>
      </c>
      <c r="B1737" s="3" t="s">
        <v>2053</v>
      </c>
      <c r="C1737" s="3" t="s">
        <v>14</v>
      </c>
      <c r="D1737" s="8" t="str">
        <f>HYPERLINK("http://npthd.inbcu.com/ViewContent.aspx?filename=NPMR_CBS_2017-07-11_E.MP4$8595$8600","Seal Team")</f>
        <v>Seal Team</v>
      </c>
      <c r="E1737" s="3" t="s">
        <v>54</v>
      </c>
      <c r="F1737" s="3" t="s">
        <v>3360</v>
      </c>
      <c r="G1737" s="3" t="s">
        <v>2485</v>
      </c>
    </row>
    <row r="1738" spans="1:7">
      <c r="A1738" s="6">
        <v>42927</v>
      </c>
      <c r="B1738" s="3" t="s">
        <v>2053</v>
      </c>
      <c r="C1738" s="3" t="s">
        <v>18</v>
      </c>
      <c r="D1738" s="8" t="str">
        <f>HYPERLINK("http://npthd.inbcu.com/ViewContent.aspx?filename=NPMR_CBS_2017-07-11_E.MP4$8600$9188","NCIS: NEW ORLEANS: let it ride")</f>
        <v>NCIS: NEW ORLEANS: let it ride</v>
      </c>
      <c r="E1738" s="3" t="s">
        <v>2643</v>
      </c>
      <c r="F1738" s="3" t="s">
        <v>2485</v>
      </c>
      <c r="G1738" s="3" t="s">
        <v>3361</v>
      </c>
    </row>
    <row r="1739" spans="1:7">
      <c r="A1739" s="6">
        <v>42927</v>
      </c>
      <c r="B1739" s="3" t="s">
        <v>2053</v>
      </c>
      <c r="C1739" s="3" t="s">
        <v>21</v>
      </c>
      <c r="D1739" s="8" t="str">
        <f>HYPERLINK("http://npthd.inbcu.com/ViewContent.aspx?filename=NPMR_CBS_2017-07-11_E.MP4$9188$9308","COMMERCIAL")</f>
        <v>COMMERCIAL</v>
      </c>
      <c r="E1739" s="3" t="s">
        <v>43</v>
      </c>
      <c r="F1739" s="3" t="s">
        <v>3361</v>
      </c>
      <c r="G1739" s="3" t="s">
        <v>3362</v>
      </c>
    </row>
    <row r="1740" spans="1:7">
      <c r="A1740" s="6">
        <v>42927</v>
      </c>
      <c r="B1740" s="3" t="s">
        <v>2053</v>
      </c>
      <c r="C1740" s="3" t="s">
        <v>32</v>
      </c>
      <c r="D1740" s="8" t="str">
        <f>HYPERLINK("http://npthd.inbcu.com/ViewContent.aspx?filename=NPMR_CBS_2017-07-11_E.MP4$9308$9448","LOCAL")</f>
        <v>LOCAL</v>
      </c>
      <c r="E1740" s="3" t="s">
        <v>623</v>
      </c>
      <c r="F1740" s="3" t="s">
        <v>3362</v>
      </c>
      <c r="G1740" s="3" t="s">
        <v>3363</v>
      </c>
    </row>
    <row r="1741" spans="1:7">
      <c r="A1741" s="6">
        <v>42927</v>
      </c>
      <c r="B1741" s="3" t="s">
        <v>2053</v>
      </c>
      <c r="C1741" s="3" t="s">
        <v>18</v>
      </c>
      <c r="D1741" s="8" t="str">
        <f>HYPERLINK("http://npthd.inbcu.com/ViewContent.aspx?filename=NPMR_CBS_2017-07-11_E.MP4$9448$10037","NCIS: NEW ORLEANS: let it ride")</f>
        <v>NCIS: NEW ORLEANS: let it ride</v>
      </c>
      <c r="E1741" s="3" t="s">
        <v>2709</v>
      </c>
      <c r="F1741" s="3" t="s">
        <v>3363</v>
      </c>
      <c r="G1741" s="3" t="s">
        <v>3364</v>
      </c>
    </row>
    <row r="1742" spans="1:7">
      <c r="A1742" s="6">
        <v>42927</v>
      </c>
      <c r="B1742" s="3" t="s">
        <v>2053</v>
      </c>
      <c r="C1742" s="3" t="s">
        <v>21</v>
      </c>
      <c r="D1742" s="8" t="str">
        <f>HYPERLINK("http://npthd.inbcu.com/ViewContent.aspx?filename=NPMR_CBS_2017-07-11_E.MP4$10037$10220","COMMERCIAL")</f>
        <v>COMMERCIAL</v>
      </c>
      <c r="E1742" s="3" t="s">
        <v>154</v>
      </c>
      <c r="F1742" s="3" t="s">
        <v>3364</v>
      </c>
      <c r="G1742" s="3" t="s">
        <v>3365</v>
      </c>
    </row>
    <row r="1743" spans="1:7">
      <c r="A1743" s="6">
        <v>42927</v>
      </c>
      <c r="B1743" s="3" t="s">
        <v>2053</v>
      </c>
      <c r="C1743" s="3" t="s">
        <v>14</v>
      </c>
      <c r="D1743" s="8" t="str">
        <f>HYPERLINK("http://npthd.inbcu.com/ViewContent.aspx?filename=NPMR_CBS_2017-07-11_E.MP4$10220$10230","Talk, The")</f>
        <v>Talk, The</v>
      </c>
      <c r="E1743" s="3" t="s">
        <v>197</v>
      </c>
      <c r="F1743" s="3" t="s">
        <v>3365</v>
      </c>
      <c r="G1743" s="3" t="s">
        <v>3366</v>
      </c>
    </row>
    <row r="1744" spans="1:7">
      <c r="A1744" s="6">
        <v>42927</v>
      </c>
      <c r="B1744" s="3" t="s">
        <v>2053</v>
      </c>
      <c r="C1744" s="3" t="s">
        <v>14</v>
      </c>
      <c r="D1744" s="8" t="str">
        <f>HYPERLINK("http://npthd.inbcu.com/ViewContent.aspx?filename=NPMR_CBS_2017-07-11_E.MP4$10230$10240","Salvation")</f>
        <v>Salvation</v>
      </c>
      <c r="E1744" s="3" t="s">
        <v>197</v>
      </c>
      <c r="F1744" s="3" t="s">
        <v>3366</v>
      </c>
      <c r="G1744" s="3" t="s">
        <v>1932</v>
      </c>
    </row>
    <row r="1745" spans="1:7">
      <c r="A1745" s="6">
        <v>42927</v>
      </c>
      <c r="B1745" s="3" t="s">
        <v>2053</v>
      </c>
      <c r="C1745" s="3" t="s">
        <v>32</v>
      </c>
      <c r="D1745" s="8" t="str">
        <f>HYPERLINK("http://npthd.inbcu.com/ViewContent.aspx?filename=NPMR_CBS_2017-07-11_E.MP4$10240$10335","LOCAL")</f>
        <v>LOCAL</v>
      </c>
      <c r="E1745" s="3" t="s">
        <v>2076</v>
      </c>
      <c r="F1745" s="3" t="s">
        <v>1932</v>
      </c>
      <c r="G1745" s="3" t="s">
        <v>1308</v>
      </c>
    </row>
    <row r="1746" spans="1:7">
      <c r="A1746" s="6">
        <v>42927</v>
      </c>
      <c r="B1746" s="3" t="s">
        <v>2053</v>
      </c>
      <c r="C1746" s="3" t="s">
        <v>18</v>
      </c>
      <c r="D1746" s="8" t="str">
        <f>HYPERLINK("http://npthd.inbcu.com/ViewContent.aspx?filename=NPMR_CBS_2017-07-11_E.MP4$10335$10800","NCIS: NEW ORLEANS: let it ride")</f>
        <v>NCIS: NEW ORLEANS: let it ride</v>
      </c>
      <c r="E1746" s="3" t="s">
        <v>2844</v>
      </c>
      <c r="F1746" s="3" t="s">
        <v>1308</v>
      </c>
      <c r="G1746" s="3" t="s">
        <v>2385</v>
      </c>
    </row>
    <row r="1747" spans="1:7">
      <c r="A1747" s="6">
        <v>42927</v>
      </c>
      <c r="B1747" s="3" t="s">
        <v>2053</v>
      </c>
      <c r="C1747" s="3" t="s">
        <v>32</v>
      </c>
      <c r="D1747" s="8" t="str">
        <f>HYPERLINK("http://npthd.inbcu.com/ViewContent.aspx?filename=NPMR_CBS_2017-07-11_E.MP4$10800$10812","LOCAL")</f>
        <v>LOCAL</v>
      </c>
      <c r="E1747" s="3" t="s">
        <v>2057</v>
      </c>
      <c r="F1747" s="3" t="s">
        <v>2385</v>
      </c>
      <c r="G1747" s="3" t="s">
        <v>2386</v>
      </c>
    </row>
    <row r="1748" spans="1:7">
      <c r="A1748" s="6">
        <v>42927</v>
      </c>
      <c r="B1748" s="3" t="s">
        <v>2053</v>
      </c>
      <c r="C1748" s="3" t="s">
        <v>21</v>
      </c>
      <c r="D1748" s="8" t="str">
        <f>HYPERLINK("http://npthd.inbcu.com/ViewContent.aspx?filename=NPMR_CBS_2017-07-11_E.MP4$10812$10872","COMMERCIAL")</f>
        <v>COMMERCIAL</v>
      </c>
      <c r="E1748" s="3" t="s">
        <v>66</v>
      </c>
      <c r="F1748" s="3" t="s">
        <v>2386</v>
      </c>
      <c r="G1748" s="3" t="s">
        <v>310</v>
      </c>
    </row>
    <row r="1749" spans="1:7">
      <c r="A1749" s="6">
        <v>42927</v>
      </c>
      <c r="B1749" s="3" t="s">
        <v>2053</v>
      </c>
      <c r="C1749" s="3" t="s">
        <v>14</v>
      </c>
      <c r="D1749" s="8" t="str">
        <f>HYPERLINK("http://npthd.inbcu.com/ViewContent.aspx?filename=NPMR_CBS_2017-07-11_E.MP4$10872$10877","Late Show with Stephen Colbert")</f>
        <v>Late Show with Stephen Colbert</v>
      </c>
      <c r="E1749" s="3" t="s">
        <v>54</v>
      </c>
      <c r="F1749" s="3" t="s">
        <v>310</v>
      </c>
      <c r="G1749" s="3" t="s">
        <v>2387</v>
      </c>
    </row>
    <row r="1750" spans="1:7">
      <c r="A1750" s="6">
        <v>42927</v>
      </c>
      <c r="B1750" s="3" t="s">
        <v>2053</v>
      </c>
      <c r="C1750" s="3" t="s">
        <v>14</v>
      </c>
      <c r="D1750" s="8" t="str">
        <f>HYPERLINK("http://npthd.inbcu.com/ViewContent.aspx?filename=NPMR_CBS_2017-07-11_E.MP4$10877$10899","Salvation")</f>
        <v>Salvation</v>
      </c>
      <c r="E1750" s="3" t="s">
        <v>2124</v>
      </c>
      <c r="F1750" s="3" t="s">
        <v>2387</v>
      </c>
      <c r="G1750" s="3" t="s">
        <v>2388</v>
      </c>
    </row>
    <row r="1751" spans="1:7">
      <c r="A1751" s="6">
        <v>42927</v>
      </c>
      <c r="B1751" s="3" t="s">
        <v>2053</v>
      </c>
      <c r="C1751" s="3" t="s">
        <v>18</v>
      </c>
      <c r="D1751" s="8" t="str">
        <f>HYPERLINK("http://npthd.inbcu.com/ViewContent.aspx?filename=NPMR_CBS_2017-07-11_E.MP4$10899$10905","NCIS: NEW ORLEANS: let it ride")</f>
        <v>NCIS: NEW ORLEANS: let it ride</v>
      </c>
      <c r="E1751" s="3" t="s">
        <v>15</v>
      </c>
      <c r="F1751" s="3" t="s">
        <v>2388</v>
      </c>
      <c r="G1751" s="3" t="s">
        <v>2317</v>
      </c>
    </row>
    <row r="1752" spans="1:7">
      <c r="A1752" s="6">
        <v>42927</v>
      </c>
      <c r="B1752" s="3" t="s">
        <v>2053</v>
      </c>
      <c r="C1752" s="3" t="s">
        <v>32</v>
      </c>
      <c r="D1752" s="8" t="str">
        <f>HYPERLINK("http://npthd.inbcu.com/ViewContent.aspx?filename=NPMR_CBS_2017-07-11_E.MP4$10905$10917","LOCAL")</f>
        <v>LOCAL</v>
      </c>
      <c r="E1752" s="3" t="s">
        <v>2057</v>
      </c>
      <c r="F1752" s="3" t="s">
        <v>2317</v>
      </c>
      <c r="G1752" s="3" t="s">
        <v>124</v>
      </c>
    </row>
    <row r="1753" spans="1:7">
      <c r="A1753" s="6">
        <v>42928</v>
      </c>
      <c r="B1753" s="3" t="s">
        <v>2053</v>
      </c>
      <c r="C1753" s="3" t="s">
        <v>18</v>
      </c>
      <c r="D1753" s="8" t="str">
        <f>HYPERLINK("http://npthd.inbcu.com/ViewContent.aspx?filename=NPMR_CBS_2017-07-12_E.MP4$120$986","BIG BROTHER 19: 1907")</f>
        <v>BIG BROTHER 19: 1907</v>
      </c>
      <c r="E1753" s="3" t="s">
        <v>3367</v>
      </c>
      <c r="F1753" s="3" t="s">
        <v>16</v>
      </c>
      <c r="G1753" s="3" t="s">
        <v>25</v>
      </c>
    </row>
    <row r="1754" spans="1:7">
      <c r="A1754" s="6">
        <v>42928</v>
      </c>
      <c r="B1754" s="3" t="s">
        <v>2053</v>
      </c>
      <c r="C1754" s="3" t="s">
        <v>21</v>
      </c>
      <c r="D1754" s="8" t="str">
        <f>HYPERLINK("http://npthd.inbcu.com/ViewContent.aspx?filename=NPMR_CBS_2017-07-12_E.MP4$986$1137","COMMERCIAL")</f>
        <v>COMMERCIAL</v>
      </c>
      <c r="E1754" s="3" t="s">
        <v>91</v>
      </c>
      <c r="F1754" s="3" t="s">
        <v>25</v>
      </c>
      <c r="G1754" s="3" t="s">
        <v>2324</v>
      </c>
    </row>
    <row r="1755" spans="1:7">
      <c r="A1755" s="6">
        <v>42928</v>
      </c>
      <c r="B1755" s="3" t="s">
        <v>2053</v>
      </c>
      <c r="C1755" s="3" t="s">
        <v>14</v>
      </c>
      <c r="D1755" s="8" t="str">
        <f>HYPERLINK("http://npthd.inbcu.com/ViewContent.aspx?filename=NPMR_CBS_2017-07-12_E.MP4$1137$1147","Talk, The")</f>
        <v>Talk, The</v>
      </c>
      <c r="E1755" s="3" t="s">
        <v>197</v>
      </c>
      <c r="F1755" s="3" t="s">
        <v>2324</v>
      </c>
      <c r="G1755" s="3" t="s">
        <v>2325</v>
      </c>
    </row>
    <row r="1756" spans="1:7">
      <c r="A1756" s="6">
        <v>42928</v>
      </c>
      <c r="B1756" s="3" t="s">
        <v>2053</v>
      </c>
      <c r="C1756" s="3" t="s">
        <v>14</v>
      </c>
      <c r="D1756" s="8" t="str">
        <f>HYPERLINK("http://npthd.inbcu.com/ViewContent.aspx?filename=NPMR_CBS_2017-07-12_E.MP4$1147$1167","Salvation")</f>
        <v>Salvation</v>
      </c>
      <c r="E1756" s="3" t="s">
        <v>1805</v>
      </c>
      <c r="F1756" s="3" t="s">
        <v>2325</v>
      </c>
      <c r="G1756" s="3" t="s">
        <v>2452</v>
      </c>
    </row>
    <row r="1757" spans="1:7">
      <c r="A1757" s="6">
        <v>42928</v>
      </c>
      <c r="B1757" s="3" t="s">
        <v>2053</v>
      </c>
      <c r="C1757" s="3" t="s">
        <v>14</v>
      </c>
      <c r="D1757" s="8" t="str">
        <f>HYPERLINK("http://npthd.inbcu.com/ViewContent.aspx?filename=NPMR_CBS_2017-07-12_E.MP4$1167$1177","CBS.com/App")</f>
        <v>CBS.com/App</v>
      </c>
      <c r="E1757" s="3" t="s">
        <v>197</v>
      </c>
      <c r="F1757" s="3" t="s">
        <v>2452</v>
      </c>
      <c r="G1757" s="3" t="s">
        <v>3368</v>
      </c>
    </row>
    <row r="1758" spans="1:7">
      <c r="A1758" s="6">
        <v>42928</v>
      </c>
      <c r="B1758" s="3" t="s">
        <v>2053</v>
      </c>
      <c r="C1758" s="3" t="s">
        <v>18</v>
      </c>
      <c r="D1758" s="8" t="str">
        <f>HYPERLINK("http://npthd.inbcu.com/ViewContent.aspx?filename=NPMR_CBS_2017-07-12_E.MP4$1177$1475","BIG BROTHER 19: 1907")</f>
        <v>BIG BROTHER 19: 1907</v>
      </c>
      <c r="E1758" s="3" t="s">
        <v>1207</v>
      </c>
      <c r="F1758" s="3" t="s">
        <v>3368</v>
      </c>
      <c r="G1758" s="3" t="s">
        <v>3369</v>
      </c>
    </row>
    <row r="1759" spans="1:7">
      <c r="A1759" s="6">
        <v>42928</v>
      </c>
      <c r="B1759" s="3" t="s">
        <v>2053</v>
      </c>
      <c r="C1759" s="3" t="s">
        <v>21</v>
      </c>
      <c r="D1759" s="8" t="str">
        <f>HYPERLINK("http://npthd.inbcu.com/ViewContent.aspx?filename=NPMR_CBS_2017-07-12_E.MP4$1475$1626","COMMERCIAL")</f>
        <v>COMMERCIAL</v>
      </c>
      <c r="E1759" s="3" t="s">
        <v>91</v>
      </c>
      <c r="F1759" s="3" t="s">
        <v>3369</v>
      </c>
      <c r="G1759" s="3" t="s">
        <v>1612</v>
      </c>
    </row>
    <row r="1760" spans="1:7">
      <c r="A1760" s="6">
        <v>42928</v>
      </c>
      <c r="B1760" s="3" t="s">
        <v>2053</v>
      </c>
      <c r="C1760" s="3" t="s">
        <v>1618</v>
      </c>
      <c r="D1760" s="8" t="str">
        <f>HYPERLINK("http://npthd.inbcu.com/ViewContent.aspx?filename=NPMR_CBS_2017-07-12_E.MP4$1626$1637","PSA")</f>
        <v>PSA</v>
      </c>
      <c r="E1760" s="3" t="s">
        <v>1940</v>
      </c>
      <c r="F1760" s="3" t="s">
        <v>1612</v>
      </c>
      <c r="G1760" s="3" t="s">
        <v>3370</v>
      </c>
    </row>
    <row r="1761" spans="1:7">
      <c r="A1761" s="6">
        <v>42928</v>
      </c>
      <c r="B1761" s="3" t="s">
        <v>2053</v>
      </c>
      <c r="C1761" s="3" t="s">
        <v>14</v>
      </c>
      <c r="D1761" s="8" t="str">
        <f>HYPERLINK("http://npthd.inbcu.com/ViewContent.aspx?filename=NPMR_CBS_2017-07-12_E.MP4$1637$1656","Salvation")</f>
        <v>Salvation</v>
      </c>
      <c r="E1761" s="3" t="s">
        <v>670</v>
      </c>
      <c r="F1761" s="3" t="s">
        <v>3370</v>
      </c>
      <c r="G1761" s="3" t="s">
        <v>1613</v>
      </c>
    </row>
    <row r="1762" spans="1:7">
      <c r="A1762" s="6">
        <v>42928</v>
      </c>
      <c r="B1762" s="3" t="s">
        <v>2053</v>
      </c>
      <c r="C1762" s="3" t="s">
        <v>14</v>
      </c>
      <c r="D1762" s="8" t="str">
        <f>HYPERLINK("http://npthd.inbcu.com/ViewContent.aspx?filename=NPMR_CBS_2017-07-12_E.MP4$1656$1666","Young Sheldon")</f>
        <v>Young Sheldon</v>
      </c>
      <c r="E1762" s="3" t="s">
        <v>197</v>
      </c>
      <c r="F1762" s="3" t="s">
        <v>1613</v>
      </c>
      <c r="G1762" s="3" t="s">
        <v>3371</v>
      </c>
    </row>
    <row r="1763" spans="1:7">
      <c r="A1763" s="6">
        <v>42928</v>
      </c>
      <c r="B1763" s="3" t="s">
        <v>2053</v>
      </c>
      <c r="C1763" s="3" t="s">
        <v>14</v>
      </c>
      <c r="D1763" s="8" t="str">
        <f>HYPERLINK("http://npthd.inbcu.com/ViewContent.aspx?filename=NPMR_CBS_2017-07-12_E.MP4$1666$1677","CBS.com/App")</f>
        <v>CBS.com/App</v>
      </c>
      <c r="E1763" s="3" t="s">
        <v>1940</v>
      </c>
      <c r="F1763" s="3" t="s">
        <v>3371</v>
      </c>
      <c r="G1763" s="3" t="s">
        <v>3372</v>
      </c>
    </row>
    <row r="1764" spans="1:7">
      <c r="A1764" s="6">
        <v>42928</v>
      </c>
      <c r="B1764" s="3" t="s">
        <v>2053</v>
      </c>
      <c r="C1764" s="3" t="s">
        <v>18</v>
      </c>
      <c r="D1764" s="8" t="str">
        <f>HYPERLINK("http://npthd.inbcu.com/ViewContent.aspx?filename=NPMR_CBS_2017-07-12_E.MP4$1677$2511","BIG BROTHER 19: 1907")</f>
        <v>BIG BROTHER 19: 1907</v>
      </c>
      <c r="E1764" s="3" t="s">
        <v>3373</v>
      </c>
      <c r="F1764" s="3" t="s">
        <v>3372</v>
      </c>
      <c r="G1764" s="3" t="s">
        <v>1269</v>
      </c>
    </row>
    <row r="1765" spans="1:7">
      <c r="A1765" s="6">
        <v>42928</v>
      </c>
      <c r="B1765" s="3" t="s">
        <v>2053</v>
      </c>
      <c r="C1765" s="3" t="s">
        <v>21</v>
      </c>
      <c r="D1765" s="8" t="str">
        <f>HYPERLINK("http://npthd.inbcu.com/ViewContent.aspx?filename=NPMR_CBS_2017-07-12_E.MP4$2511$2662","COMMERCIAL")</f>
        <v>COMMERCIAL</v>
      </c>
      <c r="E1765" s="3" t="s">
        <v>91</v>
      </c>
      <c r="F1765" s="3" t="s">
        <v>1269</v>
      </c>
      <c r="G1765" s="3" t="s">
        <v>3374</v>
      </c>
    </row>
    <row r="1766" spans="1:7">
      <c r="A1766" s="6">
        <v>42928</v>
      </c>
      <c r="B1766" s="3" t="s">
        <v>2053</v>
      </c>
      <c r="C1766" s="3" t="s">
        <v>32</v>
      </c>
      <c r="D1766" s="8" t="str">
        <f>HYPERLINK("http://npthd.inbcu.com/ViewContent.aspx?filename=NPMR_CBS_2017-07-12_E.MP4$2662$2727","LOCAL")</f>
        <v>LOCAL</v>
      </c>
      <c r="E1766" s="3" t="s">
        <v>580</v>
      </c>
      <c r="F1766" s="3" t="s">
        <v>3374</v>
      </c>
      <c r="G1766" s="3" t="s">
        <v>3375</v>
      </c>
    </row>
    <row r="1767" spans="1:7">
      <c r="A1767" s="6">
        <v>42928</v>
      </c>
      <c r="B1767" s="3" t="s">
        <v>2053</v>
      </c>
      <c r="C1767" s="3" t="s">
        <v>14</v>
      </c>
      <c r="D1767" s="8" t="str">
        <f>HYPERLINK("http://npthd.inbcu.com/ViewContent.aspx?filename=NPMR_CBS_2017-07-12_E.MP4$2727$2737","CBS.com/BB19")</f>
        <v>CBS.com/BB19</v>
      </c>
      <c r="E1767" s="3" t="s">
        <v>197</v>
      </c>
      <c r="F1767" s="3" t="s">
        <v>3375</v>
      </c>
      <c r="G1767" s="3" t="s">
        <v>3245</v>
      </c>
    </row>
    <row r="1768" spans="1:7">
      <c r="A1768" s="6">
        <v>42928</v>
      </c>
      <c r="B1768" s="3" t="s">
        <v>2053</v>
      </c>
      <c r="C1768" s="3" t="s">
        <v>18</v>
      </c>
      <c r="D1768" s="8" t="str">
        <f>HYPERLINK("http://npthd.inbcu.com/ViewContent.aspx?filename=NPMR_CBS_2017-07-12_E.MP4$2737$2984","BIG BROTHER 19: 1907")</f>
        <v>BIG BROTHER 19: 1907</v>
      </c>
      <c r="E1768" s="3" t="s">
        <v>3376</v>
      </c>
      <c r="F1768" s="3" t="s">
        <v>3245</v>
      </c>
      <c r="G1768" s="3" t="s">
        <v>3377</v>
      </c>
    </row>
    <row r="1769" spans="1:7">
      <c r="A1769" s="6">
        <v>42928</v>
      </c>
      <c r="B1769" s="3" t="s">
        <v>2053</v>
      </c>
      <c r="C1769" s="3" t="s">
        <v>21</v>
      </c>
      <c r="D1769" s="8" t="str">
        <f>HYPERLINK("http://npthd.inbcu.com/ViewContent.aspx?filename=NPMR_CBS_2017-07-12_E.MP4$2984$3135","COMMERCIAL")</f>
        <v>COMMERCIAL</v>
      </c>
      <c r="E1769" s="3" t="s">
        <v>91</v>
      </c>
      <c r="F1769" s="3" t="s">
        <v>3377</v>
      </c>
      <c r="G1769" s="3" t="s">
        <v>1490</v>
      </c>
    </row>
    <row r="1770" spans="1:7">
      <c r="A1770" s="6">
        <v>42928</v>
      </c>
      <c r="B1770" s="3" t="s">
        <v>2053</v>
      </c>
      <c r="C1770" s="3" t="s">
        <v>14</v>
      </c>
      <c r="D1770" s="8" t="str">
        <f>HYPERLINK("http://npthd.inbcu.com/ViewContent.aspx?filename=NPMR_CBS_2017-07-12_E.MP4$3135$3165","Salvation")</f>
        <v>Salvation</v>
      </c>
      <c r="E1770" s="3" t="s">
        <v>38</v>
      </c>
      <c r="F1770" s="3" t="s">
        <v>1490</v>
      </c>
      <c r="G1770" s="3" t="s">
        <v>3378</v>
      </c>
    </row>
    <row r="1771" spans="1:7">
      <c r="A1771" s="6">
        <v>42928</v>
      </c>
      <c r="B1771" s="3" t="s">
        <v>2053</v>
      </c>
      <c r="C1771" s="3" t="s">
        <v>18</v>
      </c>
      <c r="D1771" s="8" t="str">
        <f>HYPERLINK("http://npthd.inbcu.com/ViewContent.aspx?filename=NPMR_CBS_2017-07-12_E.MP4$3165$3497","BIG BROTHER 19: 1907")</f>
        <v>BIG BROTHER 19: 1907</v>
      </c>
      <c r="E1771" s="3" t="s">
        <v>201</v>
      </c>
      <c r="F1771" s="3" t="s">
        <v>3378</v>
      </c>
      <c r="G1771" s="3" t="s">
        <v>1558</v>
      </c>
    </row>
    <row r="1772" spans="1:7">
      <c r="A1772" s="6">
        <v>42928</v>
      </c>
      <c r="B1772" s="3" t="s">
        <v>2053</v>
      </c>
      <c r="C1772" s="3" t="s">
        <v>21</v>
      </c>
      <c r="D1772" s="8" t="str">
        <f>HYPERLINK("http://npthd.inbcu.com/ViewContent.aspx?filename=NPMR_CBS_2017-07-12_E.MP4$3497$3557","COMMERCIAL")</f>
        <v>COMMERCIAL</v>
      </c>
      <c r="E1772" s="3" t="s">
        <v>66</v>
      </c>
      <c r="F1772" s="3" t="s">
        <v>1558</v>
      </c>
      <c r="G1772" s="3" t="s">
        <v>152</v>
      </c>
    </row>
    <row r="1773" spans="1:7">
      <c r="A1773" s="6">
        <v>42928</v>
      </c>
      <c r="B1773" s="3" t="s">
        <v>2053</v>
      </c>
      <c r="C1773" s="3" t="s">
        <v>14</v>
      </c>
      <c r="D1773" s="8" t="str">
        <f>HYPERLINK("http://npthd.inbcu.com/ViewContent.aspx?filename=NPMR_CBS_2017-07-12_E.MP4$3557$3567","Salvation")</f>
        <v>Salvation</v>
      </c>
      <c r="E1773" s="3" t="s">
        <v>197</v>
      </c>
      <c r="F1773" s="3" t="s">
        <v>152</v>
      </c>
      <c r="G1773" s="3" t="s">
        <v>3379</v>
      </c>
    </row>
    <row r="1774" spans="1:7">
      <c r="A1774" s="6">
        <v>42928</v>
      </c>
      <c r="B1774" s="3" t="s">
        <v>2053</v>
      </c>
      <c r="C1774" s="3" t="s">
        <v>14</v>
      </c>
      <c r="D1774" s="8" t="str">
        <f>HYPERLINK("http://npthd.inbcu.com/ViewContent.aspx?filename=NPMR_CBS_2017-07-12_E.MP4$3567$3587","Wisdom of the Crowd")</f>
        <v>Wisdom of the Crowd</v>
      </c>
      <c r="E1774" s="3" t="s">
        <v>1805</v>
      </c>
      <c r="F1774" s="3" t="s">
        <v>3379</v>
      </c>
      <c r="G1774" s="3" t="s">
        <v>2011</v>
      </c>
    </row>
    <row r="1775" spans="1:7">
      <c r="A1775" s="6">
        <v>42928</v>
      </c>
      <c r="B1775" s="3" t="s">
        <v>2053</v>
      </c>
      <c r="C1775" s="3" t="s">
        <v>14</v>
      </c>
      <c r="D1775" s="8" t="str">
        <f>HYPERLINK("http://npthd.inbcu.com/ViewContent.aspx?filename=NPMR_CBS_2017-07-12_E.MP4$3587$3619","Seal Team")</f>
        <v>Seal Team</v>
      </c>
      <c r="E1775" s="3" t="s">
        <v>213</v>
      </c>
      <c r="F1775" s="3" t="s">
        <v>2011</v>
      </c>
      <c r="G1775" s="3" t="s">
        <v>2767</v>
      </c>
    </row>
    <row r="1776" spans="1:7">
      <c r="A1776" s="6">
        <v>42928</v>
      </c>
      <c r="B1776" s="3" t="s">
        <v>2053</v>
      </c>
      <c r="C1776" s="3" t="s">
        <v>18</v>
      </c>
      <c r="D1776" s="8" t="str">
        <f>HYPERLINK("http://npthd.inbcu.com/ViewContent.aspx?filename=NPMR_CBS_2017-07-12_E.MP4$3619$3624","BIG BROTHER 19: 1907")</f>
        <v>BIG BROTHER 19: 1907</v>
      </c>
      <c r="E1776" s="3" t="s">
        <v>54</v>
      </c>
      <c r="F1776" s="3" t="s">
        <v>2767</v>
      </c>
      <c r="G1776" s="3" t="s">
        <v>3380</v>
      </c>
    </row>
    <row r="1777" spans="1:7">
      <c r="A1777" s="6">
        <v>42928</v>
      </c>
      <c r="B1777" s="3" t="s">
        <v>2053</v>
      </c>
      <c r="C1777" s="3" t="s">
        <v>32</v>
      </c>
      <c r="D1777" s="8" t="str">
        <f>HYPERLINK("http://npthd.inbcu.com/ViewContent.aspx?filename=NPMR_CBS_2017-07-12_E.MP4$3624$3719","LOCAL")</f>
        <v>LOCAL</v>
      </c>
      <c r="E1777" s="3" t="s">
        <v>2076</v>
      </c>
      <c r="F1777" s="3" t="s">
        <v>3380</v>
      </c>
      <c r="G1777" s="3" t="s">
        <v>2283</v>
      </c>
    </row>
    <row r="1778" spans="1:7">
      <c r="A1778" s="6">
        <v>42928</v>
      </c>
      <c r="B1778" s="3" t="s">
        <v>2053</v>
      </c>
      <c r="C1778" s="3" t="s">
        <v>14</v>
      </c>
      <c r="D1778" s="8" t="str">
        <f>HYPERLINK("http://npthd.inbcu.com/ViewContent.aspx?filename=NPMR_CBS_2017-07-12_E.MP4$3719$3724","Late Show with Stephen Colbert")</f>
        <v>Late Show with Stephen Colbert</v>
      </c>
      <c r="E1778" s="3" t="s">
        <v>54</v>
      </c>
      <c r="F1778" s="3" t="s">
        <v>2283</v>
      </c>
      <c r="G1778" s="3" t="s">
        <v>988</v>
      </c>
    </row>
    <row r="1779" spans="1:7">
      <c r="A1779" s="6">
        <v>42928</v>
      </c>
      <c r="B1779" s="3" t="s">
        <v>2053</v>
      </c>
      <c r="C1779" s="3" t="s">
        <v>18</v>
      </c>
      <c r="D1779" s="8" t="str">
        <f>HYPERLINK("http://npthd.inbcu.com/ViewContent.aspx?filename=NPMR_CBS_2017-07-12_E.MP4$3724$4576","SALVATION: pilot")</f>
        <v>SALVATION: pilot</v>
      </c>
      <c r="E1779" s="3" t="s">
        <v>3381</v>
      </c>
      <c r="F1779" s="3" t="s">
        <v>988</v>
      </c>
      <c r="G1779" s="3" t="s">
        <v>3382</v>
      </c>
    </row>
    <row r="1780" spans="1:7">
      <c r="A1780" s="6">
        <v>42928</v>
      </c>
      <c r="B1780" s="3" t="s">
        <v>2053</v>
      </c>
      <c r="C1780" s="3" t="s">
        <v>21</v>
      </c>
      <c r="D1780" s="8" t="str">
        <f>HYPERLINK("http://npthd.inbcu.com/ViewContent.aspx?filename=NPMR_CBS_2017-07-12_E.MP4$4576$4697","COMMERCIAL")</f>
        <v>COMMERCIAL</v>
      </c>
      <c r="E1780" s="3" t="s">
        <v>175</v>
      </c>
      <c r="F1780" s="3" t="s">
        <v>3382</v>
      </c>
      <c r="G1780" s="3" t="s">
        <v>3383</v>
      </c>
    </row>
    <row r="1781" spans="1:7">
      <c r="A1781" s="6">
        <v>42928</v>
      </c>
      <c r="B1781" s="3" t="s">
        <v>2053</v>
      </c>
      <c r="C1781" s="3" t="s">
        <v>14</v>
      </c>
      <c r="D1781" s="8" t="str">
        <f>HYPERLINK("http://npthd.inbcu.com/ViewContent.aspx?filename=NPMR_CBS_2017-07-12_E.MP4$4697$4707","Big Brother")</f>
        <v>Big Brother</v>
      </c>
      <c r="E1781" s="3" t="s">
        <v>197</v>
      </c>
      <c r="F1781" s="3" t="s">
        <v>3383</v>
      </c>
      <c r="G1781" s="3" t="s">
        <v>2775</v>
      </c>
    </row>
    <row r="1782" spans="1:7">
      <c r="A1782" s="6">
        <v>42928</v>
      </c>
      <c r="B1782" s="3" t="s">
        <v>2053</v>
      </c>
      <c r="C1782" s="3" t="s">
        <v>14</v>
      </c>
      <c r="D1782" s="8" t="str">
        <f>HYPERLINK("http://npthd.inbcu.com/ViewContent.aspx?filename=NPMR_CBS_2017-07-12_E.MP4$4707$4727","Wisdom of the Crowd")</f>
        <v>Wisdom of the Crowd</v>
      </c>
      <c r="E1782" s="3" t="s">
        <v>1805</v>
      </c>
      <c r="F1782" s="3" t="s">
        <v>2775</v>
      </c>
      <c r="G1782" s="3" t="s">
        <v>3384</v>
      </c>
    </row>
    <row r="1783" spans="1:7">
      <c r="A1783" s="6">
        <v>42928</v>
      </c>
      <c r="B1783" s="3" t="s">
        <v>2053</v>
      </c>
      <c r="C1783" s="3" t="s">
        <v>18</v>
      </c>
      <c r="D1783" s="8" t="str">
        <f>HYPERLINK("http://npthd.inbcu.com/ViewContent.aspx?filename=NPMR_CBS_2017-07-12_E.MP4$4727$5185","SALVATION: pilot")</f>
        <v>SALVATION: pilot</v>
      </c>
      <c r="E1783" s="3" t="s">
        <v>921</v>
      </c>
      <c r="F1783" s="3" t="s">
        <v>3384</v>
      </c>
      <c r="G1783" s="3" t="s">
        <v>2353</v>
      </c>
    </row>
    <row r="1784" spans="1:7">
      <c r="A1784" s="6">
        <v>42928</v>
      </c>
      <c r="B1784" s="3" t="s">
        <v>2053</v>
      </c>
      <c r="C1784" s="3" t="s">
        <v>21</v>
      </c>
      <c r="D1784" s="8" t="str">
        <f>HYPERLINK("http://npthd.inbcu.com/ViewContent.aspx?filename=NPMR_CBS_2017-07-12_E.MP4$5185$5367","COMMERCIAL")</f>
        <v>COMMERCIAL</v>
      </c>
      <c r="E1784" s="3" t="s">
        <v>275</v>
      </c>
      <c r="F1784" s="3" t="s">
        <v>2353</v>
      </c>
      <c r="G1784" s="3" t="s">
        <v>733</v>
      </c>
    </row>
    <row r="1785" spans="1:7">
      <c r="A1785" s="6">
        <v>42928</v>
      </c>
      <c r="B1785" s="3" t="s">
        <v>2053</v>
      </c>
      <c r="C1785" s="3" t="s">
        <v>18</v>
      </c>
      <c r="D1785" s="8" t="str">
        <f>HYPERLINK("http://npthd.inbcu.com/ViewContent.aspx?filename=NPMR_CBS_2017-07-12_E.MP4$5367$5823","SALVATION: pilot")</f>
        <v>SALVATION: pilot</v>
      </c>
      <c r="E1785" s="3" t="s">
        <v>1683</v>
      </c>
      <c r="F1785" s="3" t="s">
        <v>733</v>
      </c>
      <c r="G1785" s="3" t="s">
        <v>463</v>
      </c>
    </row>
    <row r="1786" spans="1:7">
      <c r="A1786" s="6">
        <v>42928</v>
      </c>
      <c r="B1786" s="3" t="s">
        <v>2053</v>
      </c>
      <c r="C1786" s="3" t="s">
        <v>21</v>
      </c>
      <c r="D1786" s="8" t="str">
        <f>HYPERLINK("http://npthd.inbcu.com/ViewContent.aspx?filename=NPMR_CBS_2017-07-12_E.MP4$5823$5915","COMMERCIAL")</f>
        <v>COMMERCIAL</v>
      </c>
      <c r="E1786" s="3" t="s">
        <v>267</v>
      </c>
      <c r="F1786" s="3" t="s">
        <v>463</v>
      </c>
      <c r="G1786" s="3" t="s">
        <v>3385</v>
      </c>
    </row>
    <row r="1787" spans="1:7">
      <c r="A1787" s="6">
        <v>42928</v>
      </c>
      <c r="B1787" s="3" t="s">
        <v>2053</v>
      </c>
      <c r="C1787" s="3" t="s">
        <v>14</v>
      </c>
      <c r="D1787" s="8" t="str">
        <f>HYPERLINK("http://npthd.inbcu.com/ViewContent.aspx?filename=NPMR_CBS_2017-07-12_E.MP4$5915$5935","Zoo")</f>
        <v>Zoo</v>
      </c>
      <c r="E1787" s="3" t="s">
        <v>1805</v>
      </c>
      <c r="F1787" s="3" t="s">
        <v>3385</v>
      </c>
      <c r="G1787" s="3" t="s">
        <v>3386</v>
      </c>
    </row>
    <row r="1788" spans="1:7">
      <c r="A1788" s="6">
        <v>42928</v>
      </c>
      <c r="B1788" s="3" t="s">
        <v>2053</v>
      </c>
      <c r="C1788" s="3" t="s">
        <v>14</v>
      </c>
      <c r="D1788" s="8" t="str">
        <f>HYPERLINK("http://npthd.inbcu.com/ViewContent.aspx?filename=NPMR_CBS_2017-07-12_E.MP4$5935$5945","Me, Myself &amp; I")</f>
        <v>Me, Myself &amp; I</v>
      </c>
      <c r="E1788" s="3" t="s">
        <v>197</v>
      </c>
      <c r="F1788" s="3" t="s">
        <v>3386</v>
      </c>
      <c r="G1788" s="3" t="s">
        <v>3387</v>
      </c>
    </row>
    <row r="1789" spans="1:7">
      <c r="A1789" s="6">
        <v>42928</v>
      </c>
      <c r="B1789" s="3" t="s">
        <v>2053</v>
      </c>
      <c r="C1789" s="3" t="s">
        <v>32</v>
      </c>
      <c r="D1789" s="8" t="str">
        <f>HYPERLINK("http://npthd.inbcu.com/ViewContent.aspx?filename=NPMR_CBS_2017-07-12_E.MP4$5945$6010","LOCAL")</f>
        <v>LOCAL</v>
      </c>
      <c r="E1789" s="3" t="s">
        <v>580</v>
      </c>
      <c r="F1789" s="3" t="s">
        <v>3387</v>
      </c>
      <c r="G1789" s="3" t="s">
        <v>171</v>
      </c>
    </row>
    <row r="1790" spans="1:7">
      <c r="A1790" s="6">
        <v>42928</v>
      </c>
      <c r="B1790" s="3" t="s">
        <v>2053</v>
      </c>
      <c r="C1790" s="3" t="s">
        <v>18</v>
      </c>
      <c r="D1790" s="8" t="str">
        <f>HYPERLINK("http://npthd.inbcu.com/ViewContent.aspx?filename=NPMR_CBS_2017-07-12_E.MP4$6010$6398","SALVATION: pilot")</f>
        <v>SALVATION: pilot</v>
      </c>
      <c r="E1790" s="3" t="s">
        <v>1135</v>
      </c>
      <c r="F1790" s="3" t="s">
        <v>171</v>
      </c>
      <c r="G1790" s="3" t="s">
        <v>2422</v>
      </c>
    </row>
    <row r="1791" spans="1:7">
      <c r="A1791" s="6">
        <v>42928</v>
      </c>
      <c r="B1791" s="3" t="s">
        <v>2053</v>
      </c>
      <c r="C1791" s="3" t="s">
        <v>21</v>
      </c>
      <c r="D1791" s="8" t="str">
        <f>HYPERLINK("http://npthd.inbcu.com/ViewContent.aspx?filename=NPMR_CBS_2017-07-12_E.MP4$6398$6520","COMMERCIAL")</f>
        <v>COMMERCIAL</v>
      </c>
      <c r="E1791" s="3" t="s">
        <v>252</v>
      </c>
      <c r="F1791" s="3" t="s">
        <v>2422</v>
      </c>
      <c r="G1791" s="3" t="s">
        <v>3388</v>
      </c>
    </row>
    <row r="1792" spans="1:7">
      <c r="A1792" s="6">
        <v>42928</v>
      </c>
      <c r="B1792" s="3" t="s">
        <v>2053</v>
      </c>
      <c r="C1792" s="3" t="s">
        <v>14</v>
      </c>
      <c r="D1792" s="8" t="str">
        <f>HYPERLINK("http://npthd.inbcu.com/ViewContent.aspx?filename=NPMR_CBS_2017-07-12_E.MP4$6520$6530","Young Sheldon")</f>
        <v>Young Sheldon</v>
      </c>
      <c r="E1792" s="3" t="s">
        <v>197</v>
      </c>
      <c r="F1792" s="3" t="s">
        <v>3388</v>
      </c>
      <c r="G1792" s="3" t="s">
        <v>3389</v>
      </c>
    </row>
    <row r="1793" spans="1:7">
      <c r="A1793" s="6">
        <v>42928</v>
      </c>
      <c r="B1793" s="3" t="s">
        <v>2053</v>
      </c>
      <c r="C1793" s="3" t="s">
        <v>14</v>
      </c>
      <c r="D1793" s="8" t="str">
        <f>HYPERLINK("http://npthd.inbcu.com/ViewContent.aspx?filename=NPMR_CBS_2017-07-12_E.MP4$6530$6560","Seal Team")</f>
        <v>Seal Team</v>
      </c>
      <c r="E1793" s="3" t="s">
        <v>38</v>
      </c>
      <c r="F1793" s="3" t="s">
        <v>3389</v>
      </c>
      <c r="G1793" s="3" t="s">
        <v>2294</v>
      </c>
    </row>
    <row r="1794" spans="1:7">
      <c r="A1794" s="6">
        <v>42928</v>
      </c>
      <c r="B1794" s="3" t="s">
        <v>2053</v>
      </c>
      <c r="C1794" s="3" t="s">
        <v>32</v>
      </c>
      <c r="D1794" s="8" t="str">
        <f>HYPERLINK("http://npthd.inbcu.com/ViewContent.aspx?filename=NPMR_CBS_2017-07-12_E.MP4$6560$6655","LOCAL")</f>
        <v>LOCAL</v>
      </c>
      <c r="E1794" s="3" t="s">
        <v>2076</v>
      </c>
      <c r="F1794" s="3" t="s">
        <v>2294</v>
      </c>
      <c r="G1794" s="3" t="s">
        <v>2783</v>
      </c>
    </row>
    <row r="1795" spans="1:7">
      <c r="A1795" s="6">
        <v>42928</v>
      </c>
      <c r="B1795" s="3" t="s">
        <v>2053</v>
      </c>
      <c r="C1795" s="3" t="s">
        <v>18</v>
      </c>
      <c r="D1795" s="8" t="str">
        <f>HYPERLINK("http://npthd.inbcu.com/ViewContent.aspx?filename=NPMR_CBS_2017-07-12_E.MP4$6655$7075","SALVATION: pilot")</f>
        <v>SALVATION: pilot</v>
      </c>
      <c r="E1795" s="3" t="s">
        <v>26</v>
      </c>
      <c r="F1795" s="3" t="s">
        <v>2783</v>
      </c>
      <c r="G1795" s="3" t="s">
        <v>3390</v>
      </c>
    </row>
    <row r="1796" spans="1:7">
      <c r="A1796" s="6">
        <v>42928</v>
      </c>
      <c r="B1796" s="3" t="s">
        <v>2053</v>
      </c>
      <c r="C1796" s="3" t="s">
        <v>21</v>
      </c>
      <c r="D1796" s="8" t="str">
        <f>HYPERLINK("http://npthd.inbcu.com/ViewContent.aspx?filename=NPMR_CBS_2017-07-12_E.MP4$7075$7227","COMMERCIAL")</f>
        <v>COMMERCIAL</v>
      </c>
      <c r="E1796" s="3" t="s">
        <v>128</v>
      </c>
      <c r="F1796" s="3" t="s">
        <v>3390</v>
      </c>
      <c r="G1796" s="3" t="s">
        <v>3391</v>
      </c>
    </row>
    <row r="1797" spans="1:7">
      <c r="A1797" s="6">
        <v>42928</v>
      </c>
      <c r="B1797" s="3" t="s">
        <v>2053</v>
      </c>
      <c r="C1797" s="3" t="s">
        <v>14</v>
      </c>
      <c r="D1797" s="8" t="str">
        <f>HYPERLINK("http://npthd.inbcu.com/ViewContent.aspx?filename=NPMR_CBS_2017-07-12_E.MP4$7227$7237","Big Bang Theory")</f>
        <v>Big Bang Theory</v>
      </c>
      <c r="E1797" s="3" t="s">
        <v>197</v>
      </c>
      <c r="F1797" s="3" t="s">
        <v>3391</v>
      </c>
      <c r="G1797" s="3" t="s">
        <v>564</v>
      </c>
    </row>
    <row r="1798" spans="1:7">
      <c r="A1798" s="6">
        <v>42928</v>
      </c>
      <c r="B1798" s="3" t="s">
        <v>2053</v>
      </c>
      <c r="C1798" s="3" t="s">
        <v>14</v>
      </c>
      <c r="D1798" s="8" t="str">
        <f>HYPERLINK("http://npthd.inbcu.com/ViewContent.aspx?filename=NPMR_CBS_2017-07-12_E.MP4$7237$7257","Big Brother")</f>
        <v>Big Brother</v>
      </c>
      <c r="E1798" s="3" t="s">
        <v>1805</v>
      </c>
      <c r="F1798" s="3" t="s">
        <v>564</v>
      </c>
      <c r="G1798" s="3" t="s">
        <v>3392</v>
      </c>
    </row>
    <row r="1799" spans="1:7">
      <c r="A1799" s="6">
        <v>42928</v>
      </c>
      <c r="B1799" s="3" t="s">
        <v>2053</v>
      </c>
      <c r="C1799" s="3" t="s">
        <v>14</v>
      </c>
      <c r="D1799" s="8" t="str">
        <f>HYPERLINK("http://npthd.inbcu.com/ViewContent.aspx?filename=NPMR_CBS_2017-07-12_E.MP4$7257$7287","Wisdom of the Crowd")</f>
        <v>Wisdom of the Crowd</v>
      </c>
      <c r="E1799" s="3" t="s">
        <v>38</v>
      </c>
      <c r="F1799" s="3" t="s">
        <v>3392</v>
      </c>
      <c r="G1799" s="3" t="s">
        <v>277</v>
      </c>
    </row>
    <row r="1800" spans="1:7">
      <c r="A1800" s="6">
        <v>42928</v>
      </c>
      <c r="B1800" s="3" t="s">
        <v>2053</v>
      </c>
      <c r="C1800" s="3" t="s">
        <v>14</v>
      </c>
      <c r="D1800" s="8" t="str">
        <f>HYPERLINK("http://npthd.inbcu.com/ViewContent.aspx?filename=NPMR_CBS_2017-07-12_E.MP4$7287$7309","Salvation")</f>
        <v>Salvation</v>
      </c>
      <c r="E1800" s="3" t="s">
        <v>2124</v>
      </c>
      <c r="F1800" s="3" t="s">
        <v>277</v>
      </c>
      <c r="G1800" s="3" t="s">
        <v>3393</v>
      </c>
    </row>
    <row r="1801" spans="1:7">
      <c r="A1801" s="6">
        <v>42928</v>
      </c>
      <c r="B1801" s="3" t="s">
        <v>2053</v>
      </c>
      <c r="C1801" s="3" t="s">
        <v>18</v>
      </c>
      <c r="D1801" s="8" t="str">
        <f>HYPERLINK("http://npthd.inbcu.com/ViewContent.aspx?filename=NPMR_CBS_2017-07-12_E.MP4$7309$7319","SALVATION: pilot")</f>
        <v>SALVATION: pilot</v>
      </c>
      <c r="E1801" s="3" t="s">
        <v>197</v>
      </c>
      <c r="F1801" s="3" t="s">
        <v>3393</v>
      </c>
      <c r="G1801" s="3" t="s">
        <v>1008</v>
      </c>
    </row>
    <row r="1802" spans="1:7">
      <c r="A1802" s="6">
        <v>42928</v>
      </c>
      <c r="B1802" s="3" t="s">
        <v>2053</v>
      </c>
      <c r="C1802" s="3" t="s">
        <v>14</v>
      </c>
      <c r="D1802" s="8" t="str">
        <f>HYPERLINK("http://npthd.inbcu.com/ViewContent.aspx?filename=NPMR_CBS_2017-07-12_E.MP4$7319$7324","Late Show with Stephen Colbert")</f>
        <v>Late Show with Stephen Colbert</v>
      </c>
      <c r="E1802" s="3" t="s">
        <v>54</v>
      </c>
      <c r="F1802" s="3" t="s">
        <v>1008</v>
      </c>
      <c r="G1802" s="3" t="s">
        <v>1009</v>
      </c>
    </row>
    <row r="1803" spans="1:7">
      <c r="A1803" s="6">
        <v>42928</v>
      </c>
      <c r="B1803" s="3" t="s">
        <v>2053</v>
      </c>
      <c r="C1803" s="3" t="s">
        <v>18</v>
      </c>
      <c r="D1803" s="8" t="str">
        <f>HYPERLINK("http://npthd.inbcu.com/ViewContent.aspx?filename=NPMR_CBS_2017-07-12_E.MP4$7324$7492","CRIMINAL MINDS: spencer")</f>
        <v>CRIMINAL MINDS: spencer</v>
      </c>
      <c r="E1803" s="3" t="s">
        <v>650</v>
      </c>
      <c r="F1803" s="3" t="s">
        <v>1009</v>
      </c>
      <c r="G1803" s="3" t="s">
        <v>3394</v>
      </c>
    </row>
    <row r="1804" spans="1:7">
      <c r="A1804" s="6">
        <v>42928</v>
      </c>
      <c r="B1804" s="3" t="s">
        <v>2053</v>
      </c>
      <c r="C1804" s="3" t="s">
        <v>21</v>
      </c>
      <c r="D1804" s="8" t="str">
        <f>HYPERLINK("http://npthd.inbcu.com/ViewContent.aspx?filename=NPMR_CBS_2017-07-12_E.MP4$7492$7644","COMMERCIAL")</f>
        <v>COMMERCIAL</v>
      </c>
      <c r="E1804" s="3" t="s">
        <v>128</v>
      </c>
      <c r="F1804" s="3" t="s">
        <v>3394</v>
      </c>
      <c r="G1804" s="3" t="s">
        <v>3395</v>
      </c>
    </row>
    <row r="1805" spans="1:7">
      <c r="A1805" s="6">
        <v>42928</v>
      </c>
      <c r="B1805" s="3" t="s">
        <v>2053</v>
      </c>
      <c r="C1805" s="3" t="s">
        <v>14</v>
      </c>
      <c r="D1805" s="8" t="str">
        <f>HYPERLINK("http://npthd.inbcu.com/ViewContent.aspx?filename=NPMR_CBS_2017-07-12_E.MP4$7644$7659","Zoo")</f>
        <v>Zoo</v>
      </c>
      <c r="E1805" s="3" t="s">
        <v>30</v>
      </c>
      <c r="F1805" s="3" t="s">
        <v>3395</v>
      </c>
      <c r="G1805" s="3" t="s">
        <v>3396</v>
      </c>
    </row>
    <row r="1806" spans="1:7">
      <c r="A1806" s="6">
        <v>42928</v>
      </c>
      <c r="B1806" s="3" t="s">
        <v>2053</v>
      </c>
      <c r="C1806" s="3" t="s">
        <v>18</v>
      </c>
      <c r="D1806" s="8" t="str">
        <f>HYPERLINK("http://npthd.inbcu.com/ViewContent.aspx?filename=NPMR_CBS_2017-07-12_E.MP4$7659$8704","CRIMINAL MINDS: spencer")</f>
        <v>CRIMINAL MINDS: spencer</v>
      </c>
      <c r="E1806" s="3" t="s">
        <v>3397</v>
      </c>
      <c r="F1806" s="3" t="s">
        <v>3396</v>
      </c>
      <c r="G1806" s="3" t="s">
        <v>3040</v>
      </c>
    </row>
    <row r="1807" spans="1:7">
      <c r="A1807" s="6">
        <v>42928</v>
      </c>
      <c r="B1807" s="3" t="s">
        <v>2053</v>
      </c>
      <c r="C1807" s="3" t="s">
        <v>21</v>
      </c>
      <c r="D1807" s="8" t="str">
        <f>HYPERLINK("http://npthd.inbcu.com/ViewContent.aspx?filename=NPMR_CBS_2017-07-12_E.MP4$8704$8856","COMMERCIAL")</f>
        <v>COMMERCIAL</v>
      </c>
      <c r="E1807" s="3" t="s">
        <v>128</v>
      </c>
      <c r="F1807" s="3" t="s">
        <v>3040</v>
      </c>
      <c r="G1807" s="3" t="s">
        <v>3398</v>
      </c>
    </row>
    <row r="1808" spans="1:7">
      <c r="A1808" s="6">
        <v>42928</v>
      </c>
      <c r="B1808" s="3" t="s">
        <v>2053</v>
      </c>
      <c r="C1808" s="3" t="s">
        <v>14</v>
      </c>
      <c r="D1808" s="8" t="str">
        <f>HYPERLINK("http://npthd.inbcu.com/ViewContent.aspx?filename=NPMR_CBS_2017-07-12_E.MP4$8856$8866","Big Bang Theory")</f>
        <v>Big Bang Theory</v>
      </c>
      <c r="E1808" s="3" t="s">
        <v>197</v>
      </c>
      <c r="F1808" s="3" t="s">
        <v>3398</v>
      </c>
      <c r="G1808" s="3" t="s">
        <v>404</v>
      </c>
    </row>
    <row r="1809" spans="1:7">
      <c r="A1809" s="6">
        <v>42928</v>
      </c>
      <c r="B1809" s="3" t="s">
        <v>2053</v>
      </c>
      <c r="C1809" s="3" t="s">
        <v>14</v>
      </c>
      <c r="D1809" s="8" t="str">
        <f>HYPERLINK("http://npthd.inbcu.com/ViewContent.aspx?filename=NPMR_CBS_2017-07-12_E.MP4$8866$8896","Seal Team")</f>
        <v>Seal Team</v>
      </c>
      <c r="E1809" s="3" t="s">
        <v>38</v>
      </c>
      <c r="F1809" s="3" t="s">
        <v>404</v>
      </c>
      <c r="G1809" s="3" t="s">
        <v>3399</v>
      </c>
    </row>
    <row r="1810" spans="1:7">
      <c r="A1810" s="6">
        <v>42928</v>
      </c>
      <c r="B1810" s="3" t="s">
        <v>2053</v>
      </c>
      <c r="C1810" s="3" t="s">
        <v>18</v>
      </c>
      <c r="D1810" s="8" t="str">
        <f>HYPERLINK("http://npthd.inbcu.com/ViewContent.aspx?filename=NPMR_CBS_2017-07-12_E.MP4$8896$9504","CRIMINAL MINDS: spencer")</f>
        <v>CRIMINAL MINDS: spencer</v>
      </c>
      <c r="E1810" s="3" t="s">
        <v>2820</v>
      </c>
      <c r="F1810" s="3" t="s">
        <v>3399</v>
      </c>
      <c r="G1810" s="3" t="s">
        <v>3043</v>
      </c>
    </row>
    <row r="1811" spans="1:7">
      <c r="A1811" s="6">
        <v>42928</v>
      </c>
      <c r="B1811" s="3" t="s">
        <v>2053</v>
      </c>
      <c r="C1811" s="3" t="s">
        <v>21</v>
      </c>
      <c r="D1811" s="8" t="str">
        <f>HYPERLINK("http://npthd.inbcu.com/ViewContent.aspx?filename=NPMR_CBS_2017-07-12_E.MP4$9504$9655","COMMERCIAL")</f>
        <v>COMMERCIAL</v>
      </c>
      <c r="E1811" s="3" t="s">
        <v>91</v>
      </c>
      <c r="F1811" s="3" t="s">
        <v>3043</v>
      </c>
      <c r="G1811" s="3" t="s">
        <v>3203</v>
      </c>
    </row>
    <row r="1812" spans="1:7">
      <c r="A1812" s="6">
        <v>42928</v>
      </c>
      <c r="B1812" s="3" t="s">
        <v>2053</v>
      </c>
      <c r="C1812" s="3" t="s">
        <v>32</v>
      </c>
      <c r="D1812" s="8" t="str">
        <f>HYPERLINK("http://npthd.inbcu.com/ViewContent.aspx?filename=NPMR_CBS_2017-07-12_E.MP4$9655$9795","LOCAL")</f>
        <v>LOCAL</v>
      </c>
      <c r="E1812" s="3" t="s">
        <v>623</v>
      </c>
      <c r="F1812" s="3" t="s">
        <v>3203</v>
      </c>
      <c r="G1812" s="3" t="s">
        <v>492</v>
      </c>
    </row>
    <row r="1813" spans="1:7">
      <c r="A1813" s="6">
        <v>42928</v>
      </c>
      <c r="B1813" s="3" t="s">
        <v>2053</v>
      </c>
      <c r="C1813" s="3" t="s">
        <v>18</v>
      </c>
      <c r="D1813" s="8" t="str">
        <f>HYPERLINK("http://npthd.inbcu.com/ViewContent.aspx?filename=NPMR_CBS_2017-07-12_E.MP4$9795$10149","CRIMINAL MINDS: spencer")</f>
        <v>CRIMINAL MINDS: spencer</v>
      </c>
      <c r="E1813" s="3" t="s">
        <v>437</v>
      </c>
      <c r="F1813" s="3" t="s">
        <v>492</v>
      </c>
      <c r="G1813" s="3" t="s">
        <v>3400</v>
      </c>
    </row>
    <row r="1814" spans="1:7">
      <c r="A1814" s="6">
        <v>42928</v>
      </c>
      <c r="B1814" s="3" t="s">
        <v>2053</v>
      </c>
      <c r="C1814" s="3" t="s">
        <v>21</v>
      </c>
      <c r="D1814" s="8" t="str">
        <f>HYPERLINK("http://npthd.inbcu.com/ViewContent.aspx?filename=NPMR_CBS_2017-07-12_E.MP4$10149$10301","COMMERCIAL")</f>
        <v>COMMERCIAL</v>
      </c>
      <c r="E1814" s="3" t="s">
        <v>128</v>
      </c>
      <c r="F1814" s="3" t="s">
        <v>3400</v>
      </c>
      <c r="G1814" s="3" t="s">
        <v>3401</v>
      </c>
    </row>
    <row r="1815" spans="1:7">
      <c r="A1815" s="6">
        <v>42928</v>
      </c>
      <c r="B1815" s="3" t="s">
        <v>2053</v>
      </c>
      <c r="C1815" s="3" t="s">
        <v>14</v>
      </c>
      <c r="D1815" s="8" t="str">
        <f>HYPERLINK("http://npthd.inbcu.com/ViewContent.aspx?filename=NPMR_CBS_2017-07-12_E.MP4$10301$10312","Late Show with Stephen Colbert")</f>
        <v>Late Show with Stephen Colbert</v>
      </c>
      <c r="E1815" s="3" t="s">
        <v>1940</v>
      </c>
      <c r="F1815" s="3" t="s">
        <v>3401</v>
      </c>
      <c r="G1815" s="3" t="s">
        <v>3402</v>
      </c>
    </row>
    <row r="1816" spans="1:7">
      <c r="A1816" s="6">
        <v>42928</v>
      </c>
      <c r="B1816" s="3" t="s">
        <v>2053</v>
      </c>
      <c r="C1816" s="3" t="s">
        <v>14</v>
      </c>
      <c r="D1816" s="8" t="str">
        <f>HYPERLINK("http://npthd.inbcu.com/ViewContent.aspx?filename=NPMR_CBS_2017-07-12_E.MP4$10312$10322","Big Brother")</f>
        <v>Big Brother</v>
      </c>
      <c r="E1816" s="3" t="s">
        <v>197</v>
      </c>
      <c r="F1816" s="3" t="s">
        <v>3402</v>
      </c>
      <c r="G1816" s="3" t="s">
        <v>3403</v>
      </c>
    </row>
    <row r="1817" spans="1:7">
      <c r="A1817" s="6">
        <v>42928</v>
      </c>
      <c r="B1817" s="3" t="s">
        <v>2053</v>
      </c>
      <c r="C1817" s="3" t="s">
        <v>32</v>
      </c>
      <c r="D1817" s="8" t="str">
        <f>HYPERLINK("http://npthd.inbcu.com/ViewContent.aspx?filename=NPMR_CBS_2017-07-12_E.MP4$10322$10447","LOCAL")</f>
        <v>LOCAL</v>
      </c>
      <c r="E1817" s="3" t="s">
        <v>2216</v>
      </c>
      <c r="F1817" s="3" t="s">
        <v>3403</v>
      </c>
      <c r="G1817" s="3" t="s">
        <v>3404</v>
      </c>
    </row>
    <row r="1818" spans="1:7">
      <c r="A1818" s="6">
        <v>42928</v>
      </c>
      <c r="B1818" s="3" t="s">
        <v>2053</v>
      </c>
      <c r="C1818" s="3" t="s">
        <v>18</v>
      </c>
      <c r="D1818" s="8" t="str">
        <f>HYPERLINK("http://npthd.inbcu.com/ViewContent.aspx?filename=NPMR_CBS_2017-07-12_E.MP4$10447$10802","CRIMINAL MINDS: spencer")</f>
        <v>CRIMINAL MINDS: spencer</v>
      </c>
      <c r="E1818" s="3" t="s">
        <v>2264</v>
      </c>
      <c r="F1818" s="3" t="s">
        <v>3404</v>
      </c>
      <c r="G1818" s="3" t="s">
        <v>2313</v>
      </c>
    </row>
    <row r="1819" spans="1:7">
      <c r="A1819" s="6">
        <v>42928</v>
      </c>
      <c r="B1819" s="3" t="s">
        <v>2053</v>
      </c>
      <c r="C1819" s="3" t="s">
        <v>32</v>
      </c>
      <c r="D1819" s="8" t="str">
        <f>HYPERLINK("http://npthd.inbcu.com/ViewContent.aspx?filename=NPMR_CBS_2017-07-12_E.MP4$10802$10814","LOCAL")</f>
        <v>LOCAL</v>
      </c>
      <c r="E1819" s="3" t="s">
        <v>2057</v>
      </c>
      <c r="F1819" s="3" t="s">
        <v>2313</v>
      </c>
      <c r="G1819" s="3" t="s">
        <v>2951</v>
      </c>
    </row>
    <row r="1820" spans="1:7">
      <c r="A1820" s="6">
        <v>42928</v>
      </c>
      <c r="B1820" s="3" t="s">
        <v>2053</v>
      </c>
      <c r="C1820" s="3" t="s">
        <v>21</v>
      </c>
      <c r="D1820" s="8" t="str">
        <f>HYPERLINK("http://npthd.inbcu.com/ViewContent.aspx?filename=NPMR_CBS_2017-07-12_E.MP4$10814$10875","COMMERCIAL")</f>
        <v>COMMERCIAL</v>
      </c>
      <c r="E1820" s="3" t="s">
        <v>33</v>
      </c>
      <c r="F1820" s="3" t="s">
        <v>2951</v>
      </c>
      <c r="G1820" s="3" t="s">
        <v>310</v>
      </c>
    </row>
    <row r="1821" spans="1:7">
      <c r="A1821" s="6">
        <v>42928</v>
      </c>
      <c r="B1821" s="3" t="s">
        <v>2053</v>
      </c>
      <c r="C1821" s="3" t="s">
        <v>14</v>
      </c>
      <c r="D1821" s="8" t="str">
        <f>HYPERLINK("http://npthd.inbcu.com/ViewContent.aspx?filename=NPMR_CBS_2017-07-12_E.MP4$10875$10880","Late Show with Stephen Colbert")</f>
        <v>Late Show with Stephen Colbert</v>
      </c>
      <c r="E1821" s="3" t="s">
        <v>54</v>
      </c>
      <c r="F1821" s="3" t="s">
        <v>310</v>
      </c>
      <c r="G1821" s="3" t="s">
        <v>2387</v>
      </c>
    </row>
    <row r="1822" spans="1:7">
      <c r="A1822" s="6">
        <v>42928</v>
      </c>
      <c r="B1822" s="3" t="s">
        <v>2053</v>
      </c>
      <c r="C1822" s="3" t="s">
        <v>14</v>
      </c>
      <c r="D1822" s="8" t="str">
        <f>HYPERLINK("http://npthd.inbcu.com/ViewContent.aspx?filename=NPMR_CBS_2017-07-12_E.MP4$10880$10902","Zoo")</f>
        <v>Zoo</v>
      </c>
      <c r="E1822" s="3" t="s">
        <v>2124</v>
      </c>
      <c r="F1822" s="3" t="s">
        <v>2387</v>
      </c>
      <c r="G1822" s="3" t="s">
        <v>2388</v>
      </c>
    </row>
    <row r="1823" spans="1:7">
      <c r="A1823" s="6">
        <v>42928</v>
      </c>
      <c r="B1823" s="3" t="s">
        <v>2053</v>
      </c>
      <c r="C1823" s="3" t="s">
        <v>18</v>
      </c>
      <c r="D1823" s="8" t="str">
        <f>HYPERLINK("http://npthd.inbcu.com/ViewContent.aspx?filename=NPMR_CBS_2017-07-12_E.MP4$10902$10907","CRIMINAL MINDS: spencer")</f>
        <v>CRIMINAL MINDS: spencer</v>
      </c>
      <c r="E1823" s="3" t="s">
        <v>54</v>
      </c>
      <c r="F1823" s="3" t="s">
        <v>2388</v>
      </c>
      <c r="G1823" s="3" t="s">
        <v>850</v>
      </c>
    </row>
    <row r="1824" spans="1:7">
      <c r="A1824" s="6">
        <v>42928</v>
      </c>
      <c r="B1824" s="3" t="s">
        <v>2053</v>
      </c>
      <c r="C1824" s="3" t="s">
        <v>32</v>
      </c>
      <c r="D1824" s="8" t="str">
        <f>HYPERLINK("http://npthd.inbcu.com/ViewContent.aspx?filename=NPMR_CBS_2017-07-12_E.MP4$10907$10920","LOCAL")</f>
        <v>LOCAL</v>
      </c>
      <c r="E1824" s="3" t="s">
        <v>851</v>
      </c>
      <c r="F1824" s="3" t="s">
        <v>850</v>
      </c>
      <c r="G1824" s="3" t="s">
        <v>124</v>
      </c>
    </row>
    <row r="1825" spans="1:7">
      <c r="A1825" s="6">
        <v>42929</v>
      </c>
      <c r="B1825" s="3" t="s">
        <v>2053</v>
      </c>
      <c r="C1825" s="3" t="s">
        <v>18</v>
      </c>
      <c r="D1825" s="8" t="str">
        <f>HYPERLINK("http://npthd.inbcu.com/ViewContent.aspx?filename=NPMR_CBS_2017-07-13_W.MP4$116$291","THE BIG BANG THEORY: the veracity elasticity")</f>
        <v>THE BIG BANG THEORY: the veracity elasticity</v>
      </c>
      <c r="E1825" s="3" t="s">
        <v>519</v>
      </c>
      <c r="F1825" s="3" t="s">
        <v>16</v>
      </c>
      <c r="G1825" s="3" t="s">
        <v>3405</v>
      </c>
    </row>
    <row r="1826" spans="1:7">
      <c r="A1826" s="6">
        <v>42929</v>
      </c>
      <c r="B1826" s="3" t="s">
        <v>2053</v>
      </c>
      <c r="C1826" s="3" t="s">
        <v>21</v>
      </c>
      <c r="D1826" s="8" t="str">
        <f>HYPERLINK("http://npthd.inbcu.com/ViewContent.aspx?filename=NPMR_CBS_2017-07-13_W.MP4$291$443","COMMERCIAL")</f>
        <v>COMMERCIAL</v>
      </c>
      <c r="E1826" s="3" t="s">
        <v>128</v>
      </c>
      <c r="F1826" s="3" t="s">
        <v>3405</v>
      </c>
      <c r="G1826" s="3" t="s">
        <v>3054</v>
      </c>
    </row>
    <row r="1827" spans="1:7">
      <c r="A1827" s="6">
        <v>42929</v>
      </c>
      <c r="B1827" s="3" t="s">
        <v>2053</v>
      </c>
      <c r="C1827" s="3" t="s">
        <v>14</v>
      </c>
      <c r="D1827" s="8" t="str">
        <f>HYPERLINK("http://npthd.inbcu.com/ViewContent.aspx?filename=NPMR_CBS_2017-07-13_W.MP4$443$453","Big Brother")</f>
        <v>Big Brother</v>
      </c>
      <c r="E1827" s="3" t="s">
        <v>197</v>
      </c>
      <c r="F1827" s="3" t="s">
        <v>3054</v>
      </c>
      <c r="G1827" s="3" t="s">
        <v>3406</v>
      </c>
    </row>
    <row r="1828" spans="1:7">
      <c r="A1828" s="6">
        <v>42929</v>
      </c>
      <c r="B1828" s="3" t="s">
        <v>2053</v>
      </c>
      <c r="C1828" s="3" t="s">
        <v>14</v>
      </c>
      <c r="D1828" s="8" t="str">
        <f>HYPERLINK("http://npthd.inbcu.com/ViewContent.aspx?filename=NPMR_CBS_2017-07-13_W.MP4$453$465","Me, Myself &amp; I")</f>
        <v>Me, Myself &amp; I</v>
      </c>
      <c r="E1828" s="3" t="s">
        <v>2057</v>
      </c>
      <c r="F1828" s="3" t="s">
        <v>3406</v>
      </c>
      <c r="G1828" s="3" t="s">
        <v>3407</v>
      </c>
    </row>
    <row r="1829" spans="1:7">
      <c r="A1829" s="6">
        <v>42929</v>
      </c>
      <c r="B1829" s="3" t="s">
        <v>2053</v>
      </c>
      <c r="C1829" s="3" t="s">
        <v>18</v>
      </c>
      <c r="D1829" s="8" t="str">
        <f>HYPERLINK("http://npthd.inbcu.com/ViewContent.aspx?filename=NPMR_CBS_2017-07-13_W.MP4$465$978","THE BIG BANG THEORY: the veracity elasticity")</f>
        <v>THE BIG BANG THEORY: the veracity elasticity</v>
      </c>
      <c r="E1829" s="3" t="s">
        <v>1488</v>
      </c>
      <c r="F1829" s="3" t="s">
        <v>3407</v>
      </c>
      <c r="G1829" s="3" t="s">
        <v>3408</v>
      </c>
    </row>
    <row r="1830" spans="1:7">
      <c r="A1830" s="6">
        <v>42929</v>
      </c>
      <c r="B1830" s="3" t="s">
        <v>2053</v>
      </c>
      <c r="C1830" s="3" t="s">
        <v>21</v>
      </c>
      <c r="D1830" s="8" t="str">
        <f>HYPERLINK("http://npthd.inbcu.com/ViewContent.aspx?filename=NPMR_CBS_2017-07-13_W.MP4$978$1161","COMMERCIAL")</f>
        <v>COMMERCIAL</v>
      </c>
      <c r="E1830" s="3" t="s">
        <v>154</v>
      </c>
      <c r="F1830" s="3" t="s">
        <v>3408</v>
      </c>
      <c r="G1830" s="3" t="s">
        <v>2134</v>
      </c>
    </row>
    <row r="1831" spans="1:7">
      <c r="A1831" s="6">
        <v>42929</v>
      </c>
      <c r="B1831" s="3" t="s">
        <v>2053</v>
      </c>
      <c r="C1831" s="3" t="s">
        <v>1618</v>
      </c>
      <c r="D1831" s="8" t="str">
        <f>HYPERLINK("http://npthd.inbcu.com/ViewContent.aspx?filename=NPMR_CBS_2017-07-13_W.MP4$1161$1171","PSA")</f>
        <v>PSA</v>
      </c>
      <c r="E1831" s="3" t="s">
        <v>197</v>
      </c>
      <c r="F1831" s="3" t="s">
        <v>2134</v>
      </c>
      <c r="G1831" s="3" t="s">
        <v>3409</v>
      </c>
    </row>
    <row r="1832" spans="1:7">
      <c r="A1832" s="6">
        <v>42929</v>
      </c>
      <c r="B1832" s="3" t="s">
        <v>2053</v>
      </c>
      <c r="C1832" s="3" t="s">
        <v>14</v>
      </c>
      <c r="D1832" s="8" t="str">
        <f>HYPERLINK("http://npthd.inbcu.com/ViewContent.aspx?filename=NPMR_CBS_2017-07-13_W.MP4$1171$1182","Salvation")</f>
        <v>Salvation</v>
      </c>
      <c r="E1832" s="3" t="s">
        <v>1940</v>
      </c>
      <c r="F1832" s="3" t="s">
        <v>3409</v>
      </c>
      <c r="G1832" s="3" t="s">
        <v>3410</v>
      </c>
    </row>
    <row r="1833" spans="1:7">
      <c r="A1833" s="6">
        <v>42929</v>
      </c>
      <c r="B1833" s="3" t="s">
        <v>2053</v>
      </c>
      <c r="C1833" s="3" t="s">
        <v>14</v>
      </c>
      <c r="D1833" s="8" t="str">
        <f>HYPERLINK("http://npthd.inbcu.com/ViewContent.aspx?filename=NPMR_CBS_2017-07-13_W.MP4$1182$1192","Young Sheldon")</f>
        <v>Young Sheldon</v>
      </c>
      <c r="E1833" s="3" t="s">
        <v>197</v>
      </c>
      <c r="F1833" s="3" t="s">
        <v>3410</v>
      </c>
      <c r="G1833" s="3" t="s">
        <v>427</v>
      </c>
    </row>
    <row r="1834" spans="1:7">
      <c r="A1834" s="6">
        <v>42929</v>
      </c>
      <c r="B1834" s="3" t="s">
        <v>2053</v>
      </c>
      <c r="C1834" s="3" t="s">
        <v>14</v>
      </c>
      <c r="D1834" s="8" t="str">
        <f>HYPERLINK("http://npthd.inbcu.com/ViewContent.aspx?filename=NPMR_CBS_2017-07-13_W.MP4$1192$1197","Wisdom of the Crowd")</f>
        <v>Wisdom of the Crowd</v>
      </c>
      <c r="E1834" s="3" t="s">
        <v>54</v>
      </c>
      <c r="F1834" s="3" t="s">
        <v>427</v>
      </c>
      <c r="G1834" s="3" t="s">
        <v>3411</v>
      </c>
    </row>
    <row r="1835" spans="1:7">
      <c r="A1835" s="6">
        <v>42929</v>
      </c>
      <c r="B1835" s="3" t="s">
        <v>2053</v>
      </c>
      <c r="C1835" s="3" t="s">
        <v>32</v>
      </c>
      <c r="D1835" s="8" t="str">
        <f>HYPERLINK("http://npthd.inbcu.com/ViewContent.aspx?filename=NPMR_CBS_2017-07-13_W.MP4$1197$1291","LOCAL")</f>
        <v>LOCAL</v>
      </c>
      <c r="E1835" s="3" t="s">
        <v>1917</v>
      </c>
      <c r="F1835" s="3" t="s">
        <v>3411</v>
      </c>
      <c r="G1835" s="3" t="s">
        <v>3412</v>
      </c>
    </row>
    <row r="1836" spans="1:7">
      <c r="A1836" s="6">
        <v>42929</v>
      </c>
      <c r="B1836" s="3" t="s">
        <v>2053</v>
      </c>
      <c r="C1836" s="3" t="s">
        <v>18</v>
      </c>
      <c r="D1836" s="8" t="str">
        <f>HYPERLINK("http://npthd.inbcu.com/ViewContent.aspx?filename=NPMR_CBS_2017-07-13_W.MP4$1291$1784","THE BIG BANG THEORY: the veracity elasticity")</f>
        <v>THE BIG BANG THEORY: the veracity elasticity</v>
      </c>
      <c r="E1836" s="3" t="s">
        <v>2751</v>
      </c>
      <c r="F1836" s="3" t="s">
        <v>3412</v>
      </c>
      <c r="G1836" s="3" t="s">
        <v>3413</v>
      </c>
    </row>
    <row r="1837" spans="1:7">
      <c r="A1837" s="6">
        <v>42929</v>
      </c>
      <c r="B1837" s="3" t="s">
        <v>2053</v>
      </c>
      <c r="C1837" s="3" t="s">
        <v>21</v>
      </c>
      <c r="D1837" s="8" t="str">
        <f>HYPERLINK("http://npthd.inbcu.com/ViewContent.aspx?filename=NPMR_CBS_2017-07-13_W.MP4$1784$1905","COMMERCIAL")</f>
        <v>COMMERCIAL</v>
      </c>
      <c r="E1837" s="3" t="s">
        <v>175</v>
      </c>
      <c r="F1837" s="3" t="s">
        <v>3413</v>
      </c>
      <c r="G1837" s="3" t="s">
        <v>3414</v>
      </c>
    </row>
    <row r="1838" spans="1:7">
      <c r="A1838" s="6">
        <v>42929</v>
      </c>
      <c r="B1838" s="3" t="s">
        <v>2053</v>
      </c>
      <c r="C1838" s="3" t="s">
        <v>14</v>
      </c>
      <c r="D1838" s="8" t="str">
        <f>HYPERLINK("http://npthd.inbcu.com/ViewContent.aspx?filename=NPMR_CBS_2017-07-13_W.MP4$1905$1915","Late Show with Stephen Colbert")</f>
        <v>Late Show with Stephen Colbert</v>
      </c>
      <c r="E1838" s="3" t="s">
        <v>197</v>
      </c>
      <c r="F1838" s="3" t="s">
        <v>3414</v>
      </c>
      <c r="G1838" s="3" t="s">
        <v>1410</v>
      </c>
    </row>
    <row r="1839" spans="1:7">
      <c r="A1839" s="6">
        <v>42929</v>
      </c>
      <c r="B1839" s="3" t="s">
        <v>2053</v>
      </c>
      <c r="C1839" s="3" t="s">
        <v>18</v>
      </c>
      <c r="D1839" s="8" t="str">
        <f>HYPERLINK("http://npthd.inbcu.com/ViewContent.aspx?filename=NPMR_CBS_2017-07-13_W.MP4$1915$1950","THE BIG BANG THEORY: the veracity elasticity")</f>
        <v>THE BIG BANG THEORY: the veracity elasticity</v>
      </c>
      <c r="E1839" s="3" t="s">
        <v>1394</v>
      </c>
      <c r="F1839" s="3" t="s">
        <v>1410</v>
      </c>
      <c r="G1839" s="3" t="s">
        <v>2066</v>
      </c>
    </row>
    <row r="1840" spans="1:7">
      <c r="A1840" s="6">
        <v>42929</v>
      </c>
      <c r="B1840" s="3" t="s">
        <v>2053</v>
      </c>
      <c r="C1840" s="3" t="s">
        <v>14</v>
      </c>
      <c r="D1840" s="8" t="str">
        <f>HYPERLINK("http://npthd.inbcu.com/ViewContent.aspx?filename=NPMR_CBS_2017-07-13_W.MP4$1950$1971","Kevin Can Wait")</f>
        <v>Kevin Can Wait</v>
      </c>
      <c r="E1840" s="3" t="s">
        <v>2067</v>
      </c>
      <c r="F1840" s="3" t="s">
        <v>2066</v>
      </c>
      <c r="G1840" s="3" t="s">
        <v>2068</v>
      </c>
    </row>
    <row r="1841" spans="1:7">
      <c r="A1841" s="6">
        <v>42929</v>
      </c>
      <c r="B1841" s="3" t="s">
        <v>2053</v>
      </c>
      <c r="C1841" s="3" t="s">
        <v>18</v>
      </c>
      <c r="D1841" s="8" t="str">
        <f>HYPERLINK("http://npthd.inbcu.com/ViewContent.aspx?filename=NPMR_CBS_2017-07-13_W.MP4$1971$1976","THE BIG BANG THEORY: the veracity elasticity")</f>
        <v>THE BIG BANG THEORY: the veracity elasticity</v>
      </c>
      <c r="E1841" s="3" t="s">
        <v>54</v>
      </c>
      <c r="F1841" s="3" t="s">
        <v>2068</v>
      </c>
      <c r="G1841" s="3" t="s">
        <v>2514</v>
      </c>
    </row>
    <row r="1842" spans="1:7">
      <c r="A1842" s="6">
        <v>42929</v>
      </c>
      <c r="B1842" s="3" t="s">
        <v>2053</v>
      </c>
      <c r="C1842" s="3" t="s">
        <v>14</v>
      </c>
      <c r="D1842" s="8" t="str">
        <f>HYPERLINK("http://npthd.inbcu.com/ViewContent.aspx?filename=NPMR_CBS_2017-07-13_W.MP4$1976$1981","Zoo")</f>
        <v>Zoo</v>
      </c>
      <c r="E1842" s="3" t="s">
        <v>54</v>
      </c>
      <c r="F1842" s="3" t="s">
        <v>2514</v>
      </c>
      <c r="G1842" s="3" t="s">
        <v>2070</v>
      </c>
    </row>
    <row r="1843" spans="1:7">
      <c r="A1843" s="6">
        <v>42929</v>
      </c>
      <c r="B1843" s="3" t="s">
        <v>2053</v>
      </c>
      <c r="C1843" s="3" t="s">
        <v>18</v>
      </c>
      <c r="D1843" s="8" t="str">
        <f>HYPERLINK("http://npthd.inbcu.com/ViewContent.aspx?filename=NPMR_CBS_2017-07-13_W.MP4$1981$2689","LIFE IN PIECES: chef rescue negotiator necklace")</f>
        <v>LIFE IN PIECES: chef rescue negotiator necklace</v>
      </c>
      <c r="E1843" s="3" t="s">
        <v>3415</v>
      </c>
      <c r="F1843" s="3" t="s">
        <v>2070</v>
      </c>
      <c r="G1843" s="3" t="s">
        <v>3416</v>
      </c>
    </row>
    <row r="1844" spans="1:7">
      <c r="A1844" s="6">
        <v>42929</v>
      </c>
      <c r="B1844" s="3" t="s">
        <v>2053</v>
      </c>
      <c r="C1844" s="3" t="s">
        <v>21</v>
      </c>
      <c r="D1844" s="8" t="str">
        <f>HYPERLINK("http://npthd.inbcu.com/ViewContent.aspx?filename=NPMR_CBS_2017-07-13_W.MP4$2689$2779","COMMERCIAL")</f>
        <v>COMMERCIAL</v>
      </c>
      <c r="E1844" s="3" t="s">
        <v>46</v>
      </c>
      <c r="F1844" s="3" t="s">
        <v>3416</v>
      </c>
      <c r="G1844" s="3" t="s">
        <v>3417</v>
      </c>
    </row>
    <row r="1845" spans="1:7">
      <c r="A1845" s="6">
        <v>42929</v>
      </c>
      <c r="B1845" s="3" t="s">
        <v>2053</v>
      </c>
      <c r="C1845" s="3" t="s">
        <v>18</v>
      </c>
      <c r="D1845" s="8" t="str">
        <f>HYPERLINK("http://npthd.inbcu.com/ViewContent.aspx?filename=NPMR_CBS_2017-07-13_W.MP4$2779$3048","LIFE IN PIECES: chef rescue negotiator necklace")</f>
        <v>LIFE IN PIECES: chef rescue negotiator necklace</v>
      </c>
      <c r="E1845" s="3" t="s">
        <v>2217</v>
      </c>
      <c r="F1845" s="3" t="s">
        <v>3417</v>
      </c>
      <c r="G1845" s="3" t="s">
        <v>3418</v>
      </c>
    </row>
    <row r="1846" spans="1:7">
      <c r="A1846" s="6">
        <v>42929</v>
      </c>
      <c r="B1846" s="3" t="s">
        <v>2053</v>
      </c>
      <c r="C1846" s="3" t="s">
        <v>21</v>
      </c>
      <c r="D1846" s="8" t="str">
        <f>HYPERLINK("http://npthd.inbcu.com/ViewContent.aspx?filename=NPMR_CBS_2017-07-13_W.MP4$3048$3200","COMMERCIAL")</f>
        <v>COMMERCIAL</v>
      </c>
      <c r="E1846" s="3" t="s">
        <v>128</v>
      </c>
      <c r="F1846" s="3" t="s">
        <v>3418</v>
      </c>
      <c r="G1846" s="3" t="s">
        <v>443</v>
      </c>
    </row>
    <row r="1847" spans="1:7">
      <c r="A1847" s="6">
        <v>42929</v>
      </c>
      <c r="B1847" s="3" t="s">
        <v>2053</v>
      </c>
      <c r="C1847" s="3" t="s">
        <v>14</v>
      </c>
      <c r="D1847" s="8" t="str">
        <f>HYPERLINK("http://npthd.inbcu.com/ViewContent.aspx?filename=NPMR_CBS_2017-07-13_W.MP4$3200$3210","Big Brother")</f>
        <v>Big Brother</v>
      </c>
      <c r="E1847" s="3" t="s">
        <v>197</v>
      </c>
      <c r="F1847" s="3" t="s">
        <v>443</v>
      </c>
      <c r="G1847" s="3" t="s">
        <v>3419</v>
      </c>
    </row>
    <row r="1848" spans="1:7">
      <c r="A1848" s="6">
        <v>42929</v>
      </c>
      <c r="B1848" s="3" t="s">
        <v>2053</v>
      </c>
      <c r="C1848" s="3" t="s">
        <v>32</v>
      </c>
      <c r="D1848" s="8" t="str">
        <f>HYPERLINK("http://npthd.inbcu.com/ViewContent.aspx?filename=NPMR_CBS_2017-07-13_W.MP4$3210$3304","LOCAL")</f>
        <v>LOCAL</v>
      </c>
      <c r="E1848" s="3" t="s">
        <v>1917</v>
      </c>
      <c r="F1848" s="3" t="s">
        <v>3419</v>
      </c>
      <c r="G1848" s="3" t="s">
        <v>3420</v>
      </c>
    </row>
    <row r="1849" spans="1:7">
      <c r="A1849" s="6">
        <v>42929</v>
      </c>
      <c r="B1849" s="3" t="s">
        <v>2053</v>
      </c>
      <c r="C1849" s="3" t="s">
        <v>18</v>
      </c>
      <c r="D1849" s="8" t="str">
        <f>HYPERLINK("http://npthd.inbcu.com/ViewContent.aspx?filename=NPMR_CBS_2017-07-13_W.MP4$3304$3547","LIFE IN PIECES: chef rescue negotiator necklace")</f>
        <v>LIFE IN PIECES: chef rescue negotiator necklace</v>
      </c>
      <c r="E1849" s="3" t="s">
        <v>1260</v>
      </c>
      <c r="F1849" s="3" t="s">
        <v>3420</v>
      </c>
      <c r="G1849" s="3" t="s">
        <v>719</v>
      </c>
    </row>
    <row r="1850" spans="1:7">
      <c r="A1850" s="6">
        <v>42929</v>
      </c>
      <c r="B1850" s="3" t="s">
        <v>2053</v>
      </c>
      <c r="C1850" s="3" t="s">
        <v>21</v>
      </c>
      <c r="D1850" s="8" t="str">
        <f>HYPERLINK("http://npthd.inbcu.com/ViewContent.aspx?filename=NPMR_CBS_2017-07-13_W.MP4$3547$3668","COMMERCIAL")</f>
        <v>COMMERCIAL</v>
      </c>
      <c r="E1850" s="3" t="s">
        <v>175</v>
      </c>
      <c r="F1850" s="3" t="s">
        <v>719</v>
      </c>
      <c r="G1850" s="3" t="s">
        <v>3421</v>
      </c>
    </row>
    <row r="1851" spans="1:7">
      <c r="A1851" s="6">
        <v>42929</v>
      </c>
      <c r="B1851" s="3" t="s">
        <v>2053</v>
      </c>
      <c r="C1851" s="3" t="s">
        <v>18</v>
      </c>
      <c r="D1851" s="8" t="str">
        <f>HYPERLINK("http://npthd.inbcu.com/ViewContent.aspx?filename=NPMR_CBS_2017-07-13_W.MP4$3668$3690","LIFE IN PIECES: chef rescue negotiator necklace")</f>
        <v>LIFE IN PIECES: chef rescue negotiator necklace</v>
      </c>
      <c r="E1851" s="3" t="s">
        <v>2124</v>
      </c>
      <c r="F1851" s="3" t="s">
        <v>3421</v>
      </c>
      <c r="G1851" s="3" t="s">
        <v>2407</v>
      </c>
    </row>
    <row r="1852" spans="1:7">
      <c r="A1852" s="6">
        <v>42929</v>
      </c>
      <c r="B1852" s="3" t="s">
        <v>2053</v>
      </c>
      <c r="C1852" s="3" t="s">
        <v>14</v>
      </c>
      <c r="D1852" s="8" t="str">
        <f>HYPERLINK("http://npthd.inbcu.com/ViewContent.aspx?filename=NPMR_CBS_2017-07-13_W.MP4$3690$3701","Kevin Can Wait")</f>
        <v>Kevin Can Wait</v>
      </c>
      <c r="E1852" s="3" t="s">
        <v>1940</v>
      </c>
      <c r="F1852" s="3" t="s">
        <v>2407</v>
      </c>
      <c r="G1852" s="3" t="s">
        <v>3422</v>
      </c>
    </row>
    <row r="1853" spans="1:7">
      <c r="A1853" s="6">
        <v>42929</v>
      </c>
      <c r="B1853" s="3" t="s">
        <v>2053</v>
      </c>
      <c r="C1853" s="3" t="s">
        <v>14</v>
      </c>
      <c r="D1853" s="8" t="str">
        <f>HYPERLINK("http://npthd.inbcu.com/ViewContent.aspx?filename=NPMR_CBS_2017-07-13_W.MP4$3701$3711","Me, Myself &amp; I")</f>
        <v>Me, Myself &amp; I</v>
      </c>
      <c r="E1853" s="3" t="s">
        <v>197</v>
      </c>
      <c r="F1853" s="3" t="s">
        <v>3422</v>
      </c>
      <c r="G1853" s="3" t="s">
        <v>2196</v>
      </c>
    </row>
    <row r="1854" spans="1:7">
      <c r="A1854" s="6">
        <v>42929</v>
      </c>
      <c r="B1854" s="3" t="s">
        <v>2053</v>
      </c>
      <c r="C1854" s="3" t="s">
        <v>18</v>
      </c>
      <c r="D1854" s="8" t="str">
        <f>HYPERLINK("http://npthd.inbcu.com/ViewContent.aspx?filename=NPMR_CBS_2017-07-13_W.MP4$3711$3716","LIFE IN PIECES: chef rescue negotiator necklace")</f>
        <v>LIFE IN PIECES: chef rescue negotiator necklace</v>
      </c>
      <c r="E1854" s="3" t="s">
        <v>54</v>
      </c>
      <c r="F1854" s="3" t="s">
        <v>2196</v>
      </c>
      <c r="G1854" s="3" t="s">
        <v>242</v>
      </c>
    </row>
    <row r="1855" spans="1:7">
      <c r="A1855" s="6">
        <v>42929</v>
      </c>
      <c r="B1855" s="3" t="s">
        <v>2053</v>
      </c>
      <c r="C1855" s="3" t="s">
        <v>14</v>
      </c>
      <c r="D1855" s="8" t="str">
        <f>HYPERLINK("http://npthd.inbcu.com/ViewContent.aspx?filename=NPMR_CBS_2017-07-13_W.MP4$3716$3721","Late Show with Stephen Colbert")</f>
        <v>Late Show with Stephen Colbert</v>
      </c>
      <c r="E1855" s="3" t="s">
        <v>54</v>
      </c>
      <c r="F1855" s="3" t="s">
        <v>242</v>
      </c>
      <c r="G1855" s="3" t="s">
        <v>243</v>
      </c>
    </row>
    <row r="1856" spans="1:7">
      <c r="A1856" s="6">
        <v>42929</v>
      </c>
      <c r="B1856" s="3" t="s">
        <v>2053</v>
      </c>
      <c r="C1856" s="3" t="s">
        <v>18</v>
      </c>
      <c r="D1856" s="8" t="str">
        <f>HYPERLINK("http://npthd.inbcu.com/ViewContent.aspx?filename=NPMR_CBS_2017-07-13_W.MP4$3721$4541","BIG BROTHER 19: 1908")</f>
        <v>BIG BROTHER 19: 1908</v>
      </c>
      <c r="E1856" s="3" t="s">
        <v>2672</v>
      </c>
      <c r="F1856" s="3" t="s">
        <v>243</v>
      </c>
      <c r="G1856" s="3" t="s">
        <v>3423</v>
      </c>
    </row>
    <row r="1857" spans="1:7">
      <c r="A1857" s="6">
        <v>42929</v>
      </c>
      <c r="B1857" s="3" t="s">
        <v>2053</v>
      </c>
      <c r="C1857" s="3" t="s">
        <v>21</v>
      </c>
      <c r="D1857" s="8" t="str">
        <f>HYPERLINK("http://npthd.inbcu.com/ViewContent.aspx?filename=NPMR_CBS_2017-07-13_W.MP4$4541$4632","COMMERCIAL")</f>
        <v>COMMERCIAL</v>
      </c>
      <c r="E1857" s="3" t="s">
        <v>77</v>
      </c>
      <c r="F1857" s="3" t="s">
        <v>3423</v>
      </c>
      <c r="G1857" s="3" t="s">
        <v>2711</v>
      </c>
    </row>
    <row r="1858" spans="1:7">
      <c r="A1858" s="6">
        <v>42929</v>
      </c>
      <c r="B1858" s="3" t="s">
        <v>2053</v>
      </c>
      <c r="C1858" s="3" t="s">
        <v>14</v>
      </c>
      <c r="D1858" s="8" t="str">
        <f>HYPERLINK("http://npthd.inbcu.com/ViewContent.aspx?filename=NPMR_CBS_2017-07-13_W.MP4$4632$4642","Talk, The")</f>
        <v>Talk, The</v>
      </c>
      <c r="E1858" s="3" t="s">
        <v>197</v>
      </c>
      <c r="F1858" s="3" t="s">
        <v>2711</v>
      </c>
      <c r="G1858" s="3" t="s">
        <v>2629</v>
      </c>
    </row>
    <row r="1859" spans="1:7">
      <c r="A1859" s="6">
        <v>42929</v>
      </c>
      <c r="B1859" s="3" t="s">
        <v>2053</v>
      </c>
      <c r="C1859" s="3" t="s">
        <v>14</v>
      </c>
      <c r="D1859" s="8" t="str">
        <f>HYPERLINK("http://npthd.inbcu.com/ViewContent.aspx?filename=NPMR_CBS_2017-07-13_W.MP4$4642$4652","Young Sheldon")</f>
        <v>Young Sheldon</v>
      </c>
      <c r="E1859" s="3" t="s">
        <v>197</v>
      </c>
      <c r="F1859" s="3" t="s">
        <v>2629</v>
      </c>
      <c r="G1859" s="3" t="s">
        <v>3424</v>
      </c>
    </row>
    <row r="1860" spans="1:7">
      <c r="A1860" s="6">
        <v>42929</v>
      </c>
      <c r="B1860" s="3" t="s">
        <v>2053</v>
      </c>
      <c r="C1860" s="3" t="s">
        <v>14</v>
      </c>
      <c r="D1860" s="8" t="str">
        <f>HYPERLINK("http://npthd.inbcu.com/ViewContent.aspx?filename=NPMR_CBS_2017-07-13_W.MP4$4652$4662","Wisdom of the Crowd")</f>
        <v>Wisdom of the Crowd</v>
      </c>
      <c r="E1860" s="3" t="s">
        <v>197</v>
      </c>
      <c r="F1860" s="3" t="s">
        <v>3424</v>
      </c>
      <c r="G1860" s="3" t="s">
        <v>3425</v>
      </c>
    </row>
    <row r="1861" spans="1:7">
      <c r="A1861" s="6">
        <v>42929</v>
      </c>
      <c r="B1861" s="3" t="s">
        <v>2053</v>
      </c>
      <c r="C1861" s="3" t="s">
        <v>18</v>
      </c>
      <c r="D1861" s="8" t="str">
        <f>HYPERLINK("http://npthd.inbcu.com/ViewContent.aspx?filename=NPMR_CBS_2017-07-13_W.MP4$4662$5283","BIG BROTHER 19: 1908")</f>
        <v>BIG BROTHER 19: 1908</v>
      </c>
      <c r="E1861" s="3" t="s">
        <v>3426</v>
      </c>
      <c r="F1861" s="3" t="s">
        <v>3425</v>
      </c>
      <c r="G1861" s="3" t="s">
        <v>3427</v>
      </c>
    </row>
    <row r="1862" spans="1:7">
      <c r="A1862" s="6">
        <v>42929</v>
      </c>
      <c r="B1862" s="3" t="s">
        <v>2053</v>
      </c>
      <c r="C1862" s="3" t="s">
        <v>21</v>
      </c>
      <c r="D1862" s="8" t="str">
        <f>HYPERLINK("http://npthd.inbcu.com/ViewContent.aspx?filename=NPMR_CBS_2017-07-13_W.MP4$5283$5404","COMMERCIAL")</f>
        <v>COMMERCIAL</v>
      </c>
      <c r="E1862" s="3" t="s">
        <v>175</v>
      </c>
      <c r="F1862" s="3" t="s">
        <v>3427</v>
      </c>
      <c r="G1862" s="3" t="s">
        <v>3428</v>
      </c>
    </row>
    <row r="1863" spans="1:7">
      <c r="A1863" s="6">
        <v>42929</v>
      </c>
      <c r="B1863" s="3" t="s">
        <v>2053</v>
      </c>
      <c r="C1863" s="3" t="s">
        <v>14</v>
      </c>
      <c r="D1863" s="8" t="str">
        <f>HYPERLINK("http://npthd.inbcu.com/ViewContent.aspx?filename=NPMR_CBS_2017-07-13_W.MP4$5404$5414","Salvation")</f>
        <v>Salvation</v>
      </c>
      <c r="E1863" s="3" t="s">
        <v>197</v>
      </c>
      <c r="F1863" s="3" t="s">
        <v>3428</v>
      </c>
      <c r="G1863" s="3" t="s">
        <v>2924</v>
      </c>
    </row>
    <row r="1864" spans="1:7">
      <c r="A1864" s="6">
        <v>42929</v>
      </c>
      <c r="B1864" s="3" t="s">
        <v>2053</v>
      </c>
      <c r="C1864" s="3" t="s">
        <v>18</v>
      </c>
      <c r="D1864" s="8" t="str">
        <f>HYPERLINK("http://npthd.inbcu.com/ViewContent.aspx?filename=NPMR_CBS_2017-07-13_W.MP4$5414$5697","BIG BROTHER 19: 1908")</f>
        <v>BIG BROTHER 19: 1908</v>
      </c>
      <c r="E1864" s="3" t="s">
        <v>1007</v>
      </c>
      <c r="F1864" s="3" t="s">
        <v>2924</v>
      </c>
      <c r="G1864" s="3" t="s">
        <v>3429</v>
      </c>
    </row>
    <row r="1865" spans="1:7">
      <c r="A1865" s="6">
        <v>42929</v>
      </c>
      <c r="B1865" s="3" t="s">
        <v>2053</v>
      </c>
      <c r="C1865" s="3" t="s">
        <v>21</v>
      </c>
      <c r="D1865" s="8" t="str">
        <f>HYPERLINK("http://npthd.inbcu.com/ViewContent.aspx?filename=NPMR_CBS_2017-07-13_W.MP4$5697$5848","COMMERCIAL")</f>
        <v>COMMERCIAL</v>
      </c>
      <c r="E1865" s="3" t="s">
        <v>91</v>
      </c>
      <c r="F1865" s="3" t="s">
        <v>3429</v>
      </c>
      <c r="G1865" s="3" t="s">
        <v>1287</v>
      </c>
    </row>
    <row r="1866" spans="1:7">
      <c r="A1866" s="6">
        <v>42929</v>
      </c>
      <c r="B1866" s="3" t="s">
        <v>2053</v>
      </c>
      <c r="C1866" s="3" t="s">
        <v>14</v>
      </c>
      <c r="D1866" s="8" t="str">
        <f>HYPERLINK("http://npthd.inbcu.com/ViewContent.aspx?filename=NPMR_CBS_2017-07-13_W.MP4$5848$5853","Young Sheldon")</f>
        <v>Young Sheldon</v>
      </c>
      <c r="E1866" s="3" t="s">
        <v>54</v>
      </c>
      <c r="F1866" s="3" t="s">
        <v>1287</v>
      </c>
      <c r="G1866" s="3" t="s">
        <v>3027</v>
      </c>
    </row>
    <row r="1867" spans="1:7">
      <c r="A1867" s="6">
        <v>42929</v>
      </c>
      <c r="B1867" s="3" t="s">
        <v>2053</v>
      </c>
      <c r="C1867" s="3" t="s">
        <v>32</v>
      </c>
      <c r="D1867" s="8" t="str">
        <f>HYPERLINK("http://npthd.inbcu.com/ViewContent.aspx?filename=NPMR_CBS_2017-07-13_W.MP4$5853$5918","LOCAL")</f>
        <v>LOCAL</v>
      </c>
      <c r="E1867" s="3" t="s">
        <v>580</v>
      </c>
      <c r="F1867" s="3" t="s">
        <v>3027</v>
      </c>
      <c r="G1867" s="3" t="s">
        <v>3430</v>
      </c>
    </row>
    <row r="1868" spans="1:7">
      <c r="A1868" s="6">
        <v>42929</v>
      </c>
      <c r="B1868" s="3" t="s">
        <v>2053</v>
      </c>
      <c r="C1868" s="3" t="s">
        <v>14</v>
      </c>
      <c r="D1868" s="8" t="str">
        <f>HYPERLINK("http://npthd.inbcu.com/ViewContent.aspx?filename=NPMR_CBS_2017-07-13_W.MP4$5918$5933","Big Brother (Live Feed)")</f>
        <v>Big Brother (Live Feed)</v>
      </c>
      <c r="E1868" s="3" t="s">
        <v>30</v>
      </c>
      <c r="F1868" s="3" t="s">
        <v>3430</v>
      </c>
      <c r="G1868" s="3" t="s">
        <v>3431</v>
      </c>
    </row>
    <row r="1869" spans="1:7">
      <c r="A1869" s="6">
        <v>42929</v>
      </c>
      <c r="B1869" s="3" t="s">
        <v>2053</v>
      </c>
      <c r="C1869" s="3" t="s">
        <v>18</v>
      </c>
      <c r="D1869" s="8" t="str">
        <f>HYPERLINK("http://npthd.inbcu.com/ViewContent.aspx?filename=NPMR_CBS_2017-07-13_W.MP4$5933$6515","BIG BROTHER 19: 1908")</f>
        <v>BIG BROTHER 19: 1908</v>
      </c>
      <c r="E1869" s="3" t="s">
        <v>2794</v>
      </c>
      <c r="F1869" s="3" t="s">
        <v>3431</v>
      </c>
      <c r="G1869" s="3" t="s">
        <v>3432</v>
      </c>
    </row>
    <row r="1870" spans="1:7">
      <c r="A1870" s="6">
        <v>42929</v>
      </c>
      <c r="B1870" s="3" t="s">
        <v>2053</v>
      </c>
      <c r="C1870" s="3" t="s">
        <v>21</v>
      </c>
      <c r="D1870" s="8" t="str">
        <f>HYPERLINK("http://npthd.inbcu.com/ViewContent.aspx?filename=NPMR_CBS_2017-07-13_W.MP4$6515$6696","COMMERCIAL")</f>
        <v>COMMERCIAL</v>
      </c>
      <c r="E1870" s="3" t="s">
        <v>108</v>
      </c>
      <c r="F1870" s="3" t="s">
        <v>3432</v>
      </c>
      <c r="G1870" s="3" t="s">
        <v>3433</v>
      </c>
    </row>
    <row r="1871" spans="1:7">
      <c r="A1871" s="6">
        <v>42929</v>
      </c>
      <c r="B1871" s="3" t="s">
        <v>2053</v>
      </c>
      <c r="C1871" s="3" t="s">
        <v>14</v>
      </c>
      <c r="D1871" s="8" t="str">
        <f>HYPERLINK("http://npthd.inbcu.com/ViewContent.aspx?filename=NPMR_CBS_2017-07-13_W.MP4$6696$6716","Zoo")</f>
        <v>Zoo</v>
      </c>
      <c r="E1871" s="3" t="s">
        <v>1805</v>
      </c>
      <c r="F1871" s="3" t="s">
        <v>3433</v>
      </c>
      <c r="G1871" s="3" t="s">
        <v>3434</v>
      </c>
    </row>
    <row r="1872" spans="1:7">
      <c r="A1872" s="6">
        <v>42929</v>
      </c>
      <c r="B1872" s="3" t="s">
        <v>2053</v>
      </c>
      <c r="C1872" s="3" t="s">
        <v>14</v>
      </c>
      <c r="D1872" s="8" t="str">
        <f>HYPERLINK("http://npthd.inbcu.com/ViewContent.aspx?filename=NPMR_CBS_2017-07-13_W.MP4$6716$6726","Me, Myself &amp; I")</f>
        <v>Me, Myself &amp; I</v>
      </c>
      <c r="E1872" s="3" t="s">
        <v>197</v>
      </c>
      <c r="F1872" s="3" t="s">
        <v>3434</v>
      </c>
      <c r="G1872" s="3" t="s">
        <v>3435</v>
      </c>
    </row>
    <row r="1873" spans="1:7">
      <c r="A1873" s="6">
        <v>42929</v>
      </c>
      <c r="B1873" s="3" t="s">
        <v>2053</v>
      </c>
      <c r="C1873" s="3" t="s">
        <v>14</v>
      </c>
      <c r="D1873" s="8" t="str">
        <f>HYPERLINK("http://npthd.inbcu.com/ViewContent.aspx?filename=NPMR_CBS_2017-07-13_W.MP4$6726$6731","Seal Team")</f>
        <v>Seal Team</v>
      </c>
      <c r="E1873" s="3" t="s">
        <v>54</v>
      </c>
      <c r="F1873" s="3" t="s">
        <v>3435</v>
      </c>
      <c r="G1873" s="3" t="s">
        <v>3436</v>
      </c>
    </row>
    <row r="1874" spans="1:7">
      <c r="A1874" s="6">
        <v>42929</v>
      </c>
      <c r="B1874" s="3" t="s">
        <v>2053</v>
      </c>
      <c r="C1874" s="3" t="s">
        <v>32</v>
      </c>
      <c r="D1874" s="8" t="str">
        <f>HYPERLINK("http://npthd.inbcu.com/ViewContent.aspx?filename=NPMR_CBS_2017-07-13_W.MP4$6731$6826","LOCAL")</f>
        <v>LOCAL</v>
      </c>
      <c r="E1874" s="3" t="s">
        <v>2076</v>
      </c>
      <c r="F1874" s="3" t="s">
        <v>3436</v>
      </c>
      <c r="G1874" s="3" t="s">
        <v>3437</v>
      </c>
    </row>
    <row r="1875" spans="1:7">
      <c r="A1875" s="6">
        <v>42929</v>
      </c>
      <c r="B1875" s="3" t="s">
        <v>2053</v>
      </c>
      <c r="C1875" s="3" t="s">
        <v>18</v>
      </c>
      <c r="D1875" s="8" t="str">
        <f>HYPERLINK("http://npthd.inbcu.com/ViewContent.aspx?filename=NPMR_CBS_2017-07-13_W.MP4$6826$7003","BIG BROTHER 19: 1908")</f>
        <v>BIG BROTHER 19: 1908</v>
      </c>
      <c r="E1875" s="3" t="s">
        <v>3438</v>
      </c>
      <c r="F1875" s="3" t="s">
        <v>3437</v>
      </c>
      <c r="G1875" s="3" t="s">
        <v>2367</v>
      </c>
    </row>
    <row r="1876" spans="1:7">
      <c r="A1876" s="6">
        <v>42929</v>
      </c>
      <c r="B1876" s="3" t="s">
        <v>2053</v>
      </c>
      <c r="C1876" s="3" t="s">
        <v>21</v>
      </c>
      <c r="D1876" s="8" t="str">
        <f>HYPERLINK("http://npthd.inbcu.com/ViewContent.aspx?filename=NPMR_CBS_2017-07-13_W.MP4$7003$7154","COMMERCIAL")</f>
        <v>COMMERCIAL</v>
      </c>
      <c r="E1876" s="3" t="s">
        <v>91</v>
      </c>
      <c r="F1876" s="3" t="s">
        <v>2367</v>
      </c>
      <c r="G1876" s="3" t="s">
        <v>3439</v>
      </c>
    </row>
    <row r="1877" spans="1:7">
      <c r="A1877" s="6">
        <v>42929</v>
      </c>
      <c r="B1877" s="3" t="s">
        <v>2053</v>
      </c>
      <c r="C1877" s="3" t="s">
        <v>18</v>
      </c>
      <c r="D1877" s="8" t="str">
        <f>HYPERLINK("http://npthd.inbcu.com/ViewContent.aspx?filename=NPMR_CBS_2017-07-13_W.MP4$7154$7275","BIG BROTHER 19: 1908")</f>
        <v>BIG BROTHER 19: 1908</v>
      </c>
      <c r="E1877" s="3" t="s">
        <v>175</v>
      </c>
      <c r="F1877" s="3" t="s">
        <v>3439</v>
      </c>
      <c r="G1877" s="3" t="s">
        <v>568</v>
      </c>
    </row>
    <row r="1878" spans="1:7">
      <c r="A1878" s="6">
        <v>42929</v>
      </c>
      <c r="B1878" s="3" t="s">
        <v>2053</v>
      </c>
      <c r="C1878" s="3" t="s">
        <v>14</v>
      </c>
      <c r="D1878" s="8" t="str">
        <f>HYPERLINK("http://npthd.inbcu.com/ViewContent.aspx?filename=NPMR_CBS_2017-07-13_W.MP4$7275$7305","Wisdom of the Crowd")</f>
        <v>Wisdom of the Crowd</v>
      </c>
      <c r="E1878" s="3" t="s">
        <v>38</v>
      </c>
      <c r="F1878" s="3" t="s">
        <v>568</v>
      </c>
      <c r="G1878" s="3" t="s">
        <v>3393</v>
      </c>
    </row>
    <row r="1879" spans="1:7">
      <c r="A1879" s="6">
        <v>42929</v>
      </c>
      <c r="B1879" s="3" t="s">
        <v>2053</v>
      </c>
      <c r="C1879" s="3" t="s">
        <v>18</v>
      </c>
      <c r="D1879" s="8" t="str">
        <f>HYPERLINK("http://npthd.inbcu.com/ViewContent.aspx?filename=NPMR_CBS_2017-07-13_W.MP4$7305$7310","BIG BROTHER 19: 1908")</f>
        <v>BIG BROTHER 19: 1908</v>
      </c>
      <c r="E1879" s="3" t="s">
        <v>54</v>
      </c>
      <c r="F1879" s="3" t="s">
        <v>3393</v>
      </c>
      <c r="G1879" s="3" t="s">
        <v>183</v>
      </c>
    </row>
    <row r="1880" spans="1:7">
      <c r="A1880" s="6">
        <v>42929</v>
      </c>
      <c r="B1880" s="3" t="s">
        <v>2053</v>
      </c>
      <c r="C1880" s="3" t="s">
        <v>14</v>
      </c>
      <c r="D1880" s="8" t="str">
        <f>HYPERLINK("http://npthd.inbcu.com/ViewContent.aspx?filename=NPMR_CBS_2017-07-13_W.MP4$7310$7316","9JKL")</f>
        <v>9JKL</v>
      </c>
      <c r="E1880" s="3" t="s">
        <v>15</v>
      </c>
      <c r="F1880" s="3" t="s">
        <v>183</v>
      </c>
      <c r="G1880" s="3" t="s">
        <v>394</v>
      </c>
    </row>
    <row r="1881" spans="1:7">
      <c r="A1881" s="6">
        <v>42929</v>
      </c>
      <c r="B1881" s="3" t="s">
        <v>2053</v>
      </c>
      <c r="C1881" s="3" t="s">
        <v>14</v>
      </c>
      <c r="D1881" s="8" t="str">
        <f>HYPERLINK("http://npthd.inbcu.com/ViewContent.aspx?filename=NPMR_CBS_2017-07-13_W.MP4$7316$7321","Late Show with Stephen Colbert")</f>
        <v>Late Show with Stephen Colbert</v>
      </c>
      <c r="E1881" s="3" t="s">
        <v>54</v>
      </c>
      <c r="F1881" s="3" t="s">
        <v>394</v>
      </c>
      <c r="G1881" s="3" t="s">
        <v>395</v>
      </c>
    </row>
    <row r="1882" spans="1:7">
      <c r="A1882" s="6">
        <v>42929</v>
      </c>
      <c r="B1882" s="3" t="s">
        <v>2053</v>
      </c>
      <c r="C1882" s="3" t="s">
        <v>18</v>
      </c>
      <c r="D1882" s="8" t="str">
        <f>HYPERLINK("http://npthd.inbcu.com/ViewContent.aspx?filename=NPMR_CBS_2017-07-13_W.MP4$7321$7883","ZOO: ten years gone")</f>
        <v>ZOO: ten years gone</v>
      </c>
      <c r="E1882" s="3" t="s">
        <v>2909</v>
      </c>
      <c r="F1882" s="3" t="s">
        <v>395</v>
      </c>
      <c r="G1882" s="3" t="s">
        <v>3440</v>
      </c>
    </row>
    <row r="1883" spans="1:7">
      <c r="A1883" s="6">
        <v>42929</v>
      </c>
      <c r="B1883" s="3" t="s">
        <v>2053</v>
      </c>
      <c r="C1883" s="3" t="s">
        <v>21</v>
      </c>
      <c r="D1883" s="8" t="str">
        <f>HYPERLINK("http://npthd.inbcu.com/ViewContent.aspx?filename=NPMR_CBS_2017-07-13_W.MP4$7883$8037","COMMERCIAL")</f>
        <v>COMMERCIAL</v>
      </c>
      <c r="E1883" s="3" t="s">
        <v>2185</v>
      </c>
      <c r="F1883" s="3" t="s">
        <v>3440</v>
      </c>
      <c r="G1883" s="3" t="s">
        <v>1978</v>
      </c>
    </row>
    <row r="1884" spans="1:7">
      <c r="A1884" s="6">
        <v>42929</v>
      </c>
      <c r="B1884" s="3" t="s">
        <v>2053</v>
      </c>
      <c r="C1884" s="3" t="s">
        <v>14</v>
      </c>
      <c r="D1884" s="8" t="str">
        <f>HYPERLINK("http://npthd.inbcu.com/ViewContent.aspx?filename=NPMR_CBS_2017-07-13_W.MP4$8037$8047","Big Brother")</f>
        <v>Big Brother</v>
      </c>
      <c r="E1884" s="3" t="s">
        <v>197</v>
      </c>
      <c r="F1884" s="3" t="s">
        <v>1978</v>
      </c>
      <c r="G1884" s="3" t="s">
        <v>2482</v>
      </c>
    </row>
    <row r="1885" spans="1:7">
      <c r="A1885" s="6">
        <v>42929</v>
      </c>
      <c r="B1885" s="3" t="s">
        <v>2053</v>
      </c>
      <c r="C1885" s="3" t="s">
        <v>14</v>
      </c>
      <c r="D1885" s="8" t="str">
        <f>HYPERLINK("http://npthd.inbcu.com/ViewContent.aspx?filename=NPMR_CBS_2017-07-13_W.MP4$8047$8052","Seal Team")</f>
        <v>Seal Team</v>
      </c>
      <c r="E1885" s="3" t="s">
        <v>54</v>
      </c>
      <c r="F1885" s="3" t="s">
        <v>2482</v>
      </c>
      <c r="G1885" s="3" t="s">
        <v>3441</v>
      </c>
    </row>
    <row r="1886" spans="1:7">
      <c r="A1886" s="6">
        <v>42929</v>
      </c>
      <c r="B1886" s="3" t="s">
        <v>2053</v>
      </c>
      <c r="C1886" s="3" t="s">
        <v>18</v>
      </c>
      <c r="D1886" s="8" t="str">
        <f>HYPERLINK("http://npthd.inbcu.com/ViewContent.aspx?filename=NPMR_CBS_2017-07-13_W.MP4$8052$8637","ZOO: ten years gone")</f>
        <v>ZOO: ten years gone</v>
      </c>
      <c r="E1886" s="3" t="s">
        <v>1040</v>
      </c>
      <c r="F1886" s="3" t="s">
        <v>3441</v>
      </c>
      <c r="G1886" s="3" t="s">
        <v>3442</v>
      </c>
    </row>
    <row r="1887" spans="1:7">
      <c r="A1887" s="6">
        <v>42929</v>
      </c>
      <c r="B1887" s="3" t="s">
        <v>2053</v>
      </c>
      <c r="C1887" s="3" t="s">
        <v>21</v>
      </c>
      <c r="D1887" s="8" t="str">
        <f>HYPERLINK("http://npthd.inbcu.com/ViewContent.aspx?filename=NPMR_CBS_2017-07-13_W.MP4$8637$8819","COMMERCIAL")</f>
        <v>COMMERCIAL</v>
      </c>
      <c r="E1887" s="3" t="s">
        <v>275</v>
      </c>
      <c r="F1887" s="3" t="s">
        <v>3442</v>
      </c>
      <c r="G1887" s="3" t="s">
        <v>3443</v>
      </c>
    </row>
    <row r="1888" spans="1:7">
      <c r="A1888" s="6">
        <v>42929</v>
      </c>
      <c r="B1888" s="3" t="s">
        <v>2053</v>
      </c>
      <c r="C1888" s="3" t="s">
        <v>14</v>
      </c>
      <c r="D1888" s="8" t="str">
        <f>HYPERLINK("http://npthd.inbcu.com/ViewContent.aspx?filename=NPMR_CBS_2017-07-13_W.MP4$8819$8829","Salvation")</f>
        <v>Salvation</v>
      </c>
      <c r="E1888" s="3" t="s">
        <v>197</v>
      </c>
      <c r="F1888" s="3" t="s">
        <v>3443</v>
      </c>
      <c r="G1888" s="3" t="s">
        <v>3444</v>
      </c>
    </row>
    <row r="1889" spans="1:7">
      <c r="A1889" s="6">
        <v>42929</v>
      </c>
      <c r="B1889" s="3" t="s">
        <v>2053</v>
      </c>
      <c r="C1889" s="3" t="s">
        <v>14</v>
      </c>
      <c r="D1889" s="8" t="str">
        <f>HYPERLINK("http://npthd.inbcu.com/ViewContent.aspx?filename=NPMR_CBS_2017-07-13_W.MP4$8829$8835","Me, Myself &amp; I")</f>
        <v>Me, Myself &amp; I</v>
      </c>
      <c r="E1889" s="3" t="s">
        <v>15</v>
      </c>
      <c r="F1889" s="3" t="s">
        <v>3444</v>
      </c>
      <c r="G1889" s="3" t="s">
        <v>3445</v>
      </c>
    </row>
    <row r="1890" spans="1:7">
      <c r="A1890" s="6">
        <v>42929</v>
      </c>
      <c r="B1890" s="3" t="s">
        <v>2053</v>
      </c>
      <c r="C1890" s="3" t="s">
        <v>14</v>
      </c>
      <c r="D1890" s="8" t="str">
        <f>HYPERLINK("http://npthd.inbcu.com/ViewContent.aspx?filename=NPMR_CBS_2017-07-13_W.MP4$8835$8854","Wisdom of the Crowd")</f>
        <v>Wisdom of the Crowd</v>
      </c>
      <c r="E1890" s="3" t="s">
        <v>670</v>
      </c>
      <c r="F1890" s="3" t="s">
        <v>3445</v>
      </c>
      <c r="G1890" s="3" t="s">
        <v>3446</v>
      </c>
    </row>
    <row r="1891" spans="1:7">
      <c r="A1891" s="6">
        <v>42929</v>
      </c>
      <c r="B1891" s="3" t="s">
        <v>2053</v>
      </c>
      <c r="C1891" s="3" t="s">
        <v>18</v>
      </c>
      <c r="D1891" s="8" t="str">
        <f>HYPERLINK("http://npthd.inbcu.com/ViewContent.aspx?filename=NPMR_CBS_2017-07-13_W.MP4$8854$9175","ZOO: ten years gone")</f>
        <v>ZOO: ten years gone</v>
      </c>
      <c r="E1891" s="3" t="s">
        <v>760</v>
      </c>
      <c r="F1891" s="3" t="s">
        <v>3446</v>
      </c>
      <c r="G1891" s="3" t="s">
        <v>3447</v>
      </c>
    </row>
    <row r="1892" spans="1:7">
      <c r="A1892" s="6">
        <v>42929</v>
      </c>
      <c r="B1892" s="3" t="s">
        <v>2053</v>
      </c>
      <c r="C1892" s="3" t="s">
        <v>21</v>
      </c>
      <c r="D1892" s="8" t="str">
        <f>HYPERLINK("http://npthd.inbcu.com/ViewContent.aspx?filename=NPMR_CBS_2017-07-13_W.MP4$9175$9295","COMMERCIAL")</f>
        <v>COMMERCIAL</v>
      </c>
      <c r="E1892" s="3" t="s">
        <v>43</v>
      </c>
      <c r="F1892" s="3" t="s">
        <v>3447</v>
      </c>
      <c r="G1892" s="3" t="s">
        <v>3448</v>
      </c>
    </row>
    <row r="1893" spans="1:7">
      <c r="A1893" s="6">
        <v>42929</v>
      </c>
      <c r="B1893" s="3" t="s">
        <v>2053</v>
      </c>
      <c r="C1893" s="3" t="s">
        <v>32</v>
      </c>
      <c r="D1893" s="8" t="str">
        <f>HYPERLINK("http://npthd.inbcu.com/ViewContent.aspx?filename=NPMR_CBS_2017-07-13_W.MP4$9295$9435","LOCAL")</f>
        <v>LOCAL</v>
      </c>
      <c r="E1893" s="3" t="s">
        <v>623</v>
      </c>
      <c r="F1893" s="3" t="s">
        <v>3448</v>
      </c>
      <c r="G1893" s="3" t="s">
        <v>3449</v>
      </c>
    </row>
    <row r="1894" spans="1:7">
      <c r="A1894" s="6">
        <v>42929</v>
      </c>
      <c r="B1894" s="3" t="s">
        <v>2053</v>
      </c>
      <c r="C1894" s="3" t="s">
        <v>18</v>
      </c>
      <c r="D1894" s="8" t="str">
        <f>HYPERLINK("http://npthd.inbcu.com/ViewContent.aspx?filename=NPMR_CBS_2017-07-13_W.MP4$9435$10151","ZOO: ten years gone")</f>
        <v>ZOO: ten years gone</v>
      </c>
      <c r="E1894" s="3" t="s">
        <v>1977</v>
      </c>
      <c r="F1894" s="3" t="s">
        <v>3449</v>
      </c>
      <c r="G1894" s="3" t="s">
        <v>3450</v>
      </c>
    </row>
    <row r="1895" spans="1:7">
      <c r="A1895" s="6">
        <v>42929</v>
      </c>
      <c r="B1895" s="3" t="s">
        <v>2053</v>
      </c>
      <c r="C1895" s="3" t="s">
        <v>14</v>
      </c>
      <c r="D1895" s="8" t="str">
        <f>HYPERLINK("http://npthd.inbcu.com/ViewContent.aspx?filename=NPMR_CBS_2017-07-13_W.MP4$10151$10163","Zoo")</f>
        <v>Zoo</v>
      </c>
      <c r="E1895" s="3" t="s">
        <v>2057</v>
      </c>
      <c r="F1895" s="3" t="s">
        <v>3450</v>
      </c>
      <c r="G1895" s="3" t="s">
        <v>2311</v>
      </c>
    </row>
    <row r="1896" spans="1:7">
      <c r="A1896" s="6">
        <v>42929</v>
      </c>
      <c r="B1896" s="3" t="s">
        <v>2053</v>
      </c>
      <c r="C1896" s="3" t="s">
        <v>21</v>
      </c>
      <c r="D1896" s="8" t="str">
        <f>HYPERLINK("http://npthd.inbcu.com/ViewContent.aspx?filename=NPMR_CBS_2017-07-13_W.MP4$10163$10313","COMMERCIAL")</f>
        <v>COMMERCIAL</v>
      </c>
      <c r="E1896" s="3" t="s">
        <v>28</v>
      </c>
      <c r="F1896" s="3" t="s">
        <v>2311</v>
      </c>
      <c r="G1896" s="3" t="s">
        <v>2384</v>
      </c>
    </row>
    <row r="1897" spans="1:7">
      <c r="A1897" s="6">
        <v>42929</v>
      </c>
      <c r="B1897" s="3" t="s">
        <v>2053</v>
      </c>
      <c r="C1897" s="3" t="s">
        <v>14</v>
      </c>
      <c r="D1897" s="8" t="str">
        <f>HYPERLINK("http://npthd.inbcu.com/ViewContent.aspx?filename=NPMR_CBS_2017-07-13_W.MP4$10313$10324","Late Show with Stephen Colbert")</f>
        <v>Late Show with Stephen Colbert</v>
      </c>
      <c r="E1897" s="3" t="s">
        <v>1940</v>
      </c>
      <c r="F1897" s="3" t="s">
        <v>2384</v>
      </c>
      <c r="G1897" s="3" t="s">
        <v>3451</v>
      </c>
    </row>
    <row r="1898" spans="1:7">
      <c r="A1898" s="6">
        <v>42929</v>
      </c>
      <c r="B1898" s="3" t="s">
        <v>2053</v>
      </c>
      <c r="C1898" s="3" t="s">
        <v>32</v>
      </c>
      <c r="D1898" s="8" t="str">
        <f>HYPERLINK("http://npthd.inbcu.com/ViewContent.aspx?filename=NPMR_CBS_2017-07-13_W.MP4$10324$10418","LOCAL")</f>
        <v>LOCAL</v>
      </c>
      <c r="E1898" s="3" t="s">
        <v>1917</v>
      </c>
      <c r="F1898" s="3" t="s">
        <v>3451</v>
      </c>
      <c r="G1898" s="3" t="s">
        <v>1465</v>
      </c>
    </row>
    <row r="1899" spans="1:7">
      <c r="A1899" s="6">
        <v>42929</v>
      </c>
      <c r="B1899" s="3" t="s">
        <v>2053</v>
      </c>
      <c r="C1899" s="3" t="s">
        <v>18</v>
      </c>
      <c r="D1899" s="8" t="str">
        <f>HYPERLINK("http://npthd.inbcu.com/ViewContent.aspx?filename=NPMR_CBS_2017-07-13_W.MP4$10418$10801","ZOO: ten years gone")</f>
        <v>ZOO: ten years gone</v>
      </c>
      <c r="E1899" s="3" t="s">
        <v>1904</v>
      </c>
      <c r="F1899" s="3" t="s">
        <v>1465</v>
      </c>
      <c r="G1899" s="3" t="s">
        <v>2606</v>
      </c>
    </row>
    <row r="1900" spans="1:7">
      <c r="A1900" s="6">
        <v>42929</v>
      </c>
      <c r="B1900" s="3" t="s">
        <v>2053</v>
      </c>
      <c r="C1900" s="3" t="s">
        <v>32</v>
      </c>
      <c r="D1900" s="8" t="str">
        <f>HYPERLINK("http://npthd.inbcu.com/ViewContent.aspx?filename=NPMR_CBS_2017-07-13_W.MP4$10801$10813","LOCAL")</f>
        <v>LOCAL</v>
      </c>
      <c r="E1900" s="3" t="s">
        <v>2057</v>
      </c>
      <c r="F1900" s="3" t="s">
        <v>2606</v>
      </c>
      <c r="G1900" s="3" t="s">
        <v>2607</v>
      </c>
    </row>
    <row r="1901" spans="1:7">
      <c r="A1901" s="6">
        <v>42929</v>
      </c>
      <c r="B1901" s="3" t="s">
        <v>2053</v>
      </c>
      <c r="C1901" s="3" t="s">
        <v>21</v>
      </c>
      <c r="D1901" s="8" t="str">
        <f>HYPERLINK("http://npthd.inbcu.com/ViewContent.aspx?filename=NPMR_CBS_2017-07-13_W.MP4$10813$10873","COMMERCIAL")</f>
        <v>COMMERCIAL</v>
      </c>
      <c r="E1901" s="3" t="s">
        <v>66</v>
      </c>
      <c r="F1901" s="3" t="s">
        <v>2607</v>
      </c>
      <c r="G1901" s="3" t="s">
        <v>2175</v>
      </c>
    </row>
    <row r="1902" spans="1:7">
      <c r="A1902" s="6">
        <v>42929</v>
      </c>
      <c r="B1902" s="3" t="s">
        <v>2053</v>
      </c>
      <c r="C1902" s="3" t="s">
        <v>14</v>
      </c>
      <c r="D1902" s="8" t="str">
        <f>HYPERLINK("http://npthd.inbcu.com/ViewContent.aspx?filename=NPMR_CBS_2017-07-13_W.MP4$10873$10878","Late Show with Stephen Colbert")</f>
        <v>Late Show with Stephen Colbert</v>
      </c>
      <c r="E1902" s="3" t="s">
        <v>54</v>
      </c>
      <c r="F1902" s="3" t="s">
        <v>2175</v>
      </c>
      <c r="G1902" s="3" t="s">
        <v>773</v>
      </c>
    </row>
    <row r="1903" spans="1:7">
      <c r="A1903" s="6">
        <v>42929</v>
      </c>
      <c r="B1903" s="3" t="s">
        <v>2053</v>
      </c>
      <c r="C1903" s="3" t="s">
        <v>14</v>
      </c>
      <c r="D1903" s="8" t="str">
        <f>HYPERLINK("http://npthd.inbcu.com/ViewContent.aspx?filename=NPMR_CBS_2017-07-13_W.MP4$10878$10900","Zoo")</f>
        <v>Zoo</v>
      </c>
      <c r="E1903" s="3" t="s">
        <v>2124</v>
      </c>
      <c r="F1903" s="3" t="s">
        <v>773</v>
      </c>
      <c r="G1903" s="3" t="s">
        <v>1181</v>
      </c>
    </row>
    <row r="1904" spans="1:7">
      <c r="A1904" s="6">
        <v>42929</v>
      </c>
      <c r="B1904" s="3" t="s">
        <v>2053</v>
      </c>
      <c r="C1904" s="3" t="s">
        <v>18</v>
      </c>
      <c r="D1904" s="8" t="str">
        <f>HYPERLINK("http://npthd.inbcu.com/ViewContent.aspx?filename=NPMR_CBS_2017-07-13_W.MP4$10900$10904","ZOO: ten years gone")</f>
        <v>ZOO: ten years gone</v>
      </c>
      <c r="E1904" s="3" t="s">
        <v>84</v>
      </c>
      <c r="F1904" s="3" t="s">
        <v>1181</v>
      </c>
      <c r="G1904" s="3" t="s">
        <v>2317</v>
      </c>
    </row>
    <row r="1905" spans="1:7">
      <c r="A1905" s="6">
        <v>42929</v>
      </c>
      <c r="B1905" s="3" t="s">
        <v>2053</v>
      </c>
      <c r="C1905" s="3" t="s">
        <v>32</v>
      </c>
      <c r="D1905" s="8" t="str">
        <f>HYPERLINK("http://npthd.inbcu.com/ViewContent.aspx?filename=NPMR_CBS_2017-07-13_W.MP4$10904$10916","LOCAL")</f>
        <v>LOCAL</v>
      </c>
      <c r="E1905" s="3" t="s">
        <v>2057</v>
      </c>
      <c r="F1905" s="3" t="s">
        <v>2317</v>
      </c>
      <c r="G1905" s="3" t="s">
        <v>124</v>
      </c>
    </row>
    <row r="1906" spans="1:7">
      <c r="A1906" s="6">
        <v>42930</v>
      </c>
      <c r="B1906" s="3" t="s">
        <v>2053</v>
      </c>
      <c r="C1906" s="3" t="s">
        <v>18</v>
      </c>
      <c r="D1906" s="8" t="str">
        <f>HYPERLINK("http://npthd.inbcu.com/ViewContent.aspx?filename=NPMR_CBS_2017-07-14_E.MP4$117$932","HAWAII 5-0: ponie i ke aloha")</f>
        <v>HAWAII 5-0: ponie i ke aloha</v>
      </c>
      <c r="E1906" s="3" t="s">
        <v>3452</v>
      </c>
      <c r="F1906" s="3" t="s">
        <v>16</v>
      </c>
      <c r="G1906" s="3" t="s">
        <v>3453</v>
      </c>
    </row>
    <row r="1907" spans="1:7">
      <c r="A1907" s="6">
        <v>42930</v>
      </c>
      <c r="B1907" s="3" t="s">
        <v>2053</v>
      </c>
      <c r="C1907" s="3" t="s">
        <v>21</v>
      </c>
      <c r="D1907" s="8" t="str">
        <f>HYPERLINK("http://npthd.inbcu.com/ViewContent.aspx?filename=NPMR_CBS_2017-07-14_E.MP4$932$1083","COMMERCIAL")</f>
        <v>COMMERCIAL</v>
      </c>
      <c r="E1907" s="3" t="s">
        <v>91</v>
      </c>
      <c r="F1907" s="3" t="s">
        <v>3453</v>
      </c>
      <c r="G1907" s="3" t="s">
        <v>3454</v>
      </c>
    </row>
    <row r="1908" spans="1:7">
      <c r="A1908" s="6">
        <v>42930</v>
      </c>
      <c r="B1908" s="3" t="s">
        <v>2053</v>
      </c>
      <c r="C1908" s="3" t="s">
        <v>14</v>
      </c>
      <c r="D1908" s="8" t="str">
        <f>HYPERLINK("http://npthd.inbcu.com/ViewContent.aspx?filename=NPMR_CBS_2017-07-14_E.MP4$1083$1098","CBS All Access")</f>
        <v>CBS All Access</v>
      </c>
      <c r="E1908" s="3" t="s">
        <v>30</v>
      </c>
      <c r="F1908" s="3" t="s">
        <v>3454</v>
      </c>
      <c r="G1908" s="3" t="s">
        <v>3455</v>
      </c>
    </row>
    <row r="1909" spans="1:7">
      <c r="A1909" s="6">
        <v>42930</v>
      </c>
      <c r="B1909" s="3" t="s">
        <v>2053</v>
      </c>
      <c r="C1909" s="3" t="s">
        <v>14</v>
      </c>
      <c r="D1909" s="8" t="str">
        <f>HYPERLINK("http://npthd.inbcu.com/ViewContent.aspx?filename=NPMR_CBS_2017-07-14_E.MP4$1098$1108","PGA on CBS")</f>
        <v>PGA on CBS</v>
      </c>
      <c r="E1909" s="3" t="s">
        <v>197</v>
      </c>
      <c r="F1909" s="3" t="s">
        <v>3455</v>
      </c>
      <c r="G1909" s="3" t="s">
        <v>2747</v>
      </c>
    </row>
    <row r="1910" spans="1:7">
      <c r="A1910" s="6">
        <v>42930</v>
      </c>
      <c r="B1910" s="3" t="s">
        <v>2053</v>
      </c>
      <c r="C1910" s="3" t="s">
        <v>14</v>
      </c>
      <c r="D1910" s="8" t="str">
        <f>HYPERLINK("http://npthd.inbcu.com/ViewContent.aspx?filename=NPMR_CBS_2017-07-14_E.MP4$1108$1113","Candy Crush")</f>
        <v>Candy Crush</v>
      </c>
      <c r="E1910" s="3" t="s">
        <v>54</v>
      </c>
      <c r="F1910" s="3" t="s">
        <v>2747</v>
      </c>
      <c r="G1910" s="3" t="s">
        <v>3456</v>
      </c>
    </row>
    <row r="1911" spans="1:7">
      <c r="A1911" s="6">
        <v>42930</v>
      </c>
      <c r="B1911" s="3" t="s">
        <v>2053</v>
      </c>
      <c r="C1911" s="3" t="s">
        <v>18</v>
      </c>
      <c r="D1911" s="8" t="str">
        <f>HYPERLINK("http://npthd.inbcu.com/ViewContent.aspx?filename=NPMR_CBS_2017-07-14_E.MP4$1113$1697","HAWAII 5-0: ponie i ke aloha")</f>
        <v>HAWAII 5-0: ponie i ke aloha</v>
      </c>
      <c r="E1911" s="3" t="s">
        <v>2856</v>
      </c>
      <c r="F1911" s="3" t="s">
        <v>3456</v>
      </c>
      <c r="G1911" s="3" t="s">
        <v>3457</v>
      </c>
    </row>
    <row r="1912" spans="1:7">
      <c r="A1912" s="6">
        <v>42930</v>
      </c>
      <c r="B1912" s="3" t="s">
        <v>2053</v>
      </c>
      <c r="C1912" s="3" t="s">
        <v>21</v>
      </c>
      <c r="D1912" s="8" t="str">
        <f>HYPERLINK("http://npthd.inbcu.com/ViewContent.aspx?filename=NPMR_CBS_2017-07-14_E.MP4$1697$1849","COMMERCIAL")</f>
        <v>COMMERCIAL</v>
      </c>
      <c r="E1912" s="3" t="s">
        <v>128</v>
      </c>
      <c r="F1912" s="3" t="s">
        <v>3457</v>
      </c>
      <c r="G1912" s="3" t="s">
        <v>1407</v>
      </c>
    </row>
    <row r="1913" spans="1:7">
      <c r="A1913" s="6">
        <v>42930</v>
      </c>
      <c r="B1913" s="3" t="s">
        <v>2053</v>
      </c>
      <c r="C1913" s="3" t="s">
        <v>1618</v>
      </c>
      <c r="D1913" s="8" t="str">
        <f>HYPERLINK("http://npthd.inbcu.com/ViewContent.aspx?filename=NPMR_CBS_2017-07-14_E.MP4$1849$1859","PSA")</f>
        <v>PSA</v>
      </c>
      <c r="E1913" s="3" t="s">
        <v>197</v>
      </c>
      <c r="F1913" s="3" t="s">
        <v>1407</v>
      </c>
      <c r="G1913" s="3" t="s">
        <v>1117</v>
      </c>
    </row>
    <row r="1914" spans="1:7">
      <c r="A1914" s="6">
        <v>42930</v>
      </c>
      <c r="B1914" s="3" t="s">
        <v>2053</v>
      </c>
      <c r="C1914" s="3" t="s">
        <v>14</v>
      </c>
      <c r="D1914" s="8" t="str">
        <f>HYPERLINK("http://npthd.inbcu.com/ViewContent.aspx?filename=NPMR_CBS_2017-07-14_E.MP4$1859$1869","Big Brother")</f>
        <v>Big Brother</v>
      </c>
      <c r="E1914" s="3" t="s">
        <v>197</v>
      </c>
      <c r="F1914" s="3" t="s">
        <v>1117</v>
      </c>
      <c r="G1914" s="3" t="s">
        <v>3458</v>
      </c>
    </row>
    <row r="1915" spans="1:7">
      <c r="A1915" s="6">
        <v>42930</v>
      </c>
      <c r="B1915" s="3" t="s">
        <v>2053</v>
      </c>
      <c r="C1915" s="3" t="s">
        <v>14</v>
      </c>
      <c r="D1915" s="8" t="str">
        <f>HYPERLINK("http://npthd.inbcu.com/ViewContent.aspx?filename=NPMR_CBS_2017-07-14_E.MP4$1869$1899","Seal Team")</f>
        <v>Seal Team</v>
      </c>
      <c r="E1915" s="3" t="s">
        <v>38</v>
      </c>
      <c r="F1915" s="3" t="s">
        <v>3458</v>
      </c>
      <c r="G1915" s="3" t="s">
        <v>36</v>
      </c>
    </row>
    <row r="1916" spans="1:7">
      <c r="A1916" s="6">
        <v>42930</v>
      </c>
      <c r="B1916" s="3" t="s">
        <v>2053</v>
      </c>
      <c r="C1916" s="3" t="s">
        <v>18</v>
      </c>
      <c r="D1916" s="8" t="str">
        <f>HYPERLINK("http://npthd.inbcu.com/ViewContent.aspx?filename=NPMR_CBS_2017-07-14_E.MP4$1899$2286","HAWAII 5-0: ponie i ke aloha")</f>
        <v>HAWAII 5-0: ponie i ke aloha</v>
      </c>
      <c r="E1916" s="3" t="s">
        <v>688</v>
      </c>
      <c r="F1916" s="3" t="s">
        <v>36</v>
      </c>
      <c r="G1916" s="3" t="s">
        <v>3459</v>
      </c>
    </row>
    <row r="1917" spans="1:7">
      <c r="A1917" s="6">
        <v>42930</v>
      </c>
      <c r="B1917" s="3" t="s">
        <v>2053</v>
      </c>
      <c r="C1917" s="3" t="s">
        <v>21</v>
      </c>
      <c r="D1917" s="8" t="str">
        <f>HYPERLINK("http://npthd.inbcu.com/ViewContent.aspx?filename=NPMR_CBS_2017-07-14_E.MP4$2286$2452","COMMERCIAL")</f>
        <v>COMMERCIAL</v>
      </c>
      <c r="E1917" s="3" t="s">
        <v>144</v>
      </c>
      <c r="F1917" s="3" t="s">
        <v>3459</v>
      </c>
      <c r="G1917" s="3" t="s">
        <v>3460</v>
      </c>
    </row>
    <row r="1918" spans="1:7">
      <c r="A1918" s="6">
        <v>42930</v>
      </c>
      <c r="B1918" s="3" t="s">
        <v>2053</v>
      </c>
      <c r="C1918" s="3" t="s">
        <v>14</v>
      </c>
      <c r="D1918" s="8" t="str">
        <f>HYPERLINK("http://npthd.inbcu.com/ViewContent.aspx?filename=NPMR_CBS_2017-07-14_E.MP4$2452$2462","Salvation")</f>
        <v>Salvation</v>
      </c>
      <c r="E1918" s="3" t="s">
        <v>197</v>
      </c>
      <c r="F1918" s="3" t="s">
        <v>3460</v>
      </c>
      <c r="G1918" s="3" t="s">
        <v>3461</v>
      </c>
    </row>
    <row r="1919" spans="1:7">
      <c r="A1919" s="6">
        <v>42930</v>
      </c>
      <c r="B1919" s="3" t="s">
        <v>2053</v>
      </c>
      <c r="C1919" s="3" t="s">
        <v>32</v>
      </c>
      <c r="D1919" s="8" t="str">
        <f>HYPERLINK("http://npthd.inbcu.com/ViewContent.aspx?filename=NPMR_CBS_2017-07-14_E.MP4$2462$2557","LOCAL")</f>
        <v>LOCAL</v>
      </c>
      <c r="E1919" s="3" t="s">
        <v>2076</v>
      </c>
      <c r="F1919" s="3" t="s">
        <v>3461</v>
      </c>
      <c r="G1919" s="3" t="s">
        <v>3462</v>
      </c>
    </row>
    <row r="1920" spans="1:7">
      <c r="A1920" s="6">
        <v>42930</v>
      </c>
      <c r="B1920" s="3" t="s">
        <v>2053</v>
      </c>
      <c r="C1920" s="3" t="s">
        <v>18</v>
      </c>
      <c r="D1920" s="8" t="str">
        <f>HYPERLINK("http://npthd.inbcu.com/ViewContent.aspx?filename=NPMR_CBS_2017-07-14_E.MP4$2557$2823","HAWAII 5-0: ponie i ke aloha")</f>
        <v>HAWAII 5-0: ponie i ke aloha</v>
      </c>
      <c r="E1920" s="3" t="s">
        <v>3463</v>
      </c>
      <c r="F1920" s="3" t="s">
        <v>3462</v>
      </c>
      <c r="G1920" s="3" t="s">
        <v>3464</v>
      </c>
    </row>
    <row r="1921" spans="1:7">
      <c r="A1921" s="6">
        <v>42930</v>
      </c>
      <c r="B1921" s="3" t="s">
        <v>2053</v>
      </c>
      <c r="C1921" s="3" t="s">
        <v>21</v>
      </c>
      <c r="D1921" s="8" t="str">
        <f>HYPERLINK("http://npthd.inbcu.com/ViewContent.aspx?filename=NPMR_CBS_2017-07-14_E.MP4$2823$2945","COMMERCIAL")</f>
        <v>COMMERCIAL</v>
      </c>
      <c r="E1921" s="3" t="s">
        <v>252</v>
      </c>
      <c r="F1921" s="3" t="s">
        <v>3464</v>
      </c>
      <c r="G1921" s="3" t="s">
        <v>1892</v>
      </c>
    </row>
    <row r="1922" spans="1:7">
      <c r="A1922" s="6">
        <v>42930</v>
      </c>
      <c r="B1922" s="3" t="s">
        <v>2053</v>
      </c>
      <c r="C1922" s="3" t="s">
        <v>32</v>
      </c>
      <c r="D1922" s="8" t="str">
        <f>HYPERLINK("http://npthd.inbcu.com/ViewContent.aspx?filename=NPMR_CBS_2017-07-14_E.MP4$2945$3041","LOCAL")</f>
        <v>LOCAL</v>
      </c>
      <c r="E1922" s="3" t="s">
        <v>2101</v>
      </c>
      <c r="F1922" s="3" t="s">
        <v>1892</v>
      </c>
      <c r="G1922" s="3" t="s">
        <v>2404</v>
      </c>
    </row>
    <row r="1923" spans="1:7">
      <c r="A1923" s="6">
        <v>42930</v>
      </c>
      <c r="B1923" s="3" t="s">
        <v>2053</v>
      </c>
      <c r="C1923" s="3" t="s">
        <v>18</v>
      </c>
      <c r="D1923" s="8" t="str">
        <f>HYPERLINK("http://npthd.inbcu.com/ViewContent.aspx?filename=NPMR_CBS_2017-07-14_E.MP4$3041$3534","HAWAII 5-0: ponie i ke aloha")</f>
        <v>HAWAII 5-0: ponie i ke aloha</v>
      </c>
      <c r="E1923" s="3" t="s">
        <v>2751</v>
      </c>
      <c r="F1923" s="3" t="s">
        <v>2404</v>
      </c>
      <c r="G1923" s="3" t="s">
        <v>3465</v>
      </c>
    </row>
    <row r="1924" spans="1:7">
      <c r="A1924" s="6">
        <v>42930</v>
      </c>
      <c r="B1924" s="3" t="s">
        <v>2053</v>
      </c>
      <c r="C1924" s="3" t="s">
        <v>21</v>
      </c>
      <c r="D1924" s="8" t="str">
        <f>HYPERLINK("http://npthd.inbcu.com/ViewContent.aspx?filename=NPMR_CBS_2017-07-14_E.MP4$3534$3654","COMMERCIAL")</f>
        <v>COMMERCIAL</v>
      </c>
      <c r="E1924" s="3" t="s">
        <v>43</v>
      </c>
      <c r="F1924" s="3" t="s">
        <v>3465</v>
      </c>
      <c r="G1924" s="3" t="s">
        <v>1842</v>
      </c>
    </row>
    <row r="1925" spans="1:7">
      <c r="A1925" s="6">
        <v>42930</v>
      </c>
      <c r="B1925" s="3" t="s">
        <v>2053</v>
      </c>
      <c r="C1925" s="3" t="s">
        <v>14</v>
      </c>
      <c r="D1925" s="8" t="str">
        <f>HYPERLINK("http://npthd.inbcu.com/ViewContent.aspx?filename=NPMR_CBS_2017-07-14_E.MP4$3654$3666","Late Show with Stephen Colbert")</f>
        <v>Late Show with Stephen Colbert</v>
      </c>
      <c r="E1925" s="3" t="s">
        <v>2057</v>
      </c>
      <c r="F1925" s="3" t="s">
        <v>1842</v>
      </c>
      <c r="G1925" s="3" t="s">
        <v>2578</v>
      </c>
    </row>
    <row r="1926" spans="1:7">
      <c r="A1926" s="6">
        <v>42930</v>
      </c>
      <c r="B1926" s="3" t="s">
        <v>2053</v>
      </c>
      <c r="C1926" s="3" t="s">
        <v>14</v>
      </c>
      <c r="D1926" s="8" t="str">
        <f>HYPERLINK("http://npthd.inbcu.com/ViewContent.aspx?filename=NPMR_CBS_2017-07-14_E.MP4$3666$3686","Wisdom of the Crowd")</f>
        <v>Wisdom of the Crowd</v>
      </c>
      <c r="E1926" s="3" t="s">
        <v>1805</v>
      </c>
      <c r="F1926" s="3" t="s">
        <v>2578</v>
      </c>
      <c r="G1926" s="3" t="s">
        <v>1627</v>
      </c>
    </row>
    <row r="1927" spans="1:7">
      <c r="A1927" s="6">
        <v>42930</v>
      </c>
      <c r="B1927" s="3" t="s">
        <v>2053</v>
      </c>
      <c r="C1927" s="3" t="s">
        <v>14</v>
      </c>
      <c r="D1927" s="8" t="str">
        <f>HYPERLINK("http://npthd.inbcu.com/ViewContent.aspx?filename=NPMR_CBS_2017-07-14_E.MP4$3686$3707","Kevin Can Wait")</f>
        <v>Kevin Can Wait</v>
      </c>
      <c r="E1927" s="3" t="s">
        <v>2067</v>
      </c>
      <c r="F1927" s="3" t="s">
        <v>1627</v>
      </c>
      <c r="G1927" s="3" t="s">
        <v>2579</v>
      </c>
    </row>
    <row r="1928" spans="1:7">
      <c r="A1928" s="6">
        <v>42930</v>
      </c>
      <c r="B1928" s="3" t="s">
        <v>2053</v>
      </c>
      <c r="C1928" s="3" t="s">
        <v>18</v>
      </c>
      <c r="D1928" s="8" t="str">
        <f>HYPERLINK("http://npthd.inbcu.com/ViewContent.aspx?filename=NPMR_CBS_2017-07-14_E.MP4$3707$3717","HAWAII 5-0: ponie i ke aloha")</f>
        <v>HAWAII 5-0: ponie i ke aloha</v>
      </c>
      <c r="E1928" s="3" t="s">
        <v>197</v>
      </c>
      <c r="F1928" s="3" t="s">
        <v>2579</v>
      </c>
      <c r="G1928" s="3" t="s">
        <v>242</v>
      </c>
    </row>
    <row r="1929" spans="1:7">
      <c r="A1929" s="6">
        <v>42930</v>
      </c>
      <c r="B1929" s="3" t="s">
        <v>2053</v>
      </c>
      <c r="C1929" s="3" t="s">
        <v>14</v>
      </c>
      <c r="D1929" s="8" t="str">
        <f>HYPERLINK("http://npthd.inbcu.com/ViewContent.aspx?filename=NPMR_CBS_2017-07-14_E.MP4$3717$3722","Colbert / Corden")</f>
        <v>Colbert / Corden</v>
      </c>
      <c r="E1929" s="3" t="s">
        <v>54</v>
      </c>
      <c r="F1929" s="3" t="s">
        <v>242</v>
      </c>
      <c r="G1929" s="3" t="s">
        <v>243</v>
      </c>
    </row>
    <row r="1930" spans="1:7">
      <c r="A1930" s="6">
        <v>42930</v>
      </c>
      <c r="B1930" s="3" t="s">
        <v>2053</v>
      </c>
      <c r="C1930" s="3" t="s">
        <v>18</v>
      </c>
      <c r="D1930" s="8" t="str">
        <f>HYPERLINK("http://npthd.inbcu.com/ViewContent.aspx?filename=NPMR_CBS_2017-07-14_E.MP4$3722$4575","SALVATION: pilot")</f>
        <v>SALVATION: pilot</v>
      </c>
      <c r="E1930" s="3" t="s">
        <v>3466</v>
      </c>
      <c r="F1930" s="3" t="s">
        <v>243</v>
      </c>
      <c r="G1930" s="3" t="s">
        <v>3467</v>
      </c>
    </row>
    <row r="1931" spans="1:7">
      <c r="A1931" s="6">
        <v>42930</v>
      </c>
      <c r="B1931" s="3" t="s">
        <v>2053</v>
      </c>
      <c r="C1931" s="3" t="s">
        <v>21</v>
      </c>
      <c r="D1931" s="8" t="str">
        <f>HYPERLINK("http://npthd.inbcu.com/ViewContent.aspx?filename=NPMR_CBS_2017-07-14_E.MP4$4575$4761","COMMERCIAL")</f>
        <v>COMMERCIAL</v>
      </c>
      <c r="E1931" s="3" t="s">
        <v>3468</v>
      </c>
      <c r="F1931" s="3" t="s">
        <v>3467</v>
      </c>
      <c r="G1931" s="3" t="s">
        <v>3469</v>
      </c>
    </row>
    <row r="1932" spans="1:7">
      <c r="A1932" s="6">
        <v>42930</v>
      </c>
      <c r="B1932" s="3" t="s">
        <v>2053</v>
      </c>
      <c r="C1932" s="3" t="s">
        <v>18</v>
      </c>
      <c r="D1932" s="8" t="str">
        <f>HYPERLINK("http://npthd.inbcu.com/ViewContent.aspx?filename=NPMR_CBS_2017-07-14_E.MP4$4761$5218","SALVATION: pilot")</f>
        <v>SALVATION: pilot</v>
      </c>
      <c r="E1932" s="3" t="s">
        <v>3107</v>
      </c>
      <c r="F1932" s="3" t="s">
        <v>3469</v>
      </c>
      <c r="G1932" s="3" t="s">
        <v>888</v>
      </c>
    </row>
    <row r="1933" spans="1:7">
      <c r="A1933" s="6">
        <v>42930</v>
      </c>
      <c r="B1933" s="3" t="s">
        <v>2053</v>
      </c>
      <c r="C1933" s="3" t="s">
        <v>21</v>
      </c>
      <c r="D1933" s="8" t="str">
        <f>HYPERLINK("http://npthd.inbcu.com/ViewContent.aspx?filename=NPMR_CBS_2017-07-14_E.MP4$5218$5399","COMMERCIAL")</f>
        <v>COMMERCIAL</v>
      </c>
      <c r="E1933" s="3" t="s">
        <v>108</v>
      </c>
      <c r="F1933" s="3" t="s">
        <v>888</v>
      </c>
      <c r="G1933" s="3" t="s">
        <v>1966</v>
      </c>
    </row>
    <row r="1934" spans="1:7">
      <c r="A1934" s="6">
        <v>42930</v>
      </c>
      <c r="B1934" s="3" t="s">
        <v>2053</v>
      </c>
      <c r="C1934" s="3" t="s">
        <v>14</v>
      </c>
      <c r="D1934" s="8" t="str">
        <f>HYPERLINK("http://npthd.inbcu.com/ViewContent.aspx?filename=NPMR_CBS_2017-07-14_E.MP4$5399$5429","Seal Team")</f>
        <v>Seal Team</v>
      </c>
      <c r="E1934" s="3" t="s">
        <v>38</v>
      </c>
      <c r="F1934" s="3" t="s">
        <v>1966</v>
      </c>
      <c r="G1934" s="3" t="s">
        <v>3470</v>
      </c>
    </row>
    <row r="1935" spans="1:7">
      <c r="A1935" s="6">
        <v>42930</v>
      </c>
      <c r="B1935" s="3" t="s">
        <v>2053</v>
      </c>
      <c r="C1935" s="3" t="s">
        <v>18</v>
      </c>
      <c r="D1935" s="8" t="str">
        <f>HYPERLINK("http://npthd.inbcu.com/ViewContent.aspx?filename=NPMR_CBS_2017-07-14_E.MP4$5429$5886","SALVATION: pilot")</f>
        <v>SALVATION: pilot</v>
      </c>
      <c r="E1935" s="3" t="s">
        <v>3107</v>
      </c>
      <c r="F1935" s="3" t="s">
        <v>3470</v>
      </c>
      <c r="G1935" s="3" t="s">
        <v>3471</v>
      </c>
    </row>
    <row r="1936" spans="1:7">
      <c r="A1936" s="6">
        <v>42930</v>
      </c>
      <c r="B1936" s="3" t="s">
        <v>2053</v>
      </c>
      <c r="C1936" s="3" t="s">
        <v>21</v>
      </c>
      <c r="D1936" s="8" t="str">
        <f>HYPERLINK("http://npthd.inbcu.com/ViewContent.aspx?filename=NPMR_CBS_2017-07-14_E.MP4$5886$6036","COMMERCIAL")</f>
        <v>COMMERCIAL</v>
      </c>
      <c r="E1936" s="3" t="s">
        <v>28</v>
      </c>
      <c r="F1936" s="3" t="s">
        <v>3471</v>
      </c>
      <c r="G1936" s="3" t="s">
        <v>3472</v>
      </c>
    </row>
    <row r="1937" spans="1:7">
      <c r="A1937" s="6">
        <v>42930</v>
      </c>
      <c r="B1937" s="3" t="s">
        <v>2053</v>
      </c>
      <c r="C1937" s="3" t="s">
        <v>32</v>
      </c>
      <c r="D1937" s="8" t="str">
        <f>HYPERLINK("http://npthd.inbcu.com/ViewContent.aspx?filename=NPMR_CBS_2017-07-14_E.MP4$6036$6101","LOCAL")</f>
        <v>LOCAL</v>
      </c>
      <c r="E1937" s="3" t="s">
        <v>580</v>
      </c>
      <c r="F1937" s="3" t="s">
        <v>3472</v>
      </c>
      <c r="G1937" s="3" t="s">
        <v>1908</v>
      </c>
    </row>
    <row r="1938" spans="1:7">
      <c r="A1938" s="6">
        <v>42930</v>
      </c>
      <c r="B1938" s="3" t="s">
        <v>2053</v>
      </c>
      <c r="C1938" s="3" t="s">
        <v>18</v>
      </c>
      <c r="D1938" s="8" t="str">
        <f>HYPERLINK("http://npthd.inbcu.com/ViewContent.aspx?filename=NPMR_CBS_2017-07-14_E.MP4$6101$6489","SALVATION: pilot")</f>
        <v>SALVATION: pilot</v>
      </c>
      <c r="E1938" s="3" t="s">
        <v>1135</v>
      </c>
      <c r="F1938" s="3" t="s">
        <v>1908</v>
      </c>
      <c r="G1938" s="3" t="s">
        <v>3473</v>
      </c>
    </row>
    <row r="1939" spans="1:7">
      <c r="A1939" s="6">
        <v>42930</v>
      </c>
      <c r="B1939" s="3" t="s">
        <v>2053</v>
      </c>
      <c r="C1939" s="3" t="s">
        <v>21</v>
      </c>
      <c r="D1939" s="8" t="str">
        <f>HYPERLINK("http://npthd.inbcu.com/ViewContent.aspx?filename=NPMR_CBS_2017-07-14_E.MP4$6489$6612","COMMERCIAL")</f>
        <v>COMMERCIAL</v>
      </c>
      <c r="E1939" s="3" t="s">
        <v>2722</v>
      </c>
      <c r="F1939" s="3" t="s">
        <v>3473</v>
      </c>
      <c r="G1939" s="3" t="s">
        <v>3474</v>
      </c>
    </row>
    <row r="1940" spans="1:7">
      <c r="A1940" s="6">
        <v>42930</v>
      </c>
      <c r="B1940" s="3" t="s">
        <v>2053</v>
      </c>
      <c r="C1940" s="3" t="s">
        <v>14</v>
      </c>
      <c r="D1940" s="8" t="str">
        <f>HYPERLINK("http://npthd.inbcu.com/ViewContent.aspx?filename=NPMR_CBS_2017-07-14_E.MP4$6612$6622","Big Brother")</f>
        <v>Big Brother</v>
      </c>
      <c r="E1940" s="3" t="s">
        <v>197</v>
      </c>
      <c r="F1940" s="3" t="s">
        <v>3474</v>
      </c>
      <c r="G1940" s="3" t="s">
        <v>3145</v>
      </c>
    </row>
    <row r="1941" spans="1:7">
      <c r="A1941" s="6">
        <v>42930</v>
      </c>
      <c r="B1941" s="3" t="s">
        <v>2053</v>
      </c>
      <c r="C1941" s="3" t="s">
        <v>14</v>
      </c>
      <c r="D1941" s="8" t="str">
        <f>HYPERLINK("http://npthd.inbcu.com/ViewContent.aspx?filename=NPMR_CBS_2017-07-14_E.MP4$6622$6633","Young Sheldon")</f>
        <v>Young Sheldon</v>
      </c>
      <c r="E1941" s="3" t="s">
        <v>1940</v>
      </c>
      <c r="F1941" s="3" t="s">
        <v>3145</v>
      </c>
      <c r="G1941" s="3" t="s">
        <v>3475</v>
      </c>
    </row>
    <row r="1942" spans="1:7">
      <c r="A1942" s="6">
        <v>42930</v>
      </c>
      <c r="B1942" s="3" t="s">
        <v>2053</v>
      </c>
      <c r="C1942" s="3" t="s">
        <v>14</v>
      </c>
      <c r="D1942" s="8" t="str">
        <f>HYPERLINK("http://npthd.inbcu.com/ViewContent.aspx?filename=NPMR_CBS_2017-07-14_E.MP4$6633$6642","Wisdom of the Crowd")</f>
        <v>Wisdom of the Crowd</v>
      </c>
      <c r="E1942" s="3" t="s">
        <v>2074</v>
      </c>
      <c r="F1942" s="3" t="s">
        <v>3475</v>
      </c>
      <c r="G1942" s="3" t="s">
        <v>3476</v>
      </c>
    </row>
    <row r="1943" spans="1:7">
      <c r="A1943" s="6">
        <v>42930</v>
      </c>
      <c r="B1943" s="3" t="s">
        <v>2053</v>
      </c>
      <c r="C1943" s="3" t="s">
        <v>32</v>
      </c>
      <c r="D1943" s="8" t="str">
        <f>HYPERLINK("http://npthd.inbcu.com/ViewContent.aspx?filename=NPMR_CBS_2017-07-14_E.MP4$6642$6707","LOCAL")</f>
        <v>LOCAL</v>
      </c>
      <c r="E1943" s="3" t="s">
        <v>580</v>
      </c>
      <c r="F1943" s="3" t="s">
        <v>3476</v>
      </c>
      <c r="G1943" s="3" t="s">
        <v>901</v>
      </c>
    </row>
    <row r="1944" spans="1:7">
      <c r="A1944" s="6">
        <v>42930</v>
      </c>
      <c r="B1944" s="3" t="s">
        <v>2053</v>
      </c>
      <c r="C1944" s="3" t="s">
        <v>18</v>
      </c>
      <c r="D1944" s="8" t="str">
        <f>HYPERLINK("http://npthd.inbcu.com/ViewContent.aspx?filename=NPMR_CBS_2017-07-14_E.MP4$6707$7125","SALVATION: pilot")</f>
        <v>SALVATION: pilot</v>
      </c>
      <c r="E1944" s="3" t="s">
        <v>1743</v>
      </c>
      <c r="F1944" s="3" t="s">
        <v>901</v>
      </c>
      <c r="G1944" s="3" t="s">
        <v>3477</v>
      </c>
    </row>
    <row r="1945" spans="1:7">
      <c r="A1945" s="6">
        <v>42930</v>
      </c>
      <c r="B1945" s="3" t="s">
        <v>2053</v>
      </c>
      <c r="C1945" s="3" t="s">
        <v>21</v>
      </c>
      <c r="D1945" s="8" t="str">
        <f>HYPERLINK("http://npthd.inbcu.com/ViewContent.aspx?filename=NPMR_CBS_2017-07-14_E.MP4$7125$7276","COMMERCIAL")</f>
        <v>COMMERCIAL</v>
      </c>
      <c r="E1945" s="3" t="s">
        <v>91</v>
      </c>
      <c r="F1945" s="3" t="s">
        <v>3477</v>
      </c>
      <c r="G1945" s="3" t="s">
        <v>568</v>
      </c>
    </row>
    <row r="1946" spans="1:7">
      <c r="A1946" s="6">
        <v>42930</v>
      </c>
      <c r="B1946" s="3" t="s">
        <v>2053</v>
      </c>
      <c r="C1946" s="3" t="s">
        <v>14</v>
      </c>
      <c r="D1946" s="8" t="str">
        <f>HYPERLINK("http://npthd.inbcu.com/ViewContent.aspx?filename=NPMR_CBS_2017-07-14_E.MP4$7276$7286","PGA on CBS")</f>
        <v>PGA on CBS</v>
      </c>
      <c r="E1946" s="3" t="s">
        <v>197</v>
      </c>
      <c r="F1946" s="3" t="s">
        <v>568</v>
      </c>
      <c r="G1946" s="3" t="s">
        <v>1449</v>
      </c>
    </row>
    <row r="1947" spans="1:7">
      <c r="A1947" s="6">
        <v>42930</v>
      </c>
      <c r="B1947" s="3" t="s">
        <v>2053</v>
      </c>
      <c r="C1947" s="3" t="s">
        <v>14</v>
      </c>
      <c r="D1947" s="8" t="str">
        <f>HYPERLINK("http://npthd.inbcu.com/ViewContent.aspx?filename=NPMR_CBS_2017-07-14_E.MP4$7286$7307","Salvation")</f>
        <v>Salvation</v>
      </c>
      <c r="E1947" s="3" t="s">
        <v>2067</v>
      </c>
      <c r="F1947" s="3" t="s">
        <v>1449</v>
      </c>
      <c r="G1947" s="3" t="s">
        <v>3097</v>
      </c>
    </row>
    <row r="1948" spans="1:7">
      <c r="A1948" s="6">
        <v>42930</v>
      </c>
      <c r="B1948" s="3" t="s">
        <v>2053</v>
      </c>
      <c r="C1948" s="3" t="s">
        <v>14</v>
      </c>
      <c r="D1948" s="8" t="str">
        <f>HYPERLINK("http://npthd.inbcu.com/ViewContent.aspx?filename=NPMR_CBS_2017-07-14_E.MP4$7307$7312","Candy Crush")</f>
        <v>Candy Crush</v>
      </c>
      <c r="E1948" s="3" t="s">
        <v>54</v>
      </c>
      <c r="F1948" s="3" t="s">
        <v>3097</v>
      </c>
      <c r="G1948" s="3" t="s">
        <v>750</v>
      </c>
    </row>
    <row r="1949" spans="1:7">
      <c r="A1949" s="6">
        <v>42930</v>
      </c>
      <c r="B1949" s="3" t="s">
        <v>2053</v>
      </c>
      <c r="C1949" s="3" t="s">
        <v>18</v>
      </c>
      <c r="D1949" s="8" t="str">
        <f>HYPERLINK("http://npthd.inbcu.com/ViewContent.aspx?filename=NPMR_CBS_2017-07-14_E.MP4$7312$7317","SALVATION: pilot")</f>
        <v>SALVATION: pilot</v>
      </c>
      <c r="E1949" s="3" t="s">
        <v>54</v>
      </c>
      <c r="F1949" s="3" t="s">
        <v>750</v>
      </c>
      <c r="G1949" s="3" t="s">
        <v>394</v>
      </c>
    </row>
    <row r="1950" spans="1:7">
      <c r="A1950" s="6">
        <v>42930</v>
      </c>
      <c r="B1950" s="3" t="s">
        <v>2053</v>
      </c>
      <c r="C1950" s="3" t="s">
        <v>14</v>
      </c>
      <c r="D1950" s="8" t="str">
        <f>HYPERLINK("http://npthd.inbcu.com/ViewContent.aspx?filename=NPMR_CBS_2017-07-14_E.MP4$7317$7322","Late Show with Stephen Colbert")</f>
        <v>Late Show with Stephen Colbert</v>
      </c>
      <c r="E1950" s="3" t="s">
        <v>54</v>
      </c>
      <c r="F1950" s="3" t="s">
        <v>394</v>
      </c>
      <c r="G1950" s="3" t="s">
        <v>395</v>
      </c>
    </row>
    <row r="1951" spans="1:7">
      <c r="A1951" s="6">
        <v>42930</v>
      </c>
      <c r="B1951" s="3" t="s">
        <v>2053</v>
      </c>
      <c r="C1951" s="3" t="s">
        <v>18</v>
      </c>
      <c r="D1951" s="8" t="str">
        <f>HYPERLINK("http://npthd.inbcu.com/ViewContent.aspx?filename=NPMR_CBS_2017-07-14_E.MP4$7322$7603","BLUE BLOODS: lost souls")</f>
        <v>BLUE BLOODS: lost souls</v>
      </c>
      <c r="E1951" s="3" t="s">
        <v>3478</v>
      </c>
      <c r="F1951" s="3" t="s">
        <v>395</v>
      </c>
      <c r="G1951" s="3" t="s">
        <v>3479</v>
      </c>
    </row>
    <row r="1952" spans="1:7">
      <c r="A1952" s="6">
        <v>42930</v>
      </c>
      <c r="B1952" s="3" t="s">
        <v>2053</v>
      </c>
      <c r="C1952" s="3" t="s">
        <v>21</v>
      </c>
      <c r="D1952" s="8" t="str">
        <f>HYPERLINK("http://npthd.inbcu.com/ViewContent.aspx?filename=NPMR_CBS_2017-07-14_E.MP4$7603$7817","COMMERCIAL")</f>
        <v>COMMERCIAL</v>
      </c>
      <c r="E1952" s="3" t="s">
        <v>3480</v>
      </c>
      <c r="F1952" s="3" t="s">
        <v>3479</v>
      </c>
      <c r="G1952" s="3" t="s">
        <v>3481</v>
      </c>
    </row>
    <row r="1953" spans="1:7">
      <c r="A1953" s="6">
        <v>42930</v>
      </c>
      <c r="B1953" s="3" t="s">
        <v>2053</v>
      </c>
      <c r="C1953" s="3" t="s">
        <v>14</v>
      </c>
      <c r="D1953" s="8" t="str">
        <f>HYPERLINK("http://npthd.inbcu.com/ViewContent.aspx?filename=NPMR_CBS_2017-07-14_E.MP4$7817$7827","60 Minutes")</f>
        <v>60 Minutes</v>
      </c>
      <c r="E1953" s="3" t="s">
        <v>197</v>
      </c>
      <c r="F1953" s="3" t="s">
        <v>3481</v>
      </c>
      <c r="G1953" s="3" t="s">
        <v>1237</v>
      </c>
    </row>
    <row r="1954" spans="1:7">
      <c r="A1954" s="6">
        <v>42930</v>
      </c>
      <c r="B1954" s="3" t="s">
        <v>2053</v>
      </c>
      <c r="C1954" s="3" t="s">
        <v>14</v>
      </c>
      <c r="D1954" s="8" t="str">
        <f>HYPERLINK("http://npthd.inbcu.com/ViewContent.aspx?filename=NPMR_CBS_2017-07-14_E.MP4$7827$7832","Seal Team")</f>
        <v>Seal Team</v>
      </c>
      <c r="E1954" s="3" t="s">
        <v>54</v>
      </c>
      <c r="F1954" s="3" t="s">
        <v>1237</v>
      </c>
      <c r="G1954" s="3" t="s">
        <v>3274</v>
      </c>
    </row>
    <row r="1955" spans="1:7">
      <c r="A1955" s="6">
        <v>42930</v>
      </c>
      <c r="B1955" s="3" t="s">
        <v>2053</v>
      </c>
      <c r="C1955" s="3" t="s">
        <v>18</v>
      </c>
      <c r="D1955" s="8" t="str">
        <f>HYPERLINK("http://npthd.inbcu.com/ViewContent.aspx?filename=NPMR_CBS_2017-07-14_E.MP4$7832$8324","BLUE BLOODS: lost souls")</f>
        <v>BLUE BLOODS: lost souls</v>
      </c>
      <c r="E1955" s="3" t="s">
        <v>1833</v>
      </c>
      <c r="F1955" s="3" t="s">
        <v>3274</v>
      </c>
      <c r="G1955" s="3" t="s">
        <v>1019</v>
      </c>
    </row>
    <row r="1956" spans="1:7">
      <c r="A1956" s="6">
        <v>42930</v>
      </c>
      <c r="B1956" s="3" t="s">
        <v>2053</v>
      </c>
      <c r="C1956" s="3" t="s">
        <v>21</v>
      </c>
      <c r="D1956" s="8" t="str">
        <f>HYPERLINK("http://npthd.inbcu.com/ViewContent.aspx?filename=NPMR_CBS_2017-07-14_E.MP4$8324$8537","COMMERCIAL")</f>
        <v>COMMERCIAL</v>
      </c>
      <c r="E1956" s="3" t="s">
        <v>261</v>
      </c>
      <c r="F1956" s="3" t="s">
        <v>1019</v>
      </c>
      <c r="G1956" s="3" t="s">
        <v>3482</v>
      </c>
    </row>
    <row r="1957" spans="1:7">
      <c r="A1957" s="6">
        <v>42930</v>
      </c>
      <c r="B1957" s="3" t="s">
        <v>2053</v>
      </c>
      <c r="C1957" s="3" t="s">
        <v>14</v>
      </c>
      <c r="D1957" s="8" t="str">
        <f>HYPERLINK("http://npthd.inbcu.com/ViewContent.aspx?filename=NPMR_CBS_2017-07-14_E.MP4$8537$8543","Big Brother")</f>
        <v>Big Brother</v>
      </c>
      <c r="E1957" s="3" t="s">
        <v>15</v>
      </c>
      <c r="F1957" s="3" t="s">
        <v>3482</v>
      </c>
      <c r="G1957" s="3" t="s">
        <v>3483</v>
      </c>
    </row>
    <row r="1958" spans="1:7">
      <c r="A1958" s="6">
        <v>42930</v>
      </c>
      <c r="B1958" s="3" t="s">
        <v>2053</v>
      </c>
      <c r="C1958" s="3" t="s">
        <v>14</v>
      </c>
      <c r="D1958" s="8" t="str">
        <f>HYPERLINK("http://npthd.inbcu.com/ViewContent.aspx?filename=NPMR_CBS_2017-07-14_E.MP4$8543$8563","Salvation")</f>
        <v>Salvation</v>
      </c>
      <c r="E1958" s="3" t="s">
        <v>1805</v>
      </c>
      <c r="F1958" s="3" t="s">
        <v>3483</v>
      </c>
      <c r="G1958" s="3" t="s">
        <v>3484</v>
      </c>
    </row>
    <row r="1959" spans="1:7">
      <c r="A1959" s="6">
        <v>42930</v>
      </c>
      <c r="B1959" s="3" t="s">
        <v>2053</v>
      </c>
      <c r="C1959" s="3" t="s">
        <v>14</v>
      </c>
      <c r="D1959" s="8" t="str">
        <f>HYPERLINK("http://npthd.inbcu.com/ViewContent.aspx?filename=NPMR_CBS_2017-07-14_E.MP4$8563$8573","Wisdom of the Crowd")</f>
        <v>Wisdom of the Crowd</v>
      </c>
      <c r="E1959" s="3" t="s">
        <v>197</v>
      </c>
      <c r="F1959" s="3" t="s">
        <v>3484</v>
      </c>
      <c r="G1959" s="3" t="s">
        <v>3153</v>
      </c>
    </row>
    <row r="1960" spans="1:7">
      <c r="A1960" s="6">
        <v>42930</v>
      </c>
      <c r="B1960" s="3" t="s">
        <v>2053</v>
      </c>
      <c r="C1960" s="3" t="s">
        <v>18</v>
      </c>
      <c r="D1960" s="8" t="str">
        <f>HYPERLINK("http://npthd.inbcu.com/ViewContent.aspx?filename=NPMR_CBS_2017-07-14_E.MP4$8573$9241","BLUE BLOODS: lost souls")</f>
        <v>BLUE BLOODS: lost souls</v>
      </c>
      <c r="E1960" s="3" t="s">
        <v>3485</v>
      </c>
      <c r="F1960" s="3" t="s">
        <v>3153</v>
      </c>
      <c r="G1960" s="3" t="s">
        <v>1667</v>
      </c>
    </row>
    <row r="1961" spans="1:7">
      <c r="A1961" s="6">
        <v>42930</v>
      </c>
      <c r="B1961" s="3" t="s">
        <v>2053</v>
      </c>
      <c r="C1961" s="3" t="s">
        <v>21</v>
      </c>
      <c r="D1961" s="8" t="str">
        <f>HYPERLINK("http://npthd.inbcu.com/ViewContent.aspx?filename=NPMR_CBS_2017-07-14_E.MP4$9241$9362","COMMERCIAL")</f>
        <v>COMMERCIAL</v>
      </c>
      <c r="E1961" s="3" t="s">
        <v>175</v>
      </c>
      <c r="F1961" s="3" t="s">
        <v>1667</v>
      </c>
      <c r="G1961" s="3" t="s">
        <v>3486</v>
      </c>
    </row>
    <row r="1962" spans="1:7">
      <c r="A1962" s="6">
        <v>42930</v>
      </c>
      <c r="B1962" s="3" t="s">
        <v>2053</v>
      </c>
      <c r="C1962" s="3" t="s">
        <v>32</v>
      </c>
      <c r="D1962" s="8" t="str">
        <f>HYPERLINK("http://npthd.inbcu.com/ViewContent.aspx?filename=NPMR_CBS_2017-07-14_E.MP4$9362$9503","LOCAL")</f>
        <v>LOCAL</v>
      </c>
      <c r="E1962" s="3" t="s">
        <v>1753</v>
      </c>
      <c r="F1962" s="3" t="s">
        <v>3486</v>
      </c>
      <c r="G1962" s="3" t="s">
        <v>3487</v>
      </c>
    </row>
    <row r="1963" spans="1:7">
      <c r="A1963" s="6">
        <v>42930</v>
      </c>
      <c r="B1963" s="3" t="s">
        <v>2053</v>
      </c>
      <c r="C1963" s="3" t="s">
        <v>18</v>
      </c>
      <c r="D1963" s="8" t="str">
        <f>HYPERLINK("http://npthd.inbcu.com/ViewContent.aspx?filename=NPMR_CBS_2017-07-14_E.MP4$9503$10002","BLUE BLOODS: lost souls")</f>
        <v>BLUE BLOODS: lost souls</v>
      </c>
      <c r="E1963" s="3" t="s">
        <v>723</v>
      </c>
      <c r="F1963" s="3" t="s">
        <v>3487</v>
      </c>
      <c r="G1963" s="3" t="s">
        <v>3488</v>
      </c>
    </row>
    <row r="1964" spans="1:7">
      <c r="A1964" s="6">
        <v>42930</v>
      </c>
      <c r="B1964" s="3" t="s">
        <v>2053</v>
      </c>
      <c r="C1964" s="3" t="s">
        <v>21</v>
      </c>
      <c r="D1964" s="8" t="str">
        <f>HYPERLINK("http://npthd.inbcu.com/ViewContent.aspx?filename=NPMR_CBS_2017-07-14_E.MP4$10002$10214","COMMERCIAL")</f>
        <v>COMMERCIAL</v>
      </c>
      <c r="E1964" s="3" t="s">
        <v>891</v>
      </c>
      <c r="F1964" s="3" t="s">
        <v>3488</v>
      </c>
      <c r="G1964" s="3" t="s">
        <v>3489</v>
      </c>
    </row>
    <row r="1965" spans="1:7">
      <c r="A1965" s="6">
        <v>42930</v>
      </c>
      <c r="B1965" s="3" t="s">
        <v>2053</v>
      </c>
      <c r="C1965" s="3" t="s">
        <v>14</v>
      </c>
      <c r="D1965" s="8" t="str">
        <f>HYPERLINK("http://npthd.inbcu.com/ViewContent.aspx?filename=NPMR_CBS_2017-07-14_E.MP4$10214$10225","Late Show with Stephen Colbert")</f>
        <v>Late Show with Stephen Colbert</v>
      </c>
      <c r="E1965" s="3" t="s">
        <v>1940</v>
      </c>
      <c r="F1965" s="3" t="s">
        <v>3489</v>
      </c>
      <c r="G1965" s="3" t="s">
        <v>3490</v>
      </c>
    </row>
    <row r="1966" spans="1:7">
      <c r="A1966" s="6">
        <v>42930</v>
      </c>
      <c r="B1966" s="3" t="s">
        <v>2053</v>
      </c>
      <c r="C1966" s="3" t="s">
        <v>14</v>
      </c>
      <c r="D1966" s="8" t="str">
        <f>HYPERLINK("http://npthd.inbcu.com/ViewContent.aspx?filename=NPMR_CBS_2017-07-14_E.MP4$10225$10236","PGA on CBS")</f>
        <v>PGA on CBS</v>
      </c>
      <c r="E1966" s="3" t="s">
        <v>1940</v>
      </c>
      <c r="F1966" s="3" t="s">
        <v>3490</v>
      </c>
      <c r="G1966" s="3" t="s">
        <v>3491</v>
      </c>
    </row>
    <row r="1967" spans="1:7">
      <c r="A1967" s="6">
        <v>42930</v>
      </c>
      <c r="B1967" s="3" t="s">
        <v>2053</v>
      </c>
      <c r="C1967" s="3" t="s">
        <v>14</v>
      </c>
      <c r="D1967" s="8" t="str">
        <f>HYPERLINK("http://npthd.inbcu.com/ViewContent.aspx?filename=NPMR_CBS_2017-07-14_E.MP4$10236$10245","Salvation")</f>
        <v>Salvation</v>
      </c>
      <c r="E1967" s="3" t="s">
        <v>2074</v>
      </c>
      <c r="F1967" s="3" t="s">
        <v>3491</v>
      </c>
      <c r="G1967" s="3" t="s">
        <v>3492</v>
      </c>
    </row>
    <row r="1968" spans="1:7">
      <c r="A1968" s="6">
        <v>42930</v>
      </c>
      <c r="B1968" s="3" t="s">
        <v>2053</v>
      </c>
      <c r="C1968" s="3" t="s">
        <v>14</v>
      </c>
      <c r="D1968" s="8" t="str">
        <f>HYPERLINK("http://npthd.inbcu.com/ViewContent.aspx?filename=NPMR_CBS_2017-07-14_E.MP4$10245$10260","Seal Team")</f>
        <v>Seal Team</v>
      </c>
      <c r="E1968" s="3" t="s">
        <v>30</v>
      </c>
      <c r="F1968" s="3" t="s">
        <v>3492</v>
      </c>
      <c r="G1968" s="3" t="s">
        <v>3493</v>
      </c>
    </row>
    <row r="1969" spans="1:7">
      <c r="A1969" s="6">
        <v>42930</v>
      </c>
      <c r="B1969" s="3" t="s">
        <v>2053</v>
      </c>
      <c r="C1969" s="3" t="s">
        <v>32</v>
      </c>
      <c r="D1969" s="8" t="str">
        <f>HYPERLINK("http://npthd.inbcu.com/ViewContent.aspx?filename=NPMR_CBS_2017-07-14_E.MP4$10260$10325","LOCAL")</f>
        <v>LOCAL</v>
      </c>
      <c r="E1969" s="3" t="s">
        <v>580</v>
      </c>
      <c r="F1969" s="3" t="s">
        <v>3493</v>
      </c>
      <c r="G1969" s="3" t="s">
        <v>3451</v>
      </c>
    </row>
    <row r="1970" spans="1:7">
      <c r="A1970" s="6">
        <v>42930</v>
      </c>
      <c r="B1970" s="3" t="s">
        <v>2053</v>
      </c>
      <c r="C1970" s="3" t="s">
        <v>18</v>
      </c>
      <c r="D1970" s="8" t="str">
        <f>HYPERLINK("http://npthd.inbcu.com/ViewContent.aspx?filename=NPMR_CBS_2017-07-14_E.MP4$10325$10801","BLUE BLOODS: lost souls")</f>
        <v>BLUE BLOODS: lost souls</v>
      </c>
      <c r="E1970" s="3" t="s">
        <v>2308</v>
      </c>
      <c r="F1970" s="3" t="s">
        <v>3451</v>
      </c>
      <c r="G1970" s="3" t="s">
        <v>2122</v>
      </c>
    </row>
    <row r="1971" spans="1:7">
      <c r="A1971" s="6">
        <v>42930</v>
      </c>
      <c r="B1971" s="3" t="s">
        <v>2053</v>
      </c>
      <c r="C1971" s="3" t="s">
        <v>32</v>
      </c>
      <c r="D1971" s="8" t="str">
        <f>HYPERLINK("http://npthd.inbcu.com/ViewContent.aspx?filename=NPMR_CBS_2017-07-14_E.MP4$10801$10814","LOCAL")</f>
        <v>LOCAL</v>
      </c>
      <c r="E1971" s="3" t="s">
        <v>851</v>
      </c>
      <c r="F1971" s="3" t="s">
        <v>2122</v>
      </c>
      <c r="G1971" s="3" t="s">
        <v>2607</v>
      </c>
    </row>
    <row r="1972" spans="1:7">
      <c r="A1972" s="6">
        <v>42930</v>
      </c>
      <c r="B1972" s="3" t="s">
        <v>2053</v>
      </c>
      <c r="C1972" s="3" t="s">
        <v>21</v>
      </c>
      <c r="D1972" s="8" t="str">
        <f>HYPERLINK("http://npthd.inbcu.com/ViewContent.aspx?filename=NPMR_CBS_2017-07-14_E.MP4$10814$10874","COMMERCIAL")</f>
        <v>COMMERCIAL</v>
      </c>
      <c r="E1972" s="3" t="s">
        <v>66</v>
      </c>
      <c r="F1972" s="3" t="s">
        <v>2607</v>
      </c>
      <c r="G1972" s="3" t="s">
        <v>2175</v>
      </c>
    </row>
    <row r="1973" spans="1:7">
      <c r="A1973" s="6">
        <v>42930</v>
      </c>
      <c r="B1973" s="3" t="s">
        <v>2053</v>
      </c>
      <c r="C1973" s="3" t="s">
        <v>14</v>
      </c>
      <c r="D1973" s="8" t="str">
        <f>HYPERLINK("http://npthd.inbcu.com/ViewContent.aspx?filename=NPMR_CBS_2017-07-14_E.MP4$10874$10879","Late Show with Stephen Colbert")</f>
        <v>Late Show with Stephen Colbert</v>
      </c>
      <c r="E1973" s="3" t="s">
        <v>54</v>
      </c>
      <c r="F1973" s="3" t="s">
        <v>2175</v>
      </c>
      <c r="G1973" s="3" t="s">
        <v>773</v>
      </c>
    </row>
    <row r="1974" spans="1:7">
      <c r="A1974" s="6">
        <v>42930</v>
      </c>
      <c r="B1974" s="3" t="s">
        <v>2053</v>
      </c>
      <c r="C1974" s="3" t="s">
        <v>14</v>
      </c>
      <c r="D1974" s="8" t="str">
        <f>HYPERLINK("http://npthd.inbcu.com/ViewContent.aspx?filename=NPMR_CBS_2017-07-14_E.MP4$10879$10900","Kevin Can Wait")</f>
        <v>Kevin Can Wait</v>
      </c>
      <c r="E1974" s="3" t="s">
        <v>2067</v>
      </c>
      <c r="F1974" s="3" t="s">
        <v>773</v>
      </c>
      <c r="G1974" s="3" t="s">
        <v>2316</v>
      </c>
    </row>
    <row r="1975" spans="1:7">
      <c r="A1975" s="6">
        <v>42930</v>
      </c>
      <c r="B1975" s="3" t="s">
        <v>2053</v>
      </c>
      <c r="C1975" s="3" t="s">
        <v>18</v>
      </c>
      <c r="D1975" s="8" t="str">
        <f>HYPERLINK("http://npthd.inbcu.com/ViewContent.aspx?filename=NPMR_CBS_2017-07-14_E.MP4$10900$10905","BLUE BLOODS: lost souls")</f>
        <v>BLUE BLOODS: lost souls</v>
      </c>
      <c r="E1975" s="3" t="s">
        <v>54</v>
      </c>
      <c r="F1975" s="3" t="s">
        <v>2316</v>
      </c>
      <c r="G1975" s="3" t="s">
        <v>2317</v>
      </c>
    </row>
    <row r="1976" spans="1:7">
      <c r="A1976" s="6">
        <v>42930</v>
      </c>
      <c r="B1976" s="3" t="s">
        <v>2053</v>
      </c>
      <c r="C1976" s="3" t="s">
        <v>32</v>
      </c>
      <c r="D1976" s="8" t="str">
        <f>HYPERLINK("http://npthd.inbcu.com/ViewContent.aspx?filename=NPMR_CBS_2017-07-14_E.MP4$10905$10917","LOCAL")</f>
        <v>LOCAL</v>
      </c>
      <c r="E1976" s="3" t="s">
        <v>2057</v>
      </c>
      <c r="F1976" s="3" t="s">
        <v>2317</v>
      </c>
      <c r="G1976" s="3" t="s">
        <v>124</v>
      </c>
    </row>
    <row r="1977" spans="1:7">
      <c r="A1977" s="6">
        <v>42931</v>
      </c>
      <c r="B1977" s="3" t="s">
        <v>2053</v>
      </c>
      <c r="C1977" s="3" t="s">
        <v>18</v>
      </c>
      <c r="D1977" s="8" t="str">
        <f>HYPERLINK("http://npthd.inbcu.com/ViewContent.aspx?filename=NPMR_CBS_2017-07-15_E.MP4$87$631","DOUBT: faith")</f>
        <v>DOUBT: faith</v>
      </c>
      <c r="E1977" s="3" t="s">
        <v>295</v>
      </c>
      <c r="F1977" s="3" t="s">
        <v>16</v>
      </c>
      <c r="G1977" s="3" t="s">
        <v>5334</v>
      </c>
    </row>
    <row r="1978" spans="1:7">
      <c r="A1978" s="6">
        <v>42931</v>
      </c>
      <c r="B1978" s="3" t="s">
        <v>2053</v>
      </c>
      <c r="C1978" s="3" t="s">
        <v>21</v>
      </c>
      <c r="D1978" s="8" t="str">
        <f>HYPERLINK("http://npthd.inbcu.com/ViewContent.aspx?filename=NPMR_CBS_2017-07-15_E.MP4$631$783","COMMERCIAL")</f>
        <v>COMMERCIAL</v>
      </c>
      <c r="E1978" s="3" t="s">
        <v>128</v>
      </c>
      <c r="F1978" s="3" t="s">
        <v>5334</v>
      </c>
      <c r="G1978" s="3" t="s">
        <v>5335</v>
      </c>
    </row>
    <row r="1979" spans="1:7">
      <c r="A1979" s="6">
        <v>42931</v>
      </c>
      <c r="B1979" s="3" t="s">
        <v>2053</v>
      </c>
      <c r="C1979" s="3" t="s">
        <v>14</v>
      </c>
      <c r="D1979" s="8" t="str">
        <f>HYPERLINK("http://npthd.inbcu.com/ViewContent.aspx?filename=NPMR_CBS_2017-07-15_E.MP4$783$793","Kevin Can Wait")</f>
        <v>Kevin Can Wait</v>
      </c>
      <c r="E1979" s="3" t="s">
        <v>197</v>
      </c>
      <c r="F1979" s="3" t="s">
        <v>5335</v>
      </c>
      <c r="G1979" s="3" t="s">
        <v>2561</v>
      </c>
    </row>
    <row r="1980" spans="1:7">
      <c r="A1980" s="6">
        <v>42931</v>
      </c>
      <c r="B1980" s="3" t="s">
        <v>2053</v>
      </c>
      <c r="C1980" s="3" t="s">
        <v>14</v>
      </c>
      <c r="D1980" s="8" t="str">
        <f>HYPERLINK("http://npthd.inbcu.com/ViewContent.aspx?filename=NPMR_CBS_2017-07-15_E.MP4$793$803","Young Sheldon")</f>
        <v>Young Sheldon</v>
      </c>
      <c r="E1980" s="3" t="s">
        <v>197</v>
      </c>
      <c r="F1980" s="3" t="s">
        <v>2561</v>
      </c>
      <c r="G1980" s="3" t="s">
        <v>5336</v>
      </c>
    </row>
    <row r="1981" spans="1:7">
      <c r="A1981" s="6">
        <v>42931</v>
      </c>
      <c r="B1981" s="3" t="s">
        <v>2053</v>
      </c>
      <c r="C1981" s="3" t="s">
        <v>18</v>
      </c>
      <c r="D1981" s="8" t="str">
        <f>HYPERLINK("http://npthd.inbcu.com/ViewContent.aspx?filename=NPMR_CBS_2017-07-15_E.MP4$803$1271","DOUBT: faith")</f>
        <v>DOUBT: faith</v>
      </c>
      <c r="E1981" s="3" t="s">
        <v>678</v>
      </c>
      <c r="F1981" s="3" t="s">
        <v>5336</v>
      </c>
      <c r="G1981" s="3" t="s">
        <v>5337</v>
      </c>
    </row>
    <row r="1982" spans="1:7">
      <c r="A1982" s="6">
        <v>42931</v>
      </c>
      <c r="B1982" s="3" t="s">
        <v>2053</v>
      </c>
      <c r="C1982" s="3" t="s">
        <v>21</v>
      </c>
      <c r="D1982" s="8" t="str">
        <f>HYPERLINK("http://npthd.inbcu.com/ViewContent.aspx?filename=NPMR_CBS_2017-07-15_E.MP4$1271$1452","COMMERCIAL")</f>
        <v>COMMERCIAL</v>
      </c>
      <c r="E1982" s="3" t="s">
        <v>108</v>
      </c>
      <c r="F1982" s="3" t="s">
        <v>5337</v>
      </c>
      <c r="G1982" s="3" t="s">
        <v>4786</v>
      </c>
    </row>
    <row r="1983" spans="1:7">
      <c r="A1983" s="6">
        <v>42931</v>
      </c>
      <c r="B1983" s="3" t="s">
        <v>2053</v>
      </c>
      <c r="C1983" s="3" t="s">
        <v>1618</v>
      </c>
      <c r="D1983" s="8" t="str">
        <f>HYPERLINK("http://npthd.inbcu.com/ViewContent.aspx?filename=NPMR_CBS_2017-07-15_E.MP4$1452$1462","PSA")</f>
        <v>PSA</v>
      </c>
      <c r="E1983" s="3" t="s">
        <v>197</v>
      </c>
      <c r="F1983" s="3" t="s">
        <v>4786</v>
      </c>
      <c r="G1983" s="3" t="s">
        <v>5235</v>
      </c>
    </row>
    <row r="1984" spans="1:7">
      <c r="A1984" s="6">
        <v>42931</v>
      </c>
      <c r="B1984" s="3" t="s">
        <v>2053</v>
      </c>
      <c r="C1984" s="3" t="s">
        <v>14</v>
      </c>
      <c r="D1984" s="8" t="str">
        <f>HYPERLINK("http://npthd.inbcu.com/ViewContent.aspx?filename=NPMR_CBS_2017-07-15_E.MP4$1462$1472","Big Brother")</f>
        <v>Big Brother</v>
      </c>
      <c r="E1984" s="3" t="s">
        <v>197</v>
      </c>
      <c r="F1984" s="3" t="s">
        <v>5235</v>
      </c>
      <c r="G1984" s="3" t="s">
        <v>5338</v>
      </c>
    </row>
    <row r="1985" spans="1:7">
      <c r="A1985" s="6">
        <v>42931</v>
      </c>
      <c r="B1985" s="3" t="s">
        <v>2053</v>
      </c>
      <c r="C1985" s="3" t="s">
        <v>14</v>
      </c>
      <c r="D1985" s="8" t="str">
        <f>HYPERLINK("http://npthd.inbcu.com/ViewContent.aspx?filename=NPMR_CBS_2017-07-15_E.MP4$1472$1502","Seal Team")</f>
        <v>Seal Team</v>
      </c>
      <c r="E1985" s="3" t="s">
        <v>38</v>
      </c>
      <c r="F1985" s="3" t="s">
        <v>5338</v>
      </c>
      <c r="G1985" s="3" t="s">
        <v>1048</v>
      </c>
    </row>
    <row r="1986" spans="1:7">
      <c r="A1986" s="6">
        <v>42931</v>
      </c>
      <c r="B1986" s="3" t="s">
        <v>2053</v>
      </c>
      <c r="C1986" s="3" t="s">
        <v>18</v>
      </c>
      <c r="D1986" s="8" t="str">
        <f>HYPERLINK("http://npthd.inbcu.com/ViewContent.aspx?filename=NPMR_CBS_2017-07-15_E.MP4$1502$2084","DOUBT: faith")</f>
        <v>DOUBT: faith</v>
      </c>
      <c r="E1986" s="3" t="s">
        <v>2794</v>
      </c>
      <c r="F1986" s="3" t="s">
        <v>1048</v>
      </c>
      <c r="G1986" s="3" t="s">
        <v>2900</v>
      </c>
    </row>
    <row r="1987" spans="1:7">
      <c r="A1987" s="6">
        <v>42931</v>
      </c>
      <c r="B1987" s="3" t="s">
        <v>2053</v>
      </c>
      <c r="C1987" s="3" t="s">
        <v>21</v>
      </c>
      <c r="D1987" s="8" t="str">
        <f>HYPERLINK("http://npthd.inbcu.com/ViewContent.aspx?filename=NPMR_CBS_2017-07-15_E.MP4$2084$2239","COMMERCIAL")</f>
        <v>COMMERCIAL</v>
      </c>
      <c r="E1987" s="3" t="s">
        <v>1029</v>
      </c>
      <c r="F1987" s="3" t="s">
        <v>2900</v>
      </c>
      <c r="G1987" s="3" t="s">
        <v>5339</v>
      </c>
    </row>
    <row r="1988" spans="1:7">
      <c r="A1988" s="6">
        <v>42931</v>
      </c>
      <c r="B1988" s="3" t="s">
        <v>2053</v>
      </c>
      <c r="C1988" s="3" t="s">
        <v>14</v>
      </c>
      <c r="D1988" s="8" t="str">
        <f>HYPERLINK("http://npthd.inbcu.com/ViewContent.aspx?filename=NPMR_CBS_2017-07-15_E.MP4$2239$2249","48 Hours")</f>
        <v>48 Hours</v>
      </c>
      <c r="E1988" s="3" t="s">
        <v>197</v>
      </c>
      <c r="F1988" s="3" t="s">
        <v>5339</v>
      </c>
      <c r="G1988" s="3" t="s">
        <v>5340</v>
      </c>
    </row>
    <row r="1989" spans="1:7">
      <c r="A1989" s="6">
        <v>42931</v>
      </c>
      <c r="B1989" s="3" t="s">
        <v>2053</v>
      </c>
      <c r="C1989" s="3" t="s">
        <v>32</v>
      </c>
      <c r="D1989" s="8" t="str">
        <f>HYPERLINK("http://npthd.inbcu.com/ViewContent.aspx?filename=NPMR_CBS_2017-07-15_E.MP4$2249$2314","LOCAL")</f>
        <v>LOCAL</v>
      </c>
      <c r="E1989" s="3" t="s">
        <v>580</v>
      </c>
      <c r="F1989" s="3" t="s">
        <v>5340</v>
      </c>
      <c r="G1989" s="3" t="s">
        <v>5341</v>
      </c>
    </row>
    <row r="1990" spans="1:7">
      <c r="A1990" s="6">
        <v>42931</v>
      </c>
      <c r="B1990" s="3" t="s">
        <v>2053</v>
      </c>
      <c r="C1990" s="3" t="s">
        <v>18</v>
      </c>
      <c r="D1990" s="8" t="str">
        <f>HYPERLINK("http://npthd.inbcu.com/ViewContent.aspx?filename=NPMR_CBS_2017-07-15_E.MP4$2314$2664","DOUBT: faith")</f>
        <v>DOUBT: faith</v>
      </c>
      <c r="E1990" s="3" t="s">
        <v>636</v>
      </c>
      <c r="F1990" s="3" t="s">
        <v>5341</v>
      </c>
      <c r="G1990" s="3" t="s">
        <v>5342</v>
      </c>
    </row>
    <row r="1991" spans="1:7">
      <c r="A1991" s="6">
        <v>42931</v>
      </c>
      <c r="B1991" s="3" t="s">
        <v>2053</v>
      </c>
      <c r="C1991" s="3" t="s">
        <v>21</v>
      </c>
      <c r="D1991" s="8" t="str">
        <f>HYPERLINK("http://npthd.inbcu.com/ViewContent.aspx?filename=NPMR_CBS_2017-07-15_E.MP4$2664$2786","COMMERCIAL")</f>
        <v>COMMERCIAL</v>
      </c>
      <c r="E1991" s="3" t="s">
        <v>252</v>
      </c>
      <c r="F1991" s="3" t="s">
        <v>5342</v>
      </c>
      <c r="G1991" s="3" t="s">
        <v>1778</v>
      </c>
    </row>
    <row r="1992" spans="1:7">
      <c r="A1992" s="6">
        <v>42931</v>
      </c>
      <c r="B1992" s="3" t="s">
        <v>2053</v>
      </c>
      <c r="C1992" s="3" t="s">
        <v>14</v>
      </c>
      <c r="D1992" s="8" t="str">
        <f>HYPERLINK("http://npthd.inbcu.com/ViewContent.aspx?filename=NPMR_CBS_2017-07-15_E.MP4$2786$2796","Golf on CBS")</f>
        <v>Golf on CBS</v>
      </c>
      <c r="E1992" s="3" t="s">
        <v>197</v>
      </c>
      <c r="F1992" s="3" t="s">
        <v>1778</v>
      </c>
      <c r="G1992" s="3" t="s">
        <v>2706</v>
      </c>
    </row>
    <row r="1993" spans="1:7">
      <c r="A1993" s="6">
        <v>42931</v>
      </c>
      <c r="B1993" s="3" t="s">
        <v>2053</v>
      </c>
      <c r="C1993" s="3" t="s">
        <v>14</v>
      </c>
      <c r="D1993" s="8" t="str">
        <f>HYPERLINK("http://npthd.inbcu.com/ViewContent.aspx?filename=NPMR_CBS_2017-07-15_E.MP4$2796$2801","Candy Crush")</f>
        <v>Candy Crush</v>
      </c>
      <c r="E1993" s="3" t="s">
        <v>54</v>
      </c>
      <c r="F1993" s="3" t="s">
        <v>2706</v>
      </c>
      <c r="G1993" s="3" t="s">
        <v>360</v>
      </c>
    </row>
    <row r="1994" spans="1:7">
      <c r="A1994" s="6">
        <v>42931</v>
      </c>
      <c r="B1994" s="3" t="s">
        <v>2053</v>
      </c>
      <c r="C1994" s="3" t="s">
        <v>14</v>
      </c>
      <c r="D1994" s="8" t="str">
        <f>HYPERLINK("http://npthd.inbcu.com/ViewContent.aspx?filename=NPMR_CBS_2017-07-15_E.MP4$2801$2816","Wisdom of the Crowd")</f>
        <v>Wisdom of the Crowd</v>
      </c>
      <c r="E1994" s="3" t="s">
        <v>30</v>
      </c>
      <c r="F1994" s="3" t="s">
        <v>360</v>
      </c>
      <c r="G1994" s="3" t="s">
        <v>4395</v>
      </c>
    </row>
    <row r="1995" spans="1:7">
      <c r="A1995" s="6">
        <v>42931</v>
      </c>
      <c r="B1995" s="3" t="s">
        <v>2053</v>
      </c>
      <c r="C1995" s="3" t="s">
        <v>32</v>
      </c>
      <c r="D1995" s="8" t="str">
        <f>HYPERLINK("http://npthd.inbcu.com/ViewContent.aspx?filename=NPMR_CBS_2017-07-15_E.MP4$2816$2881","LOCAL")</f>
        <v>LOCAL</v>
      </c>
      <c r="E1995" s="3" t="s">
        <v>580</v>
      </c>
      <c r="F1995" s="3" t="s">
        <v>4395</v>
      </c>
      <c r="G1995" s="3" t="s">
        <v>5343</v>
      </c>
    </row>
    <row r="1996" spans="1:7">
      <c r="A1996" s="6">
        <v>42931</v>
      </c>
      <c r="B1996" s="3" t="s">
        <v>2053</v>
      </c>
      <c r="C1996" s="3" t="s">
        <v>18</v>
      </c>
      <c r="D1996" s="8" t="str">
        <f>HYPERLINK("http://npthd.inbcu.com/ViewContent.aspx?filename=NPMR_CBS_2017-07-15_E.MP4$2881$3502","DOUBT: faith")</f>
        <v>DOUBT: faith</v>
      </c>
      <c r="E1996" s="3" t="s">
        <v>3426</v>
      </c>
      <c r="F1996" s="3" t="s">
        <v>5343</v>
      </c>
      <c r="G1996" s="3" t="s">
        <v>5344</v>
      </c>
    </row>
    <row r="1997" spans="1:7">
      <c r="A1997" s="6">
        <v>42931</v>
      </c>
      <c r="B1997" s="3" t="s">
        <v>2053</v>
      </c>
      <c r="C1997" s="3" t="s">
        <v>21</v>
      </c>
      <c r="D1997" s="8" t="str">
        <f>HYPERLINK("http://npthd.inbcu.com/ViewContent.aspx?filename=NPMR_CBS_2017-07-15_E.MP4$3502$3652","COMMERCIAL")</f>
        <v>COMMERCIAL</v>
      </c>
      <c r="E1997" s="3" t="s">
        <v>28</v>
      </c>
      <c r="F1997" s="3" t="s">
        <v>5344</v>
      </c>
      <c r="G1997" s="3" t="s">
        <v>4333</v>
      </c>
    </row>
    <row r="1998" spans="1:7">
      <c r="A1998" s="6">
        <v>42931</v>
      </c>
      <c r="B1998" s="3" t="s">
        <v>2053</v>
      </c>
      <c r="C1998" s="3" t="s">
        <v>14</v>
      </c>
      <c r="D1998" s="8" t="str">
        <f>HYPERLINK("http://npthd.inbcu.com/ViewContent.aspx?filename=NPMR_CBS_2017-07-15_E.MP4$3652$3662","Me, Myself &amp; I")</f>
        <v>Me, Myself &amp; I</v>
      </c>
      <c r="E1998" s="3" t="s">
        <v>197</v>
      </c>
      <c r="F1998" s="3" t="s">
        <v>4333</v>
      </c>
      <c r="G1998" s="3" t="s">
        <v>2343</v>
      </c>
    </row>
    <row r="1999" spans="1:7">
      <c r="A1999" s="6">
        <v>42931</v>
      </c>
      <c r="B1999" s="3" t="s">
        <v>2053</v>
      </c>
      <c r="C1999" s="3" t="s">
        <v>14</v>
      </c>
      <c r="D1999" s="8" t="str">
        <f>HYPERLINK("http://npthd.inbcu.com/ViewContent.aspx?filename=NPMR_CBS_2017-07-15_E.MP4$3662$3682","Bull")</f>
        <v>Bull</v>
      </c>
      <c r="E1999" s="3" t="s">
        <v>1805</v>
      </c>
      <c r="F1999" s="3" t="s">
        <v>2343</v>
      </c>
      <c r="G1999" s="3" t="s">
        <v>2196</v>
      </c>
    </row>
    <row r="2000" spans="1:7">
      <c r="A2000" s="6">
        <v>42931</v>
      </c>
      <c r="B2000" s="3" t="s">
        <v>2053</v>
      </c>
      <c r="C2000" s="3" t="s">
        <v>18</v>
      </c>
      <c r="D2000" s="8" t="str">
        <f>HYPERLINK("http://npthd.inbcu.com/ViewContent.aspx?filename=NPMR_CBS_2017-07-15_E.MP4$3682$3687","DOUBT: faith")</f>
        <v>DOUBT: faith</v>
      </c>
      <c r="E2000" s="3" t="s">
        <v>54</v>
      </c>
      <c r="F2000" s="3" t="s">
        <v>2196</v>
      </c>
      <c r="G2000" s="3" t="s">
        <v>242</v>
      </c>
    </row>
    <row r="2001" spans="1:7">
      <c r="A2001" s="6">
        <v>42931</v>
      </c>
      <c r="B2001" s="3" t="s">
        <v>2053</v>
      </c>
      <c r="C2001" s="3" t="s">
        <v>14</v>
      </c>
      <c r="D2001" s="8" t="str">
        <f>HYPERLINK("http://npthd.inbcu.com/ViewContent.aspx?filename=NPMR_CBS_2017-07-15_E.MP4$3687$3692","Late Show with Stephen Colbert")</f>
        <v>Late Show with Stephen Colbert</v>
      </c>
      <c r="E2001" s="3" t="s">
        <v>54</v>
      </c>
      <c r="F2001" s="3" t="s">
        <v>242</v>
      </c>
      <c r="G2001" s="3" t="s">
        <v>243</v>
      </c>
    </row>
    <row r="2002" spans="1:7">
      <c r="A2002" s="6">
        <v>42931</v>
      </c>
      <c r="B2002" s="3" t="s">
        <v>2053</v>
      </c>
      <c r="C2002" s="3" t="s">
        <v>18</v>
      </c>
      <c r="D2002" s="8" t="str">
        <f>HYPERLINK("http://npthd.inbcu.com/ViewContent.aspx?filename=NPMR_CBS_2017-07-15_E.MP4$3692$3953","48 HOURS:")</f>
        <v>48 HOURS:</v>
      </c>
      <c r="E2002" s="3" t="s">
        <v>614</v>
      </c>
      <c r="F2002" s="3" t="s">
        <v>243</v>
      </c>
      <c r="G2002" s="3" t="s">
        <v>5345</v>
      </c>
    </row>
    <row r="2003" spans="1:7">
      <c r="A2003" s="6">
        <v>42931</v>
      </c>
      <c r="B2003" s="3" t="s">
        <v>2053</v>
      </c>
      <c r="C2003" s="3" t="s">
        <v>21</v>
      </c>
      <c r="D2003" s="8" t="str">
        <f>HYPERLINK("http://npthd.inbcu.com/ViewContent.aspx?filename=NPMR_CBS_2017-07-15_E.MP4$3953$4014","COMMERCIAL")</f>
        <v>COMMERCIAL</v>
      </c>
      <c r="E2003" s="3" t="s">
        <v>33</v>
      </c>
      <c r="F2003" s="3" t="s">
        <v>5345</v>
      </c>
      <c r="G2003" s="3" t="s">
        <v>5346</v>
      </c>
    </row>
    <row r="2004" spans="1:7">
      <c r="A2004" s="6">
        <v>42931</v>
      </c>
      <c r="B2004" s="3" t="s">
        <v>2053</v>
      </c>
      <c r="C2004" s="3" t="s">
        <v>14</v>
      </c>
      <c r="D2004" s="8" t="str">
        <f>HYPERLINK("http://npthd.inbcu.com/ViewContent.aspx?filename=NPMR_CBS_2017-07-15_E.MP4$4014$4024","Golf on CBS")</f>
        <v>Golf on CBS</v>
      </c>
      <c r="E2004" s="3" t="s">
        <v>197</v>
      </c>
      <c r="F2004" s="3" t="s">
        <v>5346</v>
      </c>
      <c r="G2004" s="3" t="s">
        <v>5347</v>
      </c>
    </row>
    <row r="2005" spans="1:7">
      <c r="A2005" s="6">
        <v>42931</v>
      </c>
      <c r="B2005" s="3" t="s">
        <v>2053</v>
      </c>
      <c r="C2005" s="3" t="s">
        <v>14</v>
      </c>
      <c r="D2005" s="8" t="str">
        <f>HYPERLINK("http://npthd.inbcu.com/ViewContent.aspx?filename=NPMR_CBS_2017-07-15_E.MP4$4024$4034","Big Brother")</f>
        <v>Big Brother</v>
      </c>
      <c r="E2005" s="3" t="s">
        <v>197</v>
      </c>
      <c r="F2005" s="3" t="s">
        <v>5347</v>
      </c>
      <c r="G2005" s="3" t="s">
        <v>2345</v>
      </c>
    </row>
    <row r="2006" spans="1:7">
      <c r="A2006" s="6">
        <v>42931</v>
      </c>
      <c r="B2006" s="3" t="s">
        <v>2053</v>
      </c>
      <c r="C2006" s="3" t="s">
        <v>18</v>
      </c>
      <c r="D2006" s="8" t="str">
        <f>HYPERLINK("http://npthd.inbcu.com/ViewContent.aspx?filename=NPMR_CBS_2017-07-15_E.MP4$4034$4543","48 HOURS:")</f>
        <v>48 HOURS:</v>
      </c>
      <c r="E2006" s="3" t="s">
        <v>396</v>
      </c>
      <c r="F2006" s="3" t="s">
        <v>2345</v>
      </c>
      <c r="G2006" s="3" t="s">
        <v>3382</v>
      </c>
    </row>
    <row r="2007" spans="1:7">
      <c r="A2007" s="6">
        <v>42931</v>
      </c>
      <c r="B2007" s="3" t="s">
        <v>2053</v>
      </c>
      <c r="C2007" s="3" t="s">
        <v>21</v>
      </c>
      <c r="D2007" s="8" t="str">
        <f>HYPERLINK("http://npthd.inbcu.com/ViewContent.aspx?filename=NPMR_CBS_2017-07-15_E.MP4$4543$4695","COMMERCIAL")</f>
        <v>COMMERCIAL</v>
      </c>
      <c r="E2007" s="3" t="s">
        <v>128</v>
      </c>
      <c r="F2007" s="3" t="s">
        <v>3382</v>
      </c>
      <c r="G2007" s="3" t="s">
        <v>162</v>
      </c>
    </row>
    <row r="2008" spans="1:7">
      <c r="A2008" s="6">
        <v>42931</v>
      </c>
      <c r="B2008" s="3" t="s">
        <v>2053</v>
      </c>
      <c r="C2008" s="3" t="s">
        <v>14</v>
      </c>
      <c r="D2008" s="8" t="str">
        <f>HYPERLINK("http://npthd.inbcu.com/ViewContent.aspx?filename=NPMR_CBS_2017-07-15_E.MP4$4695$4710","CBS All Access")</f>
        <v>CBS All Access</v>
      </c>
      <c r="E2008" s="3" t="s">
        <v>30</v>
      </c>
      <c r="F2008" s="3" t="s">
        <v>162</v>
      </c>
      <c r="G2008" s="3" t="s">
        <v>5348</v>
      </c>
    </row>
    <row r="2009" spans="1:7">
      <c r="A2009" s="6">
        <v>42931</v>
      </c>
      <c r="B2009" s="3" t="s">
        <v>2053</v>
      </c>
      <c r="C2009" s="3" t="s">
        <v>14</v>
      </c>
      <c r="D2009" s="8" t="str">
        <f>HYPERLINK("http://npthd.inbcu.com/ViewContent.aspx?filename=NPMR_CBS_2017-07-15_E.MP4$4710$4725","Salvation")</f>
        <v>Salvation</v>
      </c>
      <c r="E2009" s="3" t="s">
        <v>30</v>
      </c>
      <c r="F2009" s="3" t="s">
        <v>5348</v>
      </c>
      <c r="G2009" s="3" t="s">
        <v>2712</v>
      </c>
    </row>
    <row r="2010" spans="1:7">
      <c r="A2010" s="6">
        <v>42931</v>
      </c>
      <c r="B2010" s="3" t="s">
        <v>2053</v>
      </c>
      <c r="C2010" s="3" t="s">
        <v>18</v>
      </c>
      <c r="D2010" s="8" t="str">
        <f>HYPERLINK("http://npthd.inbcu.com/ViewContent.aspx?filename=NPMR_CBS_2017-07-15_E.MP4$4725$5147","48 HOURS:")</f>
        <v>48 HOURS:</v>
      </c>
      <c r="E2010" s="3" t="s">
        <v>1087</v>
      </c>
      <c r="F2010" s="3" t="s">
        <v>2712</v>
      </c>
      <c r="G2010" s="3" t="s">
        <v>5349</v>
      </c>
    </row>
    <row r="2011" spans="1:7">
      <c r="A2011" s="6">
        <v>42931</v>
      </c>
      <c r="B2011" s="3" t="s">
        <v>2053</v>
      </c>
      <c r="C2011" s="3" t="s">
        <v>21</v>
      </c>
      <c r="D2011" s="8" t="str">
        <f>HYPERLINK("http://npthd.inbcu.com/ViewContent.aspx?filename=NPMR_CBS_2017-07-15_E.MP4$5147$5331","COMMERCIAL")</f>
        <v>COMMERCIAL</v>
      </c>
      <c r="E2011" s="3" t="s">
        <v>420</v>
      </c>
      <c r="F2011" s="3" t="s">
        <v>5349</v>
      </c>
      <c r="G2011" s="3" t="s">
        <v>1435</v>
      </c>
    </row>
    <row r="2012" spans="1:7">
      <c r="A2012" s="6">
        <v>42931</v>
      </c>
      <c r="B2012" s="3" t="s">
        <v>2053</v>
      </c>
      <c r="C2012" s="3" t="s">
        <v>14</v>
      </c>
      <c r="D2012" s="8" t="str">
        <f>HYPERLINK("http://npthd.inbcu.com/ViewContent.aspx?filename=NPMR_CBS_2017-07-15_E.MP4$5331$5341","Late Show with Stephen Colbert")</f>
        <v>Late Show with Stephen Colbert</v>
      </c>
      <c r="E2012" s="3" t="s">
        <v>197</v>
      </c>
      <c r="F2012" s="3" t="s">
        <v>1435</v>
      </c>
      <c r="G2012" s="3" t="s">
        <v>2091</v>
      </c>
    </row>
    <row r="2013" spans="1:7">
      <c r="A2013" s="6">
        <v>42931</v>
      </c>
      <c r="B2013" s="3" t="s">
        <v>2053</v>
      </c>
      <c r="C2013" s="3" t="s">
        <v>14</v>
      </c>
      <c r="D2013" s="8" t="str">
        <f>HYPERLINK("http://npthd.inbcu.com/ViewContent.aspx?filename=NPMR_CBS_2017-07-15_E.MP4$5341$5361","Wisdom of the Crowd")</f>
        <v>Wisdom of the Crowd</v>
      </c>
      <c r="E2013" s="3" t="s">
        <v>1805</v>
      </c>
      <c r="F2013" s="3" t="s">
        <v>2091</v>
      </c>
      <c r="G2013" s="3" t="s">
        <v>5350</v>
      </c>
    </row>
    <row r="2014" spans="1:7">
      <c r="A2014" s="6">
        <v>42931</v>
      </c>
      <c r="B2014" s="3" t="s">
        <v>2053</v>
      </c>
      <c r="C2014" s="3" t="s">
        <v>14</v>
      </c>
      <c r="D2014" s="8" t="str">
        <f>HYPERLINK("http://npthd.inbcu.com/ViewContent.aspx?filename=NPMR_CBS_2017-07-15_E.MP4$5361$5366","CBS On Assignment")</f>
        <v>CBS On Assignment</v>
      </c>
      <c r="E2014" s="3" t="s">
        <v>54</v>
      </c>
      <c r="F2014" s="3" t="s">
        <v>5350</v>
      </c>
      <c r="G2014" s="3" t="s">
        <v>3734</v>
      </c>
    </row>
    <row r="2015" spans="1:7">
      <c r="A2015" s="6">
        <v>42931</v>
      </c>
      <c r="B2015" s="3" t="s">
        <v>2053</v>
      </c>
      <c r="C2015" s="3" t="s">
        <v>32</v>
      </c>
      <c r="D2015" s="8" t="str">
        <f>HYPERLINK("http://npthd.inbcu.com/ViewContent.aspx?filename=NPMR_CBS_2017-07-15_E.MP4$5366$5431","LOCAL")</f>
        <v>LOCAL</v>
      </c>
      <c r="E2015" s="3" t="s">
        <v>580</v>
      </c>
      <c r="F2015" s="3" t="s">
        <v>3734</v>
      </c>
      <c r="G2015" s="3" t="s">
        <v>3936</v>
      </c>
    </row>
    <row r="2016" spans="1:7">
      <c r="A2016" s="6">
        <v>42931</v>
      </c>
      <c r="B2016" s="3" t="s">
        <v>2053</v>
      </c>
      <c r="C2016" s="3" t="s">
        <v>18</v>
      </c>
      <c r="D2016" s="8" t="str">
        <f>HYPERLINK("http://npthd.inbcu.com/ViewContent.aspx?filename=NPMR_CBS_2017-07-15_E.MP4$5431$5929","48 HOURS:")</f>
        <v>48 HOURS:</v>
      </c>
      <c r="E2016" s="3" t="s">
        <v>2405</v>
      </c>
      <c r="F2016" s="3" t="s">
        <v>3936</v>
      </c>
      <c r="G2016" s="3" t="s">
        <v>5351</v>
      </c>
    </row>
    <row r="2017" spans="1:7">
      <c r="A2017" s="6">
        <v>42931</v>
      </c>
      <c r="B2017" s="3" t="s">
        <v>2053</v>
      </c>
      <c r="C2017" s="3" t="s">
        <v>21</v>
      </c>
      <c r="D2017" s="8" t="str">
        <f>HYPERLINK("http://npthd.inbcu.com/ViewContent.aspx?filename=NPMR_CBS_2017-07-15_E.MP4$5929$6110","COMMERCIAL")</f>
        <v>COMMERCIAL</v>
      </c>
      <c r="E2017" s="3" t="s">
        <v>108</v>
      </c>
      <c r="F2017" s="3" t="s">
        <v>5351</v>
      </c>
      <c r="G2017" s="3" t="s">
        <v>5352</v>
      </c>
    </row>
    <row r="2018" spans="1:7">
      <c r="A2018" s="6">
        <v>42931</v>
      </c>
      <c r="B2018" s="3" t="s">
        <v>2053</v>
      </c>
      <c r="C2018" s="3" t="s">
        <v>14</v>
      </c>
      <c r="D2018" s="8" t="str">
        <f>HYPERLINK("http://npthd.inbcu.com/ViewContent.aspx?filename=NPMR_CBS_2017-07-15_E.MP4$6110$6140","Salvation")</f>
        <v>Salvation</v>
      </c>
      <c r="E2018" s="3" t="s">
        <v>38</v>
      </c>
      <c r="F2018" s="3" t="s">
        <v>5352</v>
      </c>
      <c r="G2018" s="3" t="s">
        <v>5353</v>
      </c>
    </row>
    <row r="2019" spans="1:7">
      <c r="A2019" s="6">
        <v>42931</v>
      </c>
      <c r="B2019" s="3" t="s">
        <v>2053</v>
      </c>
      <c r="C2019" s="3" t="s">
        <v>18</v>
      </c>
      <c r="D2019" s="8" t="str">
        <f>HYPERLINK("http://npthd.inbcu.com/ViewContent.aspx?filename=NPMR_CBS_2017-07-15_E.MP4$6140$6523","48 HOURS:")</f>
        <v>48 HOURS:</v>
      </c>
      <c r="E2019" s="3" t="s">
        <v>1904</v>
      </c>
      <c r="F2019" s="3" t="s">
        <v>5353</v>
      </c>
      <c r="G2019" s="3" t="s">
        <v>4682</v>
      </c>
    </row>
    <row r="2020" spans="1:7">
      <c r="A2020" s="6">
        <v>42931</v>
      </c>
      <c r="B2020" s="3" t="s">
        <v>2053</v>
      </c>
      <c r="C2020" s="3" t="s">
        <v>21</v>
      </c>
      <c r="D2020" s="8" t="str">
        <f>HYPERLINK("http://npthd.inbcu.com/ViewContent.aspx?filename=NPMR_CBS_2017-07-15_E.MP4$6523$6675","COMMERCIAL")</f>
        <v>COMMERCIAL</v>
      </c>
      <c r="E2020" s="3" t="s">
        <v>128</v>
      </c>
      <c r="F2020" s="3" t="s">
        <v>4682</v>
      </c>
      <c r="G2020" s="3" t="s">
        <v>2157</v>
      </c>
    </row>
    <row r="2021" spans="1:7">
      <c r="A2021" s="6">
        <v>42931</v>
      </c>
      <c r="B2021" s="3" t="s">
        <v>2053</v>
      </c>
      <c r="C2021" s="3" t="s">
        <v>18</v>
      </c>
      <c r="D2021" s="8" t="str">
        <f>HYPERLINK("http://npthd.inbcu.com/ViewContent.aspx?filename=NPMR_CBS_2017-07-15_E.MP4$6675$7085","48 HOURS:")</f>
        <v>48 HOURS:</v>
      </c>
      <c r="E2021" s="3" t="s">
        <v>1049</v>
      </c>
      <c r="F2021" s="3" t="s">
        <v>2157</v>
      </c>
      <c r="G2021" s="3" t="s">
        <v>5354</v>
      </c>
    </row>
    <row r="2022" spans="1:7">
      <c r="A2022" s="6">
        <v>42931</v>
      </c>
      <c r="B2022" s="3" t="s">
        <v>2053</v>
      </c>
      <c r="C2022" s="3" t="s">
        <v>14</v>
      </c>
      <c r="D2022" s="8" t="str">
        <f>HYPERLINK("http://npthd.inbcu.com/ViewContent.aspx?filename=NPMR_CBS_2017-07-15_E.MP4$7085$7149","48 Hours")</f>
        <v>48 Hours</v>
      </c>
      <c r="E2022" s="3" t="s">
        <v>1902</v>
      </c>
      <c r="F2022" s="3" t="s">
        <v>5354</v>
      </c>
      <c r="G2022" s="3" t="s">
        <v>5355</v>
      </c>
    </row>
    <row r="2023" spans="1:7">
      <c r="A2023" s="6">
        <v>42931</v>
      </c>
      <c r="B2023" s="3" t="s">
        <v>2053</v>
      </c>
      <c r="C2023" s="3" t="s">
        <v>14</v>
      </c>
      <c r="D2023" s="8" t="str">
        <f>HYPERLINK("http://npthd.inbcu.com/ViewContent.aspx?filename=NPMR_CBS_2017-07-15_E.MP4$7149$7157","CBS News")</f>
        <v>CBS News</v>
      </c>
      <c r="E2023" s="3" t="s">
        <v>2239</v>
      </c>
      <c r="F2023" s="3" t="s">
        <v>5355</v>
      </c>
      <c r="G2023" s="3" t="s">
        <v>2214</v>
      </c>
    </row>
    <row r="2024" spans="1:7">
      <c r="A2024" s="6">
        <v>42931</v>
      </c>
      <c r="B2024" s="3" t="s">
        <v>2053</v>
      </c>
      <c r="C2024" s="3" t="s">
        <v>14</v>
      </c>
      <c r="D2024" s="8" t="str">
        <f>HYPERLINK("http://npthd.inbcu.com/ViewContent.aspx?filename=NPMR_CBS_2017-07-15_E.MP4$7157$7162","Salvation")</f>
        <v>Salvation</v>
      </c>
      <c r="E2024" s="3" t="s">
        <v>54</v>
      </c>
      <c r="F2024" s="3" t="s">
        <v>2214</v>
      </c>
      <c r="G2024" s="3" t="s">
        <v>2215</v>
      </c>
    </row>
    <row r="2025" spans="1:7">
      <c r="A2025" s="6">
        <v>42931</v>
      </c>
      <c r="B2025" s="3" t="s">
        <v>2053</v>
      </c>
      <c r="C2025" s="3" t="s">
        <v>32</v>
      </c>
      <c r="D2025" s="8" t="str">
        <f>HYPERLINK("http://npthd.inbcu.com/ViewContent.aspx?filename=NPMR_CBS_2017-07-15_E.MP4$7162$7287","LOCAL")</f>
        <v>LOCAL</v>
      </c>
      <c r="E2025" s="3" t="s">
        <v>2216</v>
      </c>
      <c r="F2025" s="3" t="s">
        <v>2215</v>
      </c>
      <c r="G2025" s="3" t="s">
        <v>394</v>
      </c>
    </row>
    <row r="2026" spans="1:7">
      <c r="A2026" s="6">
        <v>42931</v>
      </c>
      <c r="B2026" s="3" t="s">
        <v>2053</v>
      </c>
      <c r="C2026" s="3" t="s">
        <v>14</v>
      </c>
      <c r="D2026" s="8" t="str">
        <f>HYPERLINK("http://npthd.inbcu.com/ViewContent.aspx?filename=NPMR_CBS_2017-07-15_E.MP4$7287$7292","Colbert / Corden")</f>
        <v>Colbert / Corden</v>
      </c>
      <c r="E2026" s="3" t="s">
        <v>54</v>
      </c>
      <c r="F2026" s="3" t="s">
        <v>394</v>
      </c>
      <c r="G2026" s="3" t="s">
        <v>395</v>
      </c>
    </row>
    <row r="2027" spans="1:7">
      <c r="A2027" s="6">
        <v>42931</v>
      </c>
      <c r="B2027" s="3" t="s">
        <v>2053</v>
      </c>
      <c r="C2027" s="3" t="s">
        <v>18</v>
      </c>
      <c r="D2027" s="8" t="str">
        <f>HYPERLINK("http://npthd.inbcu.com/ViewContent.aspx?filename=NPMR_CBS_2017-07-15_E.MP4$7292$7511","48 HOURS:")</f>
        <v>48 HOURS:</v>
      </c>
      <c r="E2027" s="3" t="s">
        <v>1535</v>
      </c>
      <c r="F2027" s="3" t="s">
        <v>395</v>
      </c>
      <c r="G2027" s="3" t="s">
        <v>5356</v>
      </c>
    </row>
    <row r="2028" spans="1:7">
      <c r="A2028" s="6">
        <v>42931</v>
      </c>
      <c r="B2028" s="3" t="s">
        <v>2053</v>
      </c>
      <c r="C2028" s="3" t="s">
        <v>21</v>
      </c>
      <c r="D2028" s="8" t="str">
        <f>HYPERLINK("http://npthd.inbcu.com/ViewContent.aspx?filename=NPMR_CBS_2017-07-15_E.MP4$7511$7573","COMMERCIAL")</f>
        <v>COMMERCIAL</v>
      </c>
      <c r="E2028" s="3" t="s">
        <v>257</v>
      </c>
      <c r="F2028" s="3" t="s">
        <v>5356</v>
      </c>
      <c r="G2028" s="3" t="s">
        <v>3479</v>
      </c>
    </row>
    <row r="2029" spans="1:7">
      <c r="A2029" s="6">
        <v>42931</v>
      </c>
      <c r="B2029" s="3" t="s">
        <v>2053</v>
      </c>
      <c r="C2029" s="3" t="s">
        <v>14</v>
      </c>
      <c r="D2029" s="8" t="str">
        <f>HYPERLINK("http://npthd.inbcu.com/ViewContent.aspx?filename=NPMR_CBS_2017-07-15_E.MP4$7573$7583","60 Minutes")</f>
        <v>60 Minutes</v>
      </c>
      <c r="E2029" s="3" t="s">
        <v>197</v>
      </c>
      <c r="F2029" s="3" t="s">
        <v>3479</v>
      </c>
      <c r="G2029" s="3" t="s">
        <v>5357</v>
      </c>
    </row>
    <row r="2030" spans="1:7">
      <c r="A2030" s="6">
        <v>42931</v>
      </c>
      <c r="B2030" s="3" t="s">
        <v>2053</v>
      </c>
      <c r="C2030" s="3" t="s">
        <v>14</v>
      </c>
      <c r="D2030" s="8" t="str">
        <f>HYPERLINK("http://npthd.inbcu.com/ViewContent.aspx?filename=NPMR_CBS_2017-07-15_E.MP4$7583$7593","Seal Team")</f>
        <v>Seal Team</v>
      </c>
      <c r="E2030" s="3" t="s">
        <v>197</v>
      </c>
      <c r="F2030" s="3" t="s">
        <v>5357</v>
      </c>
      <c r="G2030" s="3" t="s">
        <v>5358</v>
      </c>
    </row>
    <row r="2031" spans="1:7">
      <c r="A2031" s="6">
        <v>42931</v>
      </c>
      <c r="B2031" s="3" t="s">
        <v>2053</v>
      </c>
      <c r="C2031" s="3" t="s">
        <v>18</v>
      </c>
      <c r="D2031" s="8" t="str">
        <f>HYPERLINK("http://npthd.inbcu.com/ViewContent.aspx?filename=NPMR_CBS_2017-07-15_E.MP4$7593$8213","48 HOURS:")</f>
        <v>48 HOURS:</v>
      </c>
      <c r="E2031" s="3" t="s">
        <v>367</v>
      </c>
      <c r="F2031" s="3" t="s">
        <v>5358</v>
      </c>
      <c r="G2031" s="3" t="s">
        <v>5359</v>
      </c>
    </row>
    <row r="2032" spans="1:7">
      <c r="A2032" s="6">
        <v>42931</v>
      </c>
      <c r="B2032" s="3" t="s">
        <v>2053</v>
      </c>
      <c r="C2032" s="3" t="s">
        <v>21</v>
      </c>
      <c r="D2032" s="8" t="str">
        <f>HYPERLINK("http://npthd.inbcu.com/ViewContent.aspx?filename=NPMR_CBS_2017-07-15_E.MP4$8213$8335","COMMERCIAL")</f>
        <v>COMMERCIAL</v>
      </c>
      <c r="E2032" s="3" t="s">
        <v>252</v>
      </c>
      <c r="F2032" s="3" t="s">
        <v>5359</v>
      </c>
      <c r="G2032" s="3" t="s">
        <v>5360</v>
      </c>
    </row>
    <row r="2033" spans="1:7">
      <c r="A2033" s="6">
        <v>42931</v>
      </c>
      <c r="B2033" s="3" t="s">
        <v>2053</v>
      </c>
      <c r="C2033" s="3" t="s">
        <v>14</v>
      </c>
      <c r="D2033" s="8" t="str">
        <f>HYPERLINK("http://npthd.inbcu.com/ViewContent.aspx?filename=NPMR_CBS_2017-07-15_E.MP4$8335$8345","Late Show with Stephen Colbert")</f>
        <v>Late Show with Stephen Colbert</v>
      </c>
      <c r="E2033" s="3" t="s">
        <v>197</v>
      </c>
      <c r="F2033" s="3" t="s">
        <v>5360</v>
      </c>
      <c r="G2033" s="3" t="s">
        <v>5361</v>
      </c>
    </row>
    <row r="2034" spans="1:7">
      <c r="A2034" s="6">
        <v>42931</v>
      </c>
      <c r="B2034" s="3" t="s">
        <v>2053</v>
      </c>
      <c r="C2034" s="3" t="s">
        <v>14</v>
      </c>
      <c r="D2034" s="8" t="str">
        <f>HYPERLINK("http://npthd.inbcu.com/ViewContent.aspx?filename=NPMR_CBS_2017-07-15_E.MP4$8345$8365","Salvation")</f>
        <v>Salvation</v>
      </c>
      <c r="E2034" s="3" t="s">
        <v>1805</v>
      </c>
      <c r="F2034" s="3" t="s">
        <v>5361</v>
      </c>
      <c r="G2034" s="3" t="s">
        <v>5362</v>
      </c>
    </row>
    <row r="2035" spans="1:7">
      <c r="A2035" s="6">
        <v>42931</v>
      </c>
      <c r="B2035" s="3" t="s">
        <v>2053</v>
      </c>
      <c r="C2035" s="3" t="s">
        <v>18</v>
      </c>
      <c r="D2035" s="8" t="str">
        <f>HYPERLINK("http://npthd.inbcu.com/ViewContent.aspx?filename=NPMR_CBS_2017-07-15_E.MP4$8365$8859","48 HOURS:")</f>
        <v>48 HOURS:</v>
      </c>
      <c r="E2035" s="3" t="s">
        <v>386</v>
      </c>
      <c r="F2035" s="3" t="s">
        <v>5362</v>
      </c>
      <c r="G2035" s="3" t="s">
        <v>5363</v>
      </c>
    </row>
    <row r="2036" spans="1:7">
      <c r="A2036" s="6">
        <v>42931</v>
      </c>
      <c r="B2036" s="3" t="s">
        <v>2053</v>
      </c>
      <c r="C2036" s="3" t="s">
        <v>21</v>
      </c>
      <c r="D2036" s="8" t="str">
        <f>HYPERLINK("http://npthd.inbcu.com/ViewContent.aspx?filename=NPMR_CBS_2017-07-15_E.MP4$8859$9041","COMMERCIAL")</f>
        <v>COMMERCIAL</v>
      </c>
      <c r="E2036" s="3" t="s">
        <v>275</v>
      </c>
      <c r="F2036" s="3" t="s">
        <v>5363</v>
      </c>
      <c r="G2036" s="3" t="s">
        <v>5364</v>
      </c>
    </row>
    <row r="2037" spans="1:7">
      <c r="A2037" s="6">
        <v>42931</v>
      </c>
      <c r="B2037" s="3" t="s">
        <v>2053</v>
      </c>
      <c r="C2037" s="3" t="s">
        <v>14</v>
      </c>
      <c r="D2037" s="8" t="str">
        <f>HYPERLINK("http://npthd.inbcu.com/ViewContent.aspx?filename=NPMR_CBS_2017-07-15_E.MP4$9041$9051","Golf on CBS")</f>
        <v>Golf on CBS</v>
      </c>
      <c r="E2037" s="3" t="s">
        <v>197</v>
      </c>
      <c r="F2037" s="3" t="s">
        <v>5364</v>
      </c>
      <c r="G2037" s="3" t="s">
        <v>5365</v>
      </c>
    </row>
    <row r="2038" spans="1:7">
      <c r="A2038" s="6">
        <v>42931</v>
      </c>
      <c r="B2038" s="3" t="s">
        <v>2053</v>
      </c>
      <c r="C2038" s="3" t="s">
        <v>18</v>
      </c>
      <c r="D2038" s="8" t="str">
        <f>HYPERLINK("http://npthd.inbcu.com/ViewContent.aspx?filename=NPMR_CBS_2017-07-15_E.MP4$9051$9058","48 HOURS:")</f>
        <v>48 HOURS:</v>
      </c>
      <c r="E2038" s="3" t="s">
        <v>567</v>
      </c>
      <c r="F2038" s="3" t="s">
        <v>5365</v>
      </c>
      <c r="G2038" s="3" t="s">
        <v>2600</v>
      </c>
    </row>
    <row r="2039" spans="1:7">
      <c r="A2039" s="6">
        <v>42931</v>
      </c>
      <c r="B2039" s="3" t="s">
        <v>2053</v>
      </c>
      <c r="C2039" s="3" t="s">
        <v>14</v>
      </c>
      <c r="D2039" s="8" t="str">
        <f>HYPERLINK("http://npthd.inbcu.com/ViewContent.aspx?filename=NPMR_CBS_2017-07-15_E.MP4$9058$9063","Wisdom of the Crowd")</f>
        <v>Wisdom of the Crowd</v>
      </c>
      <c r="E2039" s="3" t="s">
        <v>54</v>
      </c>
      <c r="F2039" s="3" t="s">
        <v>2600</v>
      </c>
      <c r="G2039" s="3" t="s">
        <v>5366</v>
      </c>
    </row>
    <row r="2040" spans="1:7">
      <c r="A2040" s="6">
        <v>42931</v>
      </c>
      <c r="B2040" s="3" t="s">
        <v>2053</v>
      </c>
      <c r="C2040" s="3" t="s">
        <v>32</v>
      </c>
      <c r="D2040" s="8" t="str">
        <f>HYPERLINK("http://npthd.inbcu.com/ViewContent.aspx?filename=NPMR_CBS_2017-07-15_E.MP4$9063$9173","LOCAL")</f>
        <v>LOCAL</v>
      </c>
      <c r="E2040" s="3" t="s">
        <v>558</v>
      </c>
      <c r="F2040" s="3" t="s">
        <v>5366</v>
      </c>
      <c r="G2040" s="3" t="s">
        <v>2306</v>
      </c>
    </row>
    <row r="2041" spans="1:7">
      <c r="A2041" s="6">
        <v>42931</v>
      </c>
      <c r="B2041" s="3" t="s">
        <v>2053</v>
      </c>
      <c r="C2041" s="3" t="s">
        <v>18</v>
      </c>
      <c r="D2041" s="8" t="str">
        <f>HYPERLINK("http://npthd.inbcu.com/ViewContent.aspx?filename=NPMR_CBS_2017-07-15_E.MP4$9173$9621","48 HOURS:")</f>
        <v>48 HOURS:</v>
      </c>
      <c r="E2041" s="3" t="s">
        <v>163</v>
      </c>
      <c r="F2041" s="3" t="s">
        <v>2306</v>
      </c>
      <c r="G2041" s="3" t="s">
        <v>4617</v>
      </c>
    </row>
    <row r="2042" spans="1:7">
      <c r="A2042" s="6">
        <v>42931</v>
      </c>
      <c r="B2042" s="3" t="s">
        <v>2053</v>
      </c>
      <c r="C2042" s="3" t="s">
        <v>21</v>
      </c>
      <c r="D2042" s="8" t="str">
        <f>HYPERLINK("http://npthd.inbcu.com/ViewContent.aspx?filename=NPMR_CBS_2017-07-15_E.MP4$9621$9774","COMMERCIAL")</f>
        <v>COMMERCIAL</v>
      </c>
      <c r="E2042" s="3" t="s">
        <v>1735</v>
      </c>
      <c r="F2042" s="3" t="s">
        <v>4617</v>
      </c>
      <c r="G2042" s="3" t="s">
        <v>5367</v>
      </c>
    </row>
    <row r="2043" spans="1:7">
      <c r="A2043" s="6">
        <v>42931</v>
      </c>
      <c r="B2043" s="3" t="s">
        <v>2053</v>
      </c>
      <c r="C2043" s="3" t="s">
        <v>14</v>
      </c>
      <c r="D2043" s="8" t="str">
        <f>HYPERLINK("http://npthd.inbcu.com/ViewContent.aspx?filename=NPMR_CBS_2017-07-15_E.MP4$9774$9794","CBS All Access")</f>
        <v>CBS All Access</v>
      </c>
      <c r="E2043" s="3" t="s">
        <v>1805</v>
      </c>
      <c r="F2043" s="3" t="s">
        <v>5367</v>
      </c>
      <c r="G2043" s="3" t="s">
        <v>5368</v>
      </c>
    </row>
    <row r="2044" spans="1:7">
      <c r="A2044" s="6">
        <v>42931</v>
      </c>
      <c r="B2044" s="3" t="s">
        <v>2053</v>
      </c>
      <c r="C2044" s="3" t="s">
        <v>14</v>
      </c>
      <c r="D2044" s="8" t="str">
        <f>HYPERLINK("http://npthd.inbcu.com/ViewContent.aspx?filename=NPMR_CBS_2017-07-15_E.MP4$9794$9804","Salvation")</f>
        <v>Salvation</v>
      </c>
      <c r="E2044" s="3" t="s">
        <v>197</v>
      </c>
      <c r="F2044" s="3" t="s">
        <v>5368</v>
      </c>
      <c r="G2044" s="3" t="s">
        <v>5369</v>
      </c>
    </row>
    <row r="2045" spans="1:7">
      <c r="A2045" s="6">
        <v>42931</v>
      </c>
      <c r="B2045" s="3" t="s">
        <v>2053</v>
      </c>
      <c r="C2045" s="3" t="s">
        <v>18</v>
      </c>
      <c r="D2045" s="8" t="str">
        <f>HYPERLINK("http://npthd.inbcu.com/ViewContent.aspx?filename=NPMR_CBS_2017-07-15_E.MP4$9804$9811","48 HOURS:")</f>
        <v>48 HOURS:</v>
      </c>
      <c r="E2045" s="3" t="s">
        <v>567</v>
      </c>
      <c r="F2045" s="3" t="s">
        <v>5369</v>
      </c>
      <c r="G2045" s="3" t="s">
        <v>5370</v>
      </c>
    </row>
    <row r="2046" spans="1:7">
      <c r="A2046" s="6">
        <v>42931</v>
      </c>
      <c r="B2046" s="3" t="s">
        <v>2053</v>
      </c>
      <c r="C2046" s="3" t="s">
        <v>14</v>
      </c>
      <c r="D2046" s="8" t="str">
        <f>HYPERLINK("http://npthd.inbcu.com/ViewContent.aspx?filename=NPMR_CBS_2017-07-15_E.MP4$9811$9816","CBS Sunday Morning")</f>
        <v>CBS Sunday Morning</v>
      </c>
      <c r="E2046" s="3" t="s">
        <v>54</v>
      </c>
      <c r="F2046" s="3" t="s">
        <v>5370</v>
      </c>
      <c r="G2046" s="3" t="s">
        <v>4542</v>
      </c>
    </row>
    <row r="2047" spans="1:7">
      <c r="A2047" s="6">
        <v>42931</v>
      </c>
      <c r="B2047" s="3" t="s">
        <v>2053</v>
      </c>
      <c r="C2047" s="3" t="s">
        <v>32</v>
      </c>
      <c r="D2047" s="8" t="str">
        <f>HYPERLINK("http://npthd.inbcu.com/ViewContent.aspx?filename=NPMR_CBS_2017-07-15_E.MP4$9816$9911","LOCAL")</f>
        <v>LOCAL</v>
      </c>
      <c r="E2047" s="3" t="s">
        <v>2076</v>
      </c>
      <c r="F2047" s="3" t="s">
        <v>4542</v>
      </c>
      <c r="G2047" s="3" t="s">
        <v>5371</v>
      </c>
    </row>
    <row r="2048" spans="1:7">
      <c r="A2048" s="6">
        <v>42931</v>
      </c>
      <c r="B2048" s="3" t="s">
        <v>2053</v>
      </c>
      <c r="C2048" s="3" t="s">
        <v>18</v>
      </c>
      <c r="D2048" s="8" t="str">
        <f>HYPERLINK("http://npthd.inbcu.com/ViewContent.aspx?filename=NPMR_CBS_2017-07-15_E.MP4$9911$10332","48 HOURS:")</f>
        <v>48 HOURS:</v>
      </c>
      <c r="E2048" s="3" t="s">
        <v>281</v>
      </c>
      <c r="F2048" s="3" t="s">
        <v>5371</v>
      </c>
      <c r="G2048" s="3" t="s">
        <v>5372</v>
      </c>
    </row>
    <row r="2049" spans="1:7">
      <c r="A2049" s="6">
        <v>42931</v>
      </c>
      <c r="B2049" s="3" t="s">
        <v>2053</v>
      </c>
      <c r="C2049" s="3" t="s">
        <v>32</v>
      </c>
      <c r="D2049" s="8" t="str">
        <f>HYPERLINK("http://npthd.inbcu.com/ViewContent.aspx?filename=NPMR_CBS_2017-07-15_E.MP4$10332$10343","LOCAL")</f>
        <v>LOCAL</v>
      </c>
      <c r="E2049" s="3" t="s">
        <v>1940</v>
      </c>
      <c r="F2049" s="3" t="s">
        <v>5372</v>
      </c>
      <c r="G2049" s="3" t="s">
        <v>3854</v>
      </c>
    </row>
    <row r="2050" spans="1:7">
      <c r="A2050" s="6">
        <v>42931</v>
      </c>
      <c r="B2050" s="3" t="s">
        <v>2053</v>
      </c>
      <c r="C2050" s="3" t="s">
        <v>21</v>
      </c>
      <c r="D2050" s="8" t="str">
        <f>HYPERLINK("http://npthd.inbcu.com/ViewContent.aspx?filename=NPMR_CBS_2017-07-15_E.MP4$10343$10494","COMMERCIAL")</f>
        <v>COMMERCIAL</v>
      </c>
      <c r="E2050" s="3" t="s">
        <v>91</v>
      </c>
      <c r="F2050" s="3" t="s">
        <v>3854</v>
      </c>
      <c r="G2050" s="3" t="s">
        <v>4086</v>
      </c>
    </row>
    <row r="2051" spans="1:7">
      <c r="A2051" s="6">
        <v>42931</v>
      </c>
      <c r="B2051" s="3" t="s">
        <v>2053</v>
      </c>
      <c r="C2051" s="3" t="s">
        <v>14</v>
      </c>
      <c r="D2051" s="8" t="str">
        <f>HYPERLINK("http://npthd.inbcu.com/ViewContent.aspx?filename=NPMR_CBS_2017-07-15_E.MP4$10494$10499","Late Show with Stephen Colbert")</f>
        <v>Late Show with Stephen Colbert</v>
      </c>
      <c r="E2051" s="3" t="s">
        <v>54</v>
      </c>
      <c r="F2051" s="3" t="s">
        <v>4086</v>
      </c>
      <c r="G2051" s="3" t="s">
        <v>5373</v>
      </c>
    </row>
    <row r="2052" spans="1:7">
      <c r="A2052" s="6">
        <v>42931</v>
      </c>
      <c r="B2052" s="3" t="s">
        <v>2053</v>
      </c>
      <c r="C2052" s="3" t="s">
        <v>18</v>
      </c>
      <c r="D2052" s="8" t="str">
        <f>HYPERLINK("http://npthd.inbcu.com/ViewContent.aspx?filename=NPMR_CBS_2017-07-15_E.MP4$10499$10846","48 HOURS:")</f>
        <v>48 HOURS:</v>
      </c>
      <c r="E2052" s="3" t="s">
        <v>713</v>
      </c>
      <c r="F2052" s="3" t="s">
        <v>5373</v>
      </c>
      <c r="G2052" s="3" t="s">
        <v>3210</v>
      </c>
    </row>
    <row r="2053" spans="1:7">
      <c r="A2053" s="6">
        <v>42931</v>
      </c>
      <c r="B2053" s="3" t="s">
        <v>2053</v>
      </c>
      <c r="C2053" s="3" t="s">
        <v>14</v>
      </c>
      <c r="D2053" s="8" t="str">
        <f>HYPERLINK("http://npthd.inbcu.com/ViewContent.aspx?filename=NPMR_CBS_2017-07-15_E.MP4$10846$10866","48 Hours")</f>
        <v>48 Hours</v>
      </c>
      <c r="E2053" s="3" t="s">
        <v>1805</v>
      </c>
      <c r="F2053" s="3" t="s">
        <v>3210</v>
      </c>
      <c r="G2053" s="3" t="s">
        <v>3211</v>
      </c>
    </row>
    <row r="2054" spans="1:7">
      <c r="A2054" s="6">
        <v>42931</v>
      </c>
      <c r="B2054" s="3" t="s">
        <v>2053</v>
      </c>
      <c r="C2054" s="3" t="s">
        <v>14</v>
      </c>
      <c r="D2054" s="8" t="str">
        <f>HYPERLINK("http://npthd.inbcu.com/ViewContent.aspx?filename=NPMR_CBS_2017-07-15_E.MP4$10866$10875","CBS News")</f>
        <v>CBS News</v>
      </c>
      <c r="E2054" s="3" t="s">
        <v>2074</v>
      </c>
      <c r="F2054" s="3" t="s">
        <v>3211</v>
      </c>
      <c r="G2054" s="3" t="s">
        <v>2317</v>
      </c>
    </row>
    <row r="2055" spans="1:7">
      <c r="A2055" s="6">
        <v>42931</v>
      </c>
      <c r="B2055" s="3" t="s">
        <v>2053</v>
      </c>
      <c r="C2055" s="3" t="s">
        <v>32</v>
      </c>
      <c r="D2055" s="8" t="str">
        <f>HYPERLINK("http://npthd.inbcu.com/ViewContent.aspx?filename=NPMR_CBS_2017-07-15_E.MP4$10875$10887","LOCAL")</f>
        <v>LOCAL</v>
      </c>
      <c r="E2055" s="3" t="s">
        <v>2057</v>
      </c>
      <c r="F2055" s="3" t="s">
        <v>2317</v>
      </c>
      <c r="G2055" s="3" t="s">
        <v>124</v>
      </c>
    </row>
  </sheetData>
  <mergeCells count="2">
    <mergeCell ref="A1:H1"/>
    <mergeCell ref="A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0"/>
  <sheetViews>
    <sheetView showGridLines="0" topLeftCell="A1717" workbookViewId="0">
      <selection activeCell="A1738" sqref="A1738:G1810"/>
    </sheetView>
  </sheetViews>
  <sheetFormatPr defaultColWidth="30" defaultRowHeight="15"/>
  <cols>
    <col min="1" max="1" width="30" style="4" customWidth="1"/>
  </cols>
  <sheetData>
    <row r="1" spans="1:8" ht="23.25">
      <c r="A1" s="9" t="s">
        <v>0</v>
      </c>
      <c r="B1" s="10" t="s">
        <v>0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1"/>
    </row>
    <row r="4" spans="1:8" s="1" customFormat="1">
      <c r="A4" s="7" t="s">
        <v>1</v>
      </c>
      <c r="B4" s="1" t="s">
        <v>2</v>
      </c>
    </row>
    <row r="5" spans="1:8" s="1" customFormat="1">
      <c r="A5" s="7" t="s">
        <v>3</v>
      </c>
      <c r="B5" s="1" t="s">
        <v>4</v>
      </c>
    </row>
    <row r="7" spans="1:8" s="1" customFormat="1">
      <c r="A7" s="12" t="s">
        <v>5</v>
      </c>
      <c r="B7" s="13"/>
      <c r="C7" s="13"/>
      <c r="D7" s="13"/>
    </row>
    <row r="10" spans="1:8">
      <c r="A10" s="5" t="s">
        <v>6</v>
      </c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</row>
    <row r="11" spans="1:8">
      <c r="A11" s="6">
        <v>42901</v>
      </c>
      <c r="B11" s="3" t="s">
        <v>3494</v>
      </c>
      <c r="C11" s="3" t="s">
        <v>18</v>
      </c>
      <c r="D11" s="8" t="str">
        <f>HYPERLINK("http://npthd.inbcu.com/ViewContent.aspx?filename=NPMR_NBC_2017-06-15_E.MP4$101$588","THE WALL: ryan and stephenie")</f>
        <v>THE WALL: ryan and stephenie</v>
      </c>
      <c r="E11" s="3" t="s">
        <v>1733</v>
      </c>
      <c r="F11" s="3" t="s">
        <v>16</v>
      </c>
      <c r="G11" s="3" t="s">
        <v>3495</v>
      </c>
    </row>
    <row r="12" spans="1:8">
      <c r="A12" s="6">
        <v>42901</v>
      </c>
      <c r="B12" s="3" t="s">
        <v>3494</v>
      </c>
      <c r="C12" s="3" t="s">
        <v>21</v>
      </c>
      <c r="D12" s="8" t="str">
        <f>HYPERLINK("http://npthd.inbcu.com/ViewContent.aspx?filename=NPMR_NBC_2017-06-15_E.MP4$588$738","COMMERCIAL")</f>
        <v>COMMERCIAL</v>
      </c>
      <c r="E12" s="3" t="s">
        <v>28</v>
      </c>
      <c r="F12" s="3" t="s">
        <v>3495</v>
      </c>
      <c r="G12" s="3" t="s">
        <v>3496</v>
      </c>
    </row>
    <row r="13" spans="1:8">
      <c r="A13" s="6">
        <v>42901</v>
      </c>
      <c r="B13" s="3" t="s">
        <v>3494</v>
      </c>
      <c r="C13" s="3" t="s">
        <v>14</v>
      </c>
      <c r="D13" s="8" t="str">
        <f>HYPERLINK("http://npthd.inbcu.com/ViewContent.aspx?filename=NPMR_NBC_2017-06-15_E.MP4$738$768","Hollywood Game Night")</f>
        <v>Hollywood Game Night</v>
      </c>
      <c r="E13" s="3" t="s">
        <v>38</v>
      </c>
      <c r="F13" s="3" t="s">
        <v>3496</v>
      </c>
      <c r="G13" s="3" t="s">
        <v>1605</v>
      </c>
    </row>
    <row r="14" spans="1:8">
      <c r="A14" s="6">
        <v>42901</v>
      </c>
      <c r="B14" s="3" t="s">
        <v>3494</v>
      </c>
      <c r="C14" s="3" t="s">
        <v>14</v>
      </c>
      <c r="D14" s="8" t="str">
        <f>HYPERLINK("http://npthd.inbcu.com/ViewContent.aspx?filename=NPMR_NBC_2017-06-15_E.MP4$768$783","Wall, The")</f>
        <v>Wall, The</v>
      </c>
      <c r="E14" s="3" t="s">
        <v>30</v>
      </c>
      <c r="F14" s="3" t="s">
        <v>1605</v>
      </c>
      <c r="G14" s="3" t="s">
        <v>3497</v>
      </c>
    </row>
    <row r="15" spans="1:8">
      <c r="A15" s="6">
        <v>42901</v>
      </c>
      <c r="B15" s="3" t="s">
        <v>3494</v>
      </c>
      <c r="C15" s="3" t="s">
        <v>18</v>
      </c>
      <c r="D15" s="8" t="str">
        <f>HYPERLINK("http://npthd.inbcu.com/ViewContent.aspx?filename=NPMR_NBC_2017-06-15_E.MP4$783$1447","THE WALL: ryan and stephenie")</f>
        <v>THE WALL: ryan and stephenie</v>
      </c>
      <c r="E15" s="3" t="s">
        <v>3498</v>
      </c>
      <c r="F15" s="3" t="s">
        <v>3497</v>
      </c>
      <c r="G15" s="3" t="s">
        <v>3499</v>
      </c>
    </row>
    <row r="16" spans="1:8">
      <c r="A16" s="6">
        <v>42901</v>
      </c>
      <c r="B16" s="3" t="s">
        <v>3494</v>
      </c>
      <c r="C16" s="3" t="s">
        <v>21</v>
      </c>
      <c r="D16" s="8" t="str">
        <f>HYPERLINK("http://npthd.inbcu.com/ViewContent.aspx?filename=NPMR_NBC_2017-06-15_E.MP4$1447$1642","COMMERCIAL")</f>
        <v>COMMERCIAL</v>
      </c>
      <c r="E16" s="3" t="s">
        <v>388</v>
      </c>
      <c r="F16" s="3" t="s">
        <v>3499</v>
      </c>
      <c r="G16" s="3" t="s">
        <v>3500</v>
      </c>
    </row>
    <row r="17" spans="1:7">
      <c r="A17" s="6">
        <v>42901</v>
      </c>
      <c r="B17" s="3" t="s">
        <v>3494</v>
      </c>
      <c r="C17" s="3" t="s">
        <v>32</v>
      </c>
      <c r="D17" s="8" t="str">
        <f>HYPERLINK("http://npthd.inbcu.com/ViewContent.aspx?filename=NPMR_NBC_2017-06-15_E.MP4$1642$1646","LOCAL")</f>
        <v>LOCAL</v>
      </c>
      <c r="E17" s="3" t="s">
        <v>84</v>
      </c>
      <c r="F17" s="3" t="s">
        <v>3500</v>
      </c>
      <c r="G17" s="3" t="s">
        <v>2893</v>
      </c>
    </row>
    <row r="18" spans="1:7">
      <c r="A18" s="6">
        <v>42901</v>
      </c>
      <c r="B18" s="3" t="s">
        <v>3494</v>
      </c>
      <c r="C18" s="3" t="s">
        <v>14</v>
      </c>
      <c r="D18" s="8" t="str">
        <f>HYPERLINK("http://npthd.inbcu.com/ViewContent.aspx?filename=NPMR_NBC_2017-06-15_E.MP4$1646$1661","American Ninja Warrior")</f>
        <v>American Ninja Warrior</v>
      </c>
      <c r="E18" s="3" t="s">
        <v>30</v>
      </c>
      <c r="F18" s="3" t="s">
        <v>2893</v>
      </c>
      <c r="G18" s="3" t="s">
        <v>3501</v>
      </c>
    </row>
    <row r="19" spans="1:7">
      <c r="A19" s="6">
        <v>42901</v>
      </c>
      <c r="B19" s="3" t="s">
        <v>3494</v>
      </c>
      <c r="C19" s="3" t="s">
        <v>18</v>
      </c>
      <c r="D19" s="8" t="str">
        <f>HYPERLINK("http://npthd.inbcu.com/ViewContent.aspx?filename=NPMR_NBC_2017-06-15_E.MP4$1661$2076","THE WALL: ryan and stephenie")</f>
        <v>THE WALL: ryan and stephenie</v>
      </c>
      <c r="E19" s="3" t="s">
        <v>2146</v>
      </c>
      <c r="F19" s="3" t="s">
        <v>3501</v>
      </c>
      <c r="G19" s="3" t="s">
        <v>3502</v>
      </c>
    </row>
    <row r="20" spans="1:7">
      <c r="A20" s="6">
        <v>42901</v>
      </c>
      <c r="B20" s="3" t="s">
        <v>3494</v>
      </c>
      <c r="C20" s="3" t="s">
        <v>14</v>
      </c>
      <c r="D20" s="8" t="str">
        <f>HYPERLINK("http://npthd.inbcu.com/ViewContent.aspx?filename=NPMR_NBC_2017-06-15_E.MP4$2076$2091","Spartan Race")</f>
        <v>Spartan Race</v>
      </c>
      <c r="E20" s="3" t="s">
        <v>30</v>
      </c>
      <c r="F20" s="3" t="s">
        <v>3502</v>
      </c>
      <c r="G20" s="3" t="s">
        <v>352</v>
      </c>
    </row>
    <row r="21" spans="1:7">
      <c r="A21" s="6">
        <v>42901</v>
      </c>
      <c r="B21" s="3" t="s">
        <v>3494</v>
      </c>
      <c r="C21" s="3" t="s">
        <v>21</v>
      </c>
      <c r="D21" s="8" t="str">
        <f>HYPERLINK("http://npthd.inbcu.com/ViewContent.aspx?filename=NPMR_NBC_2017-06-15_E.MP4$2091$2271","COMMERCIAL")</f>
        <v>COMMERCIAL</v>
      </c>
      <c r="E21" s="3" t="s">
        <v>22</v>
      </c>
      <c r="F21" s="3" t="s">
        <v>352</v>
      </c>
      <c r="G21" s="3" t="s">
        <v>3503</v>
      </c>
    </row>
    <row r="22" spans="1:7">
      <c r="A22" s="6">
        <v>42901</v>
      </c>
      <c r="B22" s="3" t="s">
        <v>3494</v>
      </c>
      <c r="C22" s="3" t="s">
        <v>14</v>
      </c>
      <c r="D22" s="8" t="str">
        <f>HYPERLINK("http://npthd.inbcu.com/ViewContent.aspx?filename=NPMR_NBC_2017-06-15_E.MP4$2271$2286","Americas Got Talent")</f>
        <v>Americas Got Talent</v>
      </c>
      <c r="E22" s="3" t="s">
        <v>30</v>
      </c>
      <c r="F22" s="3" t="s">
        <v>3503</v>
      </c>
      <c r="G22" s="3" t="s">
        <v>3504</v>
      </c>
    </row>
    <row r="23" spans="1:7">
      <c r="A23" s="6">
        <v>42901</v>
      </c>
      <c r="B23" s="3" t="s">
        <v>3494</v>
      </c>
      <c r="C23" s="3" t="s">
        <v>18</v>
      </c>
      <c r="D23" s="8" t="str">
        <f>HYPERLINK("http://npthd.inbcu.com/ViewContent.aspx?filename=NPMR_NBC_2017-06-15_E.MP4$2286$2736","THE WALL: ryan and stephenie")</f>
        <v>THE WALL: ryan and stephenie</v>
      </c>
      <c r="E23" s="3" t="s">
        <v>2904</v>
      </c>
      <c r="F23" s="3" t="s">
        <v>3504</v>
      </c>
      <c r="G23" s="3" t="s">
        <v>3505</v>
      </c>
    </row>
    <row r="24" spans="1:7">
      <c r="A24" s="6">
        <v>42901</v>
      </c>
      <c r="B24" s="3" t="s">
        <v>3494</v>
      </c>
      <c r="C24" s="3" t="s">
        <v>21</v>
      </c>
      <c r="D24" s="8" t="str">
        <f>HYPERLINK("http://npthd.inbcu.com/ViewContent.aspx?filename=NPMR_NBC_2017-06-15_E.MP4$2736$2856","COMMERCIAL")</f>
        <v>COMMERCIAL</v>
      </c>
      <c r="E24" s="3" t="s">
        <v>43</v>
      </c>
      <c r="F24" s="3" t="s">
        <v>3505</v>
      </c>
      <c r="G24" s="3" t="s">
        <v>1056</v>
      </c>
    </row>
    <row r="25" spans="1:7">
      <c r="A25" s="6">
        <v>42901</v>
      </c>
      <c r="B25" s="3" t="s">
        <v>3494</v>
      </c>
      <c r="C25" s="3" t="s">
        <v>14</v>
      </c>
      <c r="D25" s="8" t="str">
        <f>HYPERLINK("http://npthd.inbcu.com/ViewContent.aspx?filename=NPMR_NBC_2017-06-15_E.MP4$2856$2871","World of Dance")</f>
        <v>World of Dance</v>
      </c>
      <c r="E25" s="3" t="s">
        <v>30</v>
      </c>
      <c r="F25" s="3" t="s">
        <v>1056</v>
      </c>
      <c r="G25" s="3" t="s">
        <v>3506</v>
      </c>
    </row>
    <row r="26" spans="1:7">
      <c r="A26" s="6">
        <v>42901</v>
      </c>
      <c r="B26" s="3" t="s">
        <v>3494</v>
      </c>
      <c r="C26" s="3" t="s">
        <v>21</v>
      </c>
      <c r="D26" s="8" t="str">
        <f>HYPERLINK("http://npthd.inbcu.com/ViewContent.aspx?filename=NPMR_NBC_2017-06-15_E.MP4$2871$2962","COMMERCIAL")</f>
        <v>COMMERCIAL</v>
      </c>
      <c r="E26" s="3" t="s">
        <v>77</v>
      </c>
      <c r="F26" s="3" t="s">
        <v>3506</v>
      </c>
      <c r="G26" s="3" t="s">
        <v>3507</v>
      </c>
    </row>
    <row r="27" spans="1:7">
      <c r="A27" s="6">
        <v>42901</v>
      </c>
      <c r="B27" s="3" t="s">
        <v>3494</v>
      </c>
      <c r="C27" s="3" t="s">
        <v>14</v>
      </c>
      <c r="D27" s="8" t="str">
        <f>HYPERLINK("http://npthd.inbcu.com/ViewContent.aspx?filename=NPMR_NBC_2017-06-15_E.MP4$2962$2977","Little Big Shots: Forever Young")</f>
        <v>Little Big Shots: Forever Young</v>
      </c>
      <c r="E27" s="3" t="s">
        <v>30</v>
      </c>
      <c r="F27" s="3" t="s">
        <v>3507</v>
      </c>
      <c r="G27" s="3" t="s">
        <v>3508</v>
      </c>
    </row>
    <row r="28" spans="1:7">
      <c r="A28" s="6">
        <v>42901</v>
      </c>
      <c r="B28" s="3" t="s">
        <v>3494</v>
      </c>
      <c r="C28" s="3" t="s">
        <v>18</v>
      </c>
      <c r="D28" s="8" t="str">
        <f>HYPERLINK("http://npthd.inbcu.com/ViewContent.aspx?filename=NPMR_NBC_2017-06-15_E.MP4$2977$3239","THE WALL: ryan and stephenie")</f>
        <v>THE WALL: ryan and stephenie</v>
      </c>
      <c r="E28" s="3" t="s">
        <v>1362</v>
      </c>
      <c r="F28" s="3" t="s">
        <v>3508</v>
      </c>
      <c r="G28" s="3" t="s">
        <v>3509</v>
      </c>
    </row>
    <row r="29" spans="1:7">
      <c r="A29" s="6">
        <v>42901</v>
      </c>
      <c r="B29" s="3" t="s">
        <v>3494</v>
      </c>
      <c r="C29" s="3" t="s">
        <v>21</v>
      </c>
      <c r="D29" s="8" t="str">
        <f>HYPERLINK("http://npthd.inbcu.com/ViewContent.aspx?filename=NPMR_NBC_2017-06-15_E.MP4$3239$3419","COMMERCIAL")</f>
        <v>COMMERCIAL</v>
      </c>
      <c r="E29" s="3" t="s">
        <v>22</v>
      </c>
      <c r="F29" s="3" t="s">
        <v>3509</v>
      </c>
      <c r="G29" s="3" t="s">
        <v>3510</v>
      </c>
    </row>
    <row r="30" spans="1:7">
      <c r="A30" s="6">
        <v>42901</v>
      </c>
      <c r="B30" s="3" t="s">
        <v>3494</v>
      </c>
      <c r="C30" s="3" t="s">
        <v>14</v>
      </c>
      <c r="D30" s="8" t="str">
        <f>HYPERLINK("http://npthd.inbcu.com/ViewContent.aspx?filename=NPMR_NBC_2017-06-15_E.MP4$3419$3449","Midnight Texas")</f>
        <v>Midnight Texas</v>
      </c>
      <c r="E30" s="3" t="s">
        <v>38</v>
      </c>
      <c r="F30" s="3" t="s">
        <v>3510</v>
      </c>
      <c r="G30" s="3" t="s">
        <v>2340</v>
      </c>
    </row>
    <row r="31" spans="1:7">
      <c r="A31" s="6">
        <v>42901</v>
      </c>
      <c r="B31" s="3" t="s">
        <v>3494</v>
      </c>
      <c r="C31" s="3" t="s">
        <v>18</v>
      </c>
      <c r="D31" s="8" t="str">
        <f>HYPERLINK("http://npthd.inbcu.com/ViewContent.aspx?filename=NPMR_NBC_2017-06-15_E.MP4$3449$3665","THE WALL: ryan and stephenie")</f>
        <v>THE WALL: ryan and stephenie</v>
      </c>
      <c r="E31" s="3" t="s">
        <v>1302</v>
      </c>
      <c r="F31" s="3" t="s">
        <v>2340</v>
      </c>
      <c r="G31" s="3" t="s">
        <v>3511</v>
      </c>
    </row>
    <row r="32" spans="1:7">
      <c r="A32" s="6">
        <v>42901</v>
      </c>
      <c r="B32" s="3" t="s">
        <v>3494</v>
      </c>
      <c r="C32" s="3" t="s">
        <v>14</v>
      </c>
      <c r="D32" s="8" t="str">
        <f>HYPERLINK("http://npthd.inbcu.com/ViewContent.aspx?filename=NPMR_NBC_2017-06-15_E.MP4$3665$3695","Wall, The")</f>
        <v>Wall, The</v>
      </c>
      <c r="E32" s="3" t="s">
        <v>38</v>
      </c>
      <c r="F32" s="3" t="s">
        <v>3511</v>
      </c>
      <c r="G32" s="3" t="s">
        <v>2624</v>
      </c>
    </row>
    <row r="33" spans="1:7">
      <c r="A33" s="6">
        <v>42901</v>
      </c>
      <c r="B33" s="3" t="s">
        <v>3494</v>
      </c>
      <c r="C33" s="3" t="s">
        <v>18</v>
      </c>
      <c r="D33" s="8" t="str">
        <f>HYPERLINK("http://npthd.inbcu.com/ViewContent.aspx?filename=NPMR_NBC_2017-06-15_E.MP4$3695$3701","THE WALL: ryan and stephenie")</f>
        <v>THE WALL: ryan and stephenie</v>
      </c>
      <c r="E33" s="3" t="s">
        <v>15</v>
      </c>
      <c r="F33" s="3" t="s">
        <v>2624</v>
      </c>
      <c r="G33" s="3" t="s">
        <v>242</v>
      </c>
    </row>
    <row r="34" spans="1:7">
      <c r="A34" s="6">
        <v>42901</v>
      </c>
      <c r="B34" s="3" t="s">
        <v>3494</v>
      </c>
      <c r="C34" s="3" t="s">
        <v>18</v>
      </c>
      <c r="D34" s="8" t="str">
        <f>HYPERLINK("http://npthd.inbcu.com/ViewContent.aspx?filename=NPMR_NBC_2017-06-15_E.MP4$3701$4214","THE WALL: noah and lisa")</f>
        <v>THE WALL: noah and lisa</v>
      </c>
      <c r="E34" s="3" t="s">
        <v>1488</v>
      </c>
      <c r="F34" s="3" t="s">
        <v>242</v>
      </c>
      <c r="G34" s="3" t="s">
        <v>3512</v>
      </c>
    </row>
    <row r="35" spans="1:7">
      <c r="A35" s="6">
        <v>42901</v>
      </c>
      <c r="B35" s="3" t="s">
        <v>3494</v>
      </c>
      <c r="C35" s="3" t="s">
        <v>21</v>
      </c>
      <c r="D35" s="8" t="str">
        <f>HYPERLINK("http://npthd.inbcu.com/ViewContent.aspx?filename=NPMR_NBC_2017-06-15_E.MP4$4214$4364","COMMERCIAL")</f>
        <v>COMMERCIAL</v>
      </c>
      <c r="E35" s="3" t="s">
        <v>28</v>
      </c>
      <c r="F35" s="3" t="s">
        <v>3512</v>
      </c>
      <c r="G35" s="3" t="s">
        <v>3513</v>
      </c>
    </row>
    <row r="36" spans="1:7">
      <c r="A36" s="6">
        <v>42901</v>
      </c>
      <c r="B36" s="3" t="s">
        <v>3494</v>
      </c>
      <c r="C36" s="3" t="s">
        <v>14</v>
      </c>
      <c r="D36" s="8" t="str">
        <f>HYPERLINK("http://npthd.inbcu.com/ViewContent.aspx?filename=NPMR_NBC_2017-06-15_E.MP4$4364$4379","Hollywood Game Night")</f>
        <v>Hollywood Game Night</v>
      </c>
      <c r="E36" s="3" t="s">
        <v>30</v>
      </c>
      <c r="F36" s="3" t="s">
        <v>3513</v>
      </c>
      <c r="G36" s="3" t="s">
        <v>3514</v>
      </c>
    </row>
    <row r="37" spans="1:7">
      <c r="A37" s="6">
        <v>42901</v>
      </c>
      <c r="B37" s="3" t="s">
        <v>3494</v>
      </c>
      <c r="C37" s="3" t="s">
        <v>14</v>
      </c>
      <c r="D37" s="8" t="str">
        <f>HYPERLINK("http://npthd.inbcu.com/ViewContent.aspx?filename=NPMR_NBC_2017-06-15_E.MP4$4379$4409","Night Shift, The")</f>
        <v>Night Shift, The</v>
      </c>
      <c r="E37" s="3" t="s">
        <v>38</v>
      </c>
      <c r="F37" s="3" t="s">
        <v>3514</v>
      </c>
      <c r="G37" s="3" t="s">
        <v>3515</v>
      </c>
    </row>
    <row r="38" spans="1:7">
      <c r="A38" s="6">
        <v>42901</v>
      </c>
      <c r="B38" s="3" t="s">
        <v>3494</v>
      </c>
      <c r="C38" s="3" t="s">
        <v>18</v>
      </c>
      <c r="D38" s="8" t="str">
        <f>HYPERLINK("http://npthd.inbcu.com/ViewContent.aspx?filename=NPMR_NBC_2017-06-15_E.MP4$4409$5068","THE WALL: noah and lisa")</f>
        <v>THE WALL: noah and lisa</v>
      </c>
      <c r="E38" s="3" t="s">
        <v>1715</v>
      </c>
      <c r="F38" s="3" t="s">
        <v>3515</v>
      </c>
      <c r="G38" s="3" t="s">
        <v>3516</v>
      </c>
    </row>
    <row r="39" spans="1:7">
      <c r="A39" s="6">
        <v>42901</v>
      </c>
      <c r="B39" s="3" t="s">
        <v>3494</v>
      </c>
      <c r="C39" s="3" t="s">
        <v>32</v>
      </c>
      <c r="D39" s="8" t="str">
        <f>HYPERLINK("http://npthd.inbcu.com/ViewContent.aspx?filename=NPMR_NBC_2017-06-15_E.MP4$5068$5268","LOCAL")</f>
        <v>LOCAL</v>
      </c>
      <c r="E39" s="3" t="s">
        <v>3517</v>
      </c>
      <c r="F39" s="3" t="s">
        <v>3516</v>
      </c>
      <c r="G39" s="3" t="s">
        <v>3427</v>
      </c>
    </row>
    <row r="40" spans="1:7">
      <c r="A40" s="6">
        <v>42901</v>
      </c>
      <c r="B40" s="3" t="s">
        <v>3494</v>
      </c>
      <c r="C40" s="3" t="s">
        <v>14</v>
      </c>
      <c r="D40" s="8" t="str">
        <f>HYPERLINK("http://npthd.inbcu.com/ViewContent.aspx?filename=NPMR_NBC_2017-06-15_E.MP4$5268$5283","Today")</f>
        <v>Today</v>
      </c>
      <c r="E40" s="3" t="s">
        <v>30</v>
      </c>
      <c r="F40" s="3" t="s">
        <v>3427</v>
      </c>
      <c r="G40" s="3" t="s">
        <v>3518</v>
      </c>
    </row>
    <row r="41" spans="1:7">
      <c r="A41" s="6">
        <v>42901</v>
      </c>
      <c r="B41" s="3" t="s">
        <v>3494</v>
      </c>
      <c r="C41" s="3" t="s">
        <v>18</v>
      </c>
      <c r="D41" s="8" t="str">
        <f>HYPERLINK("http://npthd.inbcu.com/ViewContent.aspx?filename=NPMR_NBC_2017-06-15_E.MP4$5283$5710","THE WALL: noah and lisa")</f>
        <v>THE WALL: noah and lisa</v>
      </c>
      <c r="E41" s="3" t="s">
        <v>1709</v>
      </c>
      <c r="F41" s="3" t="s">
        <v>3518</v>
      </c>
      <c r="G41" s="3" t="s">
        <v>3519</v>
      </c>
    </row>
    <row r="42" spans="1:7">
      <c r="A42" s="6">
        <v>42901</v>
      </c>
      <c r="B42" s="3" t="s">
        <v>3494</v>
      </c>
      <c r="C42" s="3" t="s">
        <v>14</v>
      </c>
      <c r="D42" s="8" t="str">
        <f>HYPERLINK("http://npthd.inbcu.com/ViewContent.aspx?filename=NPMR_NBC_2017-06-15_E.MP4$5710$5725","American Ninja Warrior")</f>
        <v>American Ninja Warrior</v>
      </c>
      <c r="E42" s="3" t="s">
        <v>30</v>
      </c>
      <c r="F42" s="3" t="s">
        <v>3519</v>
      </c>
      <c r="G42" s="3" t="s">
        <v>3520</v>
      </c>
    </row>
    <row r="43" spans="1:7">
      <c r="A43" s="6">
        <v>42901</v>
      </c>
      <c r="B43" s="3" t="s">
        <v>3494</v>
      </c>
      <c r="C43" s="3" t="s">
        <v>21</v>
      </c>
      <c r="D43" s="8" t="str">
        <f>HYPERLINK("http://npthd.inbcu.com/ViewContent.aspx?filename=NPMR_NBC_2017-06-15_E.MP4$5725$5905","COMMERCIAL")</f>
        <v>COMMERCIAL</v>
      </c>
      <c r="E43" s="3" t="s">
        <v>22</v>
      </c>
      <c r="F43" s="3" t="s">
        <v>3520</v>
      </c>
      <c r="G43" s="3" t="s">
        <v>3521</v>
      </c>
    </row>
    <row r="44" spans="1:7">
      <c r="A44" s="6">
        <v>42901</v>
      </c>
      <c r="B44" s="3" t="s">
        <v>3494</v>
      </c>
      <c r="C44" s="3" t="s">
        <v>14</v>
      </c>
      <c r="D44" s="8" t="str">
        <f>HYPERLINK("http://npthd.inbcu.com/ViewContent.aspx?filename=NPMR_NBC_2017-06-15_E.MP4$5905$5920","Americas Got Talent")</f>
        <v>Americas Got Talent</v>
      </c>
      <c r="E44" s="3" t="s">
        <v>30</v>
      </c>
      <c r="F44" s="3" t="s">
        <v>3521</v>
      </c>
      <c r="G44" s="3" t="s">
        <v>3522</v>
      </c>
    </row>
    <row r="45" spans="1:7">
      <c r="A45" s="6">
        <v>42901</v>
      </c>
      <c r="B45" s="3" t="s">
        <v>3494</v>
      </c>
      <c r="C45" s="3" t="s">
        <v>18</v>
      </c>
      <c r="D45" s="8" t="str">
        <f>HYPERLINK("http://npthd.inbcu.com/ViewContent.aspx?filename=NPMR_NBC_2017-06-15_E.MP4$5920$6344","THE WALL: noah and lisa")</f>
        <v>THE WALL: noah and lisa</v>
      </c>
      <c r="E45" s="3" t="s">
        <v>1818</v>
      </c>
      <c r="F45" s="3" t="s">
        <v>3522</v>
      </c>
      <c r="G45" s="3" t="s">
        <v>2781</v>
      </c>
    </row>
    <row r="46" spans="1:7">
      <c r="A46" s="6">
        <v>42901</v>
      </c>
      <c r="B46" s="3" t="s">
        <v>3494</v>
      </c>
      <c r="C46" s="3" t="s">
        <v>21</v>
      </c>
      <c r="D46" s="8" t="str">
        <f>HYPERLINK("http://npthd.inbcu.com/ViewContent.aspx?filename=NPMR_NBC_2017-06-15_E.MP4$6344$6464","COMMERCIAL")</f>
        <v>COMMERCIAL</v>
      </c>
      <c r="E46" s="3" t="s">
        <v>43</v>
      </c>
      <c r="F46" s="3" t="s">
        <v>2781</v>
      </c>
      <c r="G46" s="3" t="s">
        <v>3523</v>
      </c>
    </row>
    <row r="47" spans="1:7">
      <c r="A47" s="6">
        <v>42901</v>
      </c>
      <c r="B47" s="3" t="s">
        <v>3494</v>
      </c>
      <c r="C47" s="3" t="s">
        <v>14</v>
      </c>
      <c r="D47" s="8" t="str">
        <f>HYPERLINK("http://npthd.inbcu.com/ViewContent.aspx?filename=NPMR_NBC_2017-06-15_E.MP4$6464$6479","World of Dance")</f>
        <v>World of Dance</v>
      </c>
      <c r="E47" s="3" t="s">
        <v>30</v>
      </c>
      <c r="F47" s="3" t="s">
        <v>3523</v>
      </c>
      <c r="G47" s="3" t="s">
        <v>3524</v>
      </c>
    </row>
    <row r="48" spans="1:7">
      <c r="A48" s="6">
        <v>42901</v>
      </c>
      <c r="B48" s="3" t="s">
        <v>3494</v>
      </c>
      <c r="C48" s="3" t="s">
        <v>32</v>
      </c>
      <c r="D48" s="8" t="str">
        <f>HYPERLINK("http://npthd.inbcu.com/ViewContent.aspx?filename=NPMR_NBC_2017-06-15_E.MP4$6479$6569","LOCAL")</f>
        <v>LOCAL</v>
      </c>
      <c r="E48" s="3" t="s">
        <v>46</v>
      </c>
      <c r="F48" s="3" t="s">
        <v>3524</v>
      </c>
      <c r="G48" s="3" t="s">
        <v>3525</v>
      </c>
    </row>
    <row r="49" spans="1:7">
      <c r="A49" s="6">
        <v>42901</v>
      </c>
      <c r="B49" s="3" t="s">
        <v>3494</v>
      </c>
      <c r="C49" s="3" t="s">
        <v>14</v>
      </c>
      <c r="D49" s="8" t="str">
        <f>HYPERLINK("http://npthd.inbcu.com/ViewContent.aspx?filename=NPMR_NBC_2017-06-15_E.MP4$6569$6579","Tonight Show starring Jimmy Fallon, The")</f>
        <v>Tonight Show starring Jimmy Fallon, The</v>
      </c>
      <c r="E49" s="3" t="s">
        <v>197</v>
      </c>
      <c r="F49" s="3" t="s">
        <v>3525</v>
      </c>
      <c r="G49" s="3" t="s">
        <v>3526</v>
      </c>
    </row>
    <row r="50" spans="1:7">
      <c r="A50" s="6">
        <v>42901</v>
      </c>
      <c r="B50" s="3" t="s">
        <v>3494</v>
      </c>
      <c r="C50" s="3" t="s">
        <v>14</v>
      </c>
      <c r="D50" s="8" t="str">
        <f>HYPERLINK("http://npthd.inbcu.com/ViewContent.aspx?filename=NPMR_NBC_2017-06-15_E.MP4$6579$6584","Little Big Shots: Forever Young")</f>
        <v>Little Big Shots: Forever Young</v>
      </c>
      <c r="E50" s="3" t="s">
        <v>54</v>
      </c>
      <c r="F50" s="3" t="s">
        <v>3526</v>
      </c>
      <c r="G50" s="3" t="s">
        <v>3527</v>
      </c>
    </row>
    <row r="51" spans="1:7">
      <c r="A51" s="6">
        <v>42901</v>
      </c>
      <c r="B51" s="3" t="s">
        <v>3494</v>
      </c>
      <c r="C51" s="3" t="s">
        <v>18</v>
      </c>
      <c r="D51" s="8" t="str">
        <f>HYPERLINK("http://npthd.inbcu.com/ViewContent.aspx?filename=NPMR_NBC_2017-06-15_E.MP4$6584$6838","THE WALL: noah and lisa")</f>
        <v>THE WALL: noah and lisa</v>
      </c>
      <c r="E51" s="3" t="s">
        <v>3528</v>
      </c>
      <c r="F51" s="3" t="s">
        <v>3527</v>
      </c>
      <c r="G51" s="3" t="s">
        <v>3529</v>
      </c>
    </row>
    <row r="52" spans="1:7">
      <c r="A52" s="6">
        <v>42901</v>
      </c>
      <c r="B52" s="3" t="s">
        <v>3494</v>
      </c>
      <c r="C52" s="3" t="s">
        <v>21</v>
      </c>
      <c r="D52" s="8" t="str">
        <f>HYPERLINK("http://npthd.inbcu.com/ViewContent.aspx?filename=NPMR_NBC_2017-06-15_E.MP4$6838$7018","COMMERCIAL")</f>
        <v>COMMERCIAL</v>
      </c>
      <c r="E52" s="3" t="s">
        <v>22</v>
      </c>
      <c r="F52" s="3" t="s">
        <v>3529</v>
      </c>
      <c r="G52" s="3" t="s">
        <v>3530</v>
      </c>
    </row>
    <row r="53" spans="1:7">
      <c r="A53" s="6">
        <v>42901</v>
      </c>
      <c r="B53" s="3" t="s">
        <v>3494</v>
      </c>
      <c r="C53" s="3" t="s">
        <v>14</v>
      </c>
      <c r="D53" s="8" t="str">
        <f>HYPERLINK("http://npthd.inbcu.com/ViewContent.aspx?filename=NPMR_NBC_2017-06-15_E.MP4$7018$7048","Midnight Texas")</f>
        <v>Midnight Texas</v>
      </c>
      <c r="E53" s="3" t="s">
        <v>38</v>
      </c>
      <c r="F53" s="3" t="s">
        <v>3530</v>
      </c>
      <c r="G53" s="3" t="s">
        <v>1863</v>
      </c>
    </row>
    <row r="54" spans="1:7">
      <c r="A54" s="6">
        <v>42901</v>
      </c>
      <c r="B54" s="3" t="s">
        <v>3494</v>
      </c>
      <c r="C54" s="3" t="s">
        <v>18</v>
      </c>
      <c r="D54" s="8" t="str">
        <f>HYPERLINK("http://npthd.inbcu.com/ViewContent.aspx?filename=NPMR_NBC_2017-06-15_E.MP4$7048$7264","THE WALL: noah and lisa")</f>
        <v>THE WALL: noah and lisa</v>
      </c>
      <c r="E54" s="3" t="s">
        <v>1302</v>
      </c>
      <c r="F54" s="3" t="s">
        <v>1863</v>
      </c>
      <c r="G54" s="3" t="s">
        <v>1366</v>
      </c>
    </row>
    <row r="55" spans="1:7">
      <c r="A55" s="6">
        <v>42901</v>
      </c>
      <c r="B55" s="3" t="s">
        <v>3494</v>
      </c>
      <c r="C55" s="3" t="s">
        <v>14</v>
      </c>
      <c r="D55" s="8" t="str">
        <f>HYPERLINK("http://npthd.inbcu.com/ViewContent.aspx?filename=NPMR_NBC_2017-06-15_E.MP4$7264$7294","Wall, The")</f>
        <v>Wall, The</v>
      </c>
      <c r="E55" s="3" t="s">
        <v>38</v>
      </c>
      <c r="F55" s="3" t="s">
        <v>1366</v>
      </c>
      <c r="G55" s="3" t="s">
        <v>3531</v>
      </c>
    </row>
    <row r="56" spans="1:7">
      <c r="A56" s="6">
        <v>42901</v>
      </c>
      <c r="B56" s="3" t="s">
        <v>3494</v>
      </c>
      <c r="C56" s="3" t="s">
        <v>18</v>
      </c>
      <c r="D56" s="8" t="str">
        <f>HYPERLINK("http://npthd.inbcu.com/ViewContent.aspx?filename=NPMR_NBC_2017-06-15_E.MP4$7294$7300","THE WALL: noah and lisa")</f>
        <v>THE WALL: noah and lisa</v>
      </c>
      <c r="E56" s="3" t="s">
        <v>15</v>
      </c>
      <c r="F56" s="3" t="s">
        <v>3531</v>
      </c>
      <c r="G56" s="3" t="s">
        <v>1008</v>
      </c>
    </row>
    <row r="57" spans="1:7">
      <c r="A57" s="6">
        <v>42901</v>
      </c>
      <c r="B57" s="3" t="s">
        <v>3494</v>
      </c>
      <c r="C57" s="3" t="s">
        <v>18</v>
      </c>
      <c r="D57" s="8" t="str">
        <f>HYPERLINK("http://npthd.inbcu.com/ViewContent.aspx?filename=NPMR_NBC_2017-06-15_E.MP4$7300$7560","LAW &amp; ORDER: SPECIAL VICTIMS UNIT: the newsroom")</f>
        <v>LAW &amp; ORDER: SPECIAL VICTIMS UNIT: the newsroom</v>
      </c>
      <c r="E57" s="3" t="s">
        <v>3532</v>
      </c>
      <c r="F57" s="3" t="s">
        <v>1008</v>
      </c>
      <c r="G57" s="3" t="s">
        <v>3533</v>
      </c>
    </row>
    <row r="58" spans="1:7">
      <c r="A58" s="6">
        <v>42901</v>
      </c>
      <c r="B58" s="3" t="s">
        <v>3494</v>
      </c>
      <c r="C58" s="3" t="s">
        <v>21</v>
      </c>
      <c r="D58" s="8" t="str">
        <f>HYPERLINK("http://npthd.inbcu.com/ViewContent.aspx?filename=NPMR_NBC_2017-06-15_E.MP4$7560$7710","COMMERCIAL")</f>
        <v>COMMERCIAL</v>
      </c>
      <c r="E58" s="3" t="s">
        <v>28</v>
      </c>
      <c r="F58" s="3" t="s">
        <v>3533</v>
      </c>
      <c r="G58" s="3" t="s">
        <v>3534</v>
      </c>
    </row>
    <row r="59" spans="1:7">
      <c r="A59" s="6">
        <v>42901</v>
      </c>
      <c r="B59" s="3" t="s">
        <v>3494</v>
      </c>
      <c r="C59" s="3" t="s">
        <v>14</v>
      </c>
      <c r="D59" s="8" t="str">
        <f>HYPERLINK("http://npthd.inbcu.com/ViewContent.aspx?filename=NPMR_NBC_2017-06-15_E.MP4$7710$7725","Dateline NBC")</f>
        <v>Dateline NBC</v>
      </c>
      <c r="E59" s="3" t="s">
        <v>30</v>
      </c>
      <c r="F59" s="3" t="s">
        <v>3534</v>
      </c>
      <c r="G59" s="3" t="s">
        <v>3535</v>
      </c>
    </row>
    <row r="60" spans="1:7">
      <c r="A60" s="6">
        <v>42901</v>
      </c>
      <c r="B60" s="3" t="s">
        <v>3494</v>
      </c>
      <c r="C60" s="3" t="s">
        <v>32</v>
      </c>
      <c r="D60" s="8" t="str">
        <f>HYPERLINK("http://npthd.inbcu.com/ViewContent.aspx?filename=NPMR_NBC_2017-06-15_E.MP4$7725$7757","LOCAL")</f>
        <v>LOCAL</v>
      </c>
      <c r="E60" s="3" t="s">
        <v>213</v>
      </c>
      <c r="F60" s="3" t="s">
        <v>3535</v>
      </c>
      <c r="G60" s="3" t="s">
        <v>1368</v>
      </c>
    </row>
    <row r="61" spans="1:7">
      <c r="A61" s="6">
        <v>42901</v>
      </c>
      <c r="B61" s="3" t="s">
        <v>3494</v>
      </c>
      <c r="C61" s="3" t="s">
        <v>18</v>
      </c>
      <c r="D61" s="8" t="str">
        <f>HYPERLINK("http://npthd.inbcu.com/ViewContent.aspx?filename=NPMR_NBC_2017-06-15_E.MP4$7757$8170","LAW &amp; ORDER: SPECIAL VICTIMS UNIT: the newsroom")</f>
        <v>LAW &amp; ORDER: SPECIAL VICTIMS UNIT: the newsroom</v>
      </c>
      <c r="E61" s="3" t="s">
        <v>2603</v>
      </c>
      <c r="F61" s="3" t="s">
        <v>1368</v>
      </c>
      <c r="G61" s="3" t="s">
        <v>755</v>
      </c>
    </row>
    <row r="62" spans="1:7">
      <c r="A62" s="6">
        <v>42901</v>
      </c>
      <c r="B62" s="3" t="s">
        <v>3494</v>
      </c>
      <c r="C62" s="3" t="s">
        <v>21</v>
      </c>
      <c r="D62" s="8" t="str">
        <f>HYPERLINK("http://npthd.inbcu.com/ViewContent.aspx?filename=NPMR_NBC_2017-06-15_E.MP4$8170$8351","COMMERCIAL")</f>
        <v>COMMERCIAL</v>
      </c>
      <c r="E62" s="3" t="s">
        <v>108</v>
      </c>
      <c r="F62" s="3" t="s">
        <v>755</v>
      </c>
      <c r="G62" s="3" t="s">
        <v>3536</v>
      </c>
    </row>
    <row r="63" spans="1:7">
      <c r="A63" s="6">
        <v>42901</v>
      </c>
      <c r="B63" s="3" t="s">
        <v>3494</v>
      </c>
      <c r="C63" s="3" t="s">
        <v>14</v>
      </c>
      <c r="D63" s="8" t="str">
        <f>HYPERLINK("http://npthd.inbcu.com/ViewContent.aspx?filename=NPMR_NBC_2017-06-15_E.MP4$8351$8381","Night Shift, The")</f>
        <v>Night Shift, The</v>
      </c>
      <c r="E63" s="3" t="s">
        <v>38</v>
      </c>
      <c r="F63" s="3" t="s">
        <v>3536</v>
      </c>
      <c r="G63" s="3" t="s">
        <v>3537</v>
      </c>
    </row>
    <row r="64" spans="1:7">
      <c r="A64" s="6">
        <v>42901</v>
      </c>
      <c r="B64" s="3" t="s">
        <v>3494</v>
      </c>
      <c r="C64" s="3" t="s">
        <v>18</v>
      </c>
      <c r="D64" s="8" t="str">
        <f>HYPERLINK("http://npthd.inbcu.com/ViewContent.aspx?filename=NPMR_NBC_2017-06-15_E.MP4$8381$8929","LAW &amp; ORDER: SPECIAL VICTIMS UNIT: the newsroom")</f>
        <v>LAW &amp; ORDER: SPECIAL VICTIMS UNIT: the newsroom</v>
      </c>
      <c r="E64" s="3" t="s">
        <v>287</v>
      </c>
      <c r="F64" s="3" t="s">
        <v>3537</v>
      </c>
      <c r="G64" s="3" t="s">
        <v>3538</v>
      </c>
    </row>
    <row r="65" spans="1:7">
      <c r="A65" s="6">
        <v>42901</v>
      </c>
      <c r="B65" s="3" t="s">
        <v>3494</v>
      </c>
      <c r="C65" s="3" t="s">
        <v>21</v>
      </c>
      <c r="D65" s="8" t="str">
        <f>HYPERLINK("http://npthd.inbcu.com/ViewContent.aspx?filename=NPMR_NBC_2017-06-15_E.MP4$8929$9019","COMMERCIAL")</f>
        <v>COMMERCIAL</v>
      </c>
      <c r="E65" s="3" t="s">
        <v>46</v>
      </c>
      <c r="F65" s="3" t="s">
        <v>3538</v>
      </c>
      <c r="G65" s="3" t="s">
        <v>3539</v>
      </c>
    </row>
    <row r="66" spans="1:7">
      <c r="A66" s="6">
        <v>42901</v>
      </c>
      <c r="B66" s="3" t="s">
        <v>3494</v>
      </c>
      <c r="C66" s="3" t="s">
        <v>14</v>
      </c>
      <c r="D66" s="8" t="str">
        <f>HYPERLINK("http://npthd.inbcu.com/ViewContent.aspx?filename=NPMR_NBC_2017-06-15_E.MP4$9019$9024","Late Night with Seth Meyers")</f>
        <v>Late Night with Seth Meyers</v>
      </c>
      <c r="E66" s="3" t="s">
        <v>54</v>
      </c>
      <c r="F66" s="3" t="s">
        <v>3539</v>
      </c>
      <c r="G66" s="3" t="s">
        <v>3540</v>
      </c>
    </row>
    <row r="67" spans="1:7">
      <c r="A67" s="6">
        <v>42901</v>
      </c>
      <c r="B67" s="3" t="s">
        <v>3494</v>
      </c>
      <c r="C67" s="3" t="s">
        <v>32</v>
      </c>
      <c r="D67" s="8" t="str">
        <f>HYPERLINK("http://npthd.inbcu.com/ViewContent.aspx?filename=NPMR_NBC_2017-06-15_E.MP4$9024$9159","LOCAL")</f>
        <v>LOCAL</v>
      </c>
      <c r="E67" s="3" t="s">
        <v>459</v>
      </c>
      <c r="F67" s="3" t="s">
        <v>3540</v>
      </c>
      <c r="G67" s="3" t="s">
        <v>3541</v>
      </c>
    </row>
    <row r="68" spans="1:7">
      <c r="A68" s="6">
        <v>42901</v>
      </c>
      <c r="B68" s="3" t="s">
        <v>3494</v>
      </c>
      <c r="C68" s="3" t="s">
        <v>14</v>
      </c>
      <c r="D68" s="8" t="str">
        <f>HYPERLINK("http://npthd.inbcu.com/ViewContent.aspx?filename=NPMR_NBC_2017-06-15_E.MP4$9159$9174","American Ninja Warrior")</f>
        <v>American Ninja Warrior</v>
      </c>
      <c r="E68" s="3" t="s">
        <v>30</v>
      </c>
      <c r="F68" s="3" t="s">
        <v>3541</v>
      </c>
      <c r="G68" s="3" t="s">
        <v>3542</v>
      </c>
    </row>
    <row r="69" spans="1:7">
      <c r="A69" s="6">
        <v>42901</v>
      </c>
      <c r="B69" s="3" t="s">
        <v>3494</v>
      </c>
      <c r="C69" s="3" t="s">
        <v>18</v>
      </c>
      <c r="D69" s="8" t="str">
        <f>HYPERLINK("http://npthd.inbcu.com/ViewContent.aspx?filename=NPMR_NBC_2017-06-15_E.MP4$9174$9575","LAW &amp; ORDER: SPECIAL VICTIMS UNIT: the newsroom")</f>
        <v>LAW &amp; ORDER: SPECIAL VICTIMS UNIT: the newsroom</v>
      </c>
      <c r="E69" s="3" t="s">
        <v>421</v>
      </c>
      <c r="F69" s="3" t="s">
        <v>3542</v>
      </c>
      <c r="G69" s="3" t="s">
        <v>3543</v>
      </c>
    </row>
    <row r="70" spans="1:7">
      <c r="A70" s="6">
        <v>42901</v>
      </c>
      <c r="B70" s="3" t="s">
        <v>3494</v>
      </c>
      <c r="C70" s="3" t="s">
        <v>21</v>
      </c>
      <c r="D70" s="8" t="str">
        <f>HYPERLINK("http://npthd.inbcu.com/ViewContent.aspx?filename=NPMR_NBC_2017-06-15_E.MP4$9575$9755","COMMERCIAL")</f>
        <v>COMMERCIAL</v>
      </c>
      <c r="E70" s="3" t="s">
        <v>22</v>
      </c>
      <c r="F70" s="3" t="s">
        <v>3543</v>
      </c>
      <c r="G70" s="3" t="s">
        <v>3544</v>
      </c>
    </row>
    <row r="71" spans="1:7">
      <c r="A71" s="6">
        <v>42901</v>
      </c>
      <c r="B71" s="3" t="s">
        <v>3494</v>
      </c>
      <c r="C71" s="3" t="s">
        <v>14</v>
      </c>
      <c r="D71" s="8" t="str">
        <f>HYPERLINK("http://npthd.inbcu.com/ViewContent.aspx?filename=NPMR_NBC_2017-06-15_E.MP4$9755$9785","Midnight Texas")</f>
        <v>Midnight Texas</v>
      </c>
      <c r="E71" s="3" t="s">
        <v>38</v>
      </c>
      <c r="F71" s="3" t="s">
        <v>3544</v>
      </c>
      <c r="G71" s="3" t="s">
        <v>3545</v>
      </c>
    </row>
    <row r="72" spans="1:7">
      <c r="A72" s="6">
        <v>42901</v>
      </c>
      <c r="B72" s="3" t="s">
        <v>3494</v>
      </c>
      <c r="C72" s="3" t="s">
        <v>18</v>
      </c>
      <c r="D72" s="8" t="str">
        <f>HYPERLINK("http://npthd.inbcu.com/ViewContent.aspx?filename=NPMR_NBC_2017-06-15_E.MP4$9785$10080","LAW &amp; ORDER: SPECIAL VICTIMS UNIT: the newsroom")</f>
        <v>LAW &amp; ORDER: SPECIAL VICTIMS UNIT: the newsroom</v>
      </c>
      <c r="E72" s="3" t="s">
        <v>1694</v>
      </c>
      <c r="F72" s="3" t="s">
        <v>3545</v>
      </c>
      <c r="G72" s="3" t="s">
        <v>3546</v>
      </c>
    </row>
    <row r="73" spans="1:7">
      <c r="A73" s="6">
        <v>42901</v>
      </c>
      <c r="B73" s="3" t="s">
        <v>3494</v>
      </c>
      <c r="C73" s="3" t="s">
        <v>21</v>
      </c>
      <c r="D73" s="8" t="str">
        <f>HYPERLINK("http://npthd.inbcu.com/ViewContent.aspx?filename=NPMR_NBC_2017-06-15_E.MP4$10080$10231","COMMERCIAL")</f>
        <v>COMMERCIAL</v>
      </c>
      <c r="E73" s="3" t="s">
        <v>91</v>
      </c>
      <c r="F73" s="3" t="s">
        <v>3546</v>
      </c>
      <c r="G73" s="3" t="s">
        <v>3547</v>
      </c>
    </row>
    <row r="74" spans="1:7">
      <c r="A74" s="6">
        <v>42901</v>
      </c>
      <c r="B74" s="3" t="s">
        <v>3494</v>
      </c>
      <c r="C74" s="3" t="s">
        <v>32</v>
      </c>
      <c r="D74" s="8" t="str">
        <f>HYPERLINK("http://npthd.inbcu.com/ViewContent.aspx?filename=NPMR_NBC_2017-06-15_E.MP4$10231$10246","LOCAL")</f>
        <v>LOCAL</v>
      </c>
      <c r="E74" s="3" t="s">
        <v>30</v>
      </c>
      <c r="F74" s="3" t="s">
        <v>3547</v>
      </c>
      <c r="G74" s="3" t="s">
        <v>3548</v>
      </c>
    </row>
    <row r="75" spans="1:7">
      <c r="A75" s="6">
        <v>42901</v>
      </c>
      <c r="B75" s="3" t="s">
        <v>3494</v>
      </c>
      <c r="C75" s="3" t="s">
        <v>14</v>
      </c>
      <c r="D75" s="8" t="str">
        <f>HYPERLINK("http://npthd.inbcu.com/ViewContent.aspx?filename=NPMR_NBC_2017-06-15_E.MP4$10246$10256","Tonight Show starring Jimmy Fallon, The")</f>
        <v>Tonight Show starring Jimmy Fallon, The</v>
      </c>
      <c r="E75" s="3" t="s">
        <v>197</v>
      </c>
      <c r="F75" s="3" t="s">
        <v>3548</v>
      </c>
      <c r="G75" s="3" t="s">
        <v>3549</v>
      </c>
    </row>
    <row r="76" spans="1:7">
      <c r="A76" s="6">
        <v>42901</v>
      </c>
      <c r="B76" s="3" t="s">
        <v>3494</v>
      </c>
      <c r="C76" s="3" t="s">
        <v>14</v>
      </c>
      <c r="D76" s="8" t="str">
        <f>HYPERLINK("http://npthd.inbcu.com/ViewContent.aspx?filename=NPMR_NBC_2017-06-15_E.MP4$10256$10261","American Ninja Warrior")</f>
        <v>American Ninja Warrior</v>
      </c>
      <c r="E76" s="3" t="s">
        <v>54</v>
      </c>
      <c r="F76" s="3" t="s">
        <v>3549</v>
      </c>
      <c r="G76" s="3" t="s">
        <v>3550</v>
      </c>
    </row>
    <row r="77" spans="1:7">
      <c r="A77" s="6">
        <v>42901</v>
      </c>
      <c r="B77" s="3" t="s">
        <v>3494</v>
      </c>
      <c r="C77" s="3" t="s">
        <v>18</v>
      </c>
      <c r="D77" s="8" t="str">
        <f>HYPERLINK("http://npthd.inbcu.com/ViewContent.aspx?filename=NPMR_NBC_2017-06-15_E.MP4$10261$10835","LAW &amp; ORDER: SPECIAL VICTIMS UNIT: the newsroom")</f>
        <v>LAW &amp; ORDER: SPECIAL VICTIMS UNIT: the newsroom</v>
      </c>
      <c r="E77" s="3" t="s">
        <v>3551</v>
      </c>
      <c r="F77" s="3" t="s">
        <v>3550</v>
      </c>
      <c r="G77" s="3" t="s">
        <v>3552</v>
      </c>
    </row>
    <row r="78" spans="1:7">
      <c r="A78" s="6">
        <v>42901</v>
      </c>
      <c r="B78" s="3" t="s">
        <v>3494</v>
      </c>
      <c r="C78" s="3" t="s">
        <v>14</v>
      </c>
      <c r="D78" s="8" t="str">
        <f>HYPERLINK("http://npthd.inbcu.com/ViewContent.aspx?filename=NPMR_NBC_2017-06-15_E.MP4$10835$10865","Midnight Texas")</f>
        <v>Midnight Texas</v>
      </c>
      <c r="E78" s="3" t="s">
        <v>38</v>
      </c>
      <c r="F78" s="3" t="s">
        <v>3552</v>
      </c>
      <c r="G78" s="3" t="s">
        <v>3553</v>
      </c>
    </row>
    <row r="79" spans="1:7">
      <c r="A79" s="6">
        <v>42901</v>
      </c>
      <c r="B79" s="3" t="s">
        <v>3494</v>
      </c>
      <c r="C79" s="3" t="s">
        <v>18</v>
      </c>
      <c r="D79" s="8" t="str">
        <f>HYPERLINK("http://npthd.inbcu.com/ViewContent.aspx?filename=NPMR_NBC_2017-06-15_E.MP4$10865$10871","LAW &amp; ORDER: SPECIAL VICTIMS UNIT: the newsroom")</f>
        <v>LAW &amp; ORDER: SPECIAL VICTIMS UNIT: the newsroom</v>
      </c>
      <c r="E79" s="3" t="s">
        <v>15</v>
      </c>
      <c r="F79" s="3" t="s">
        <v>3553</v>
      </c>
      <c r="G79" s="3" t="s">
        <v>3554</v>
      </c>
    </row>
    <row r="80" spans="1:7">
      <c r="A80" s="6">
        <v>42901</v>
      </c>
      <c r="B80" s="3" t="s">
        <v>3494</v>
      </c>
      <c r="C80" s="3" t="s">
        <v>32</v>
      </c>
      <c r="D80" s="8" t="str">
        <f>HYPERLINK("http://npthd.inbcu.com/ViewContent.aspx?filename=NPMR_NBC_2017-06-15_E.MP4$10871$10901","LOCAL")</f>
        <v>LOCAL</v>
      </c>
      <c r="E80" s="3" t="s">
        <v>38</v>
      </c>
      <c r="F80" s="3" t="s">
        <v>3554</v>
      </c>
      <c r="G80" s="3" t="s">
        <v>124</v>
      </c>
    </row>
    <row r="81" spans="1:7">
      <c r="A81" s="6">
        <v>42902</v>
      </c>
      <c r="B81" s="3" t="s">
        <v>3494</v>
      </c>
      <c r="C81" s="3" t="s">
        <v>18</v>
      </c>
      <c r="D81" s="8" t="str">
        <f>HYPERLINK("http://npthd.inbcu.com/ViewContent.aspx?filename=NPMR_NBC_2017-06-16_E.MP4$101$527","AMERICAS GOT TALENT: auditions 3")</f>
        <v>AMERICAS GOT TALENT: auditions 3</v>
      </c>
      <c r="E81" s="3" t="s">
        <v>1807</v>
      </c>
      <c r="F81" s="3" t="s">
        <v>16</v>
      </c>
      <c r="G81" s="3" t="s">
        <v>3555</v>
      </c>
    </row>
    <row r="82" spans="1:7">
      <c r="A82" s="6">
        <v>42902</v>
      </c>
      <c r="B82" s="3" t="s">
        <v>3494</v>
      </c>
      <c r="C82" s="3" t="s">
        <v>21</v>
      </c>
      <c r="D82" s="8" t="str">
        <f>HYPERLINK("http://npthd.inbcu.com/ViewContent.aspx?filename=NPMR_NBC_2017-06-16_E.MP4$527$708","COMMERCIAL")</f>
        <v>COMMERCIAL</v>
      </c>
      <c r="E82" s="3" t="s">
        <v>108</v>
      </c>
      <c r="F82" s="3" t="s">
        <v>3555</v>
      </c>
      <c r="G82" s="3" t="s">
        <v>3556</v>
      </c>
    </row>
    <row r="83" spans="1:7">
      <c r="A83" s="6">
        <v>42902</v>
      </c>
      <c r="B83" s="3" t="s">
        <v>3494</v>
      </c>
      <c r="C83" s="3" t="s">
        <v>14</v>
      </c>
      <c r="D83" s="8" t="str">
        <f>HYPERLINK("http://npthd.inbcu.com/ViewContent.aspx?filename=NPMR_NBC_2017-06-16_E.MP4$708$723","American Ninja Warrior")</f>
        <v>American Ninja Warrior</v>
      </c>
      <c r="E83" s="3" t="s">
        <v>30</v>
      </c>
      <c r="F83" s="3" t="s">
        <v>3556</v>
      </c>
      <c r="G83" s="3" t="s">
        <v>3557</v>
      </c>
    </row>
    <row r="84" spans="1:7">
      <c r="A84" s="6">
        <v>42902</v>
      </c>
      <c r="B84" s="3" t="s">
        <v>3494</v>
      </c>
      <c r="C84" s="3" t="s">
        <v>18</v>
      </c>
      <c r="D84" s="8" t="str">
        <f>HYPERLINK("http://npthd.inbcu.com/ViewContent.aspx?filename=NPMR_NBC_2017-06-16_E.MP4$723$1177","AMERICAS GOT TALENT: auditions 3")</f>
        <v>AMERICAS GOT TALENT: auditions 3</v>
      </c>
      <c r="E84" s="3" t="s">
        <v>3558</v>
      </c>
      <c r="F84" s="3" t="s">
        <v>3557</v>
      </c>
      <c r="G84" s="3" t="s">
        <v>427</v>
      </c>
    </row>
    <row r="85" spans="1:7">
      <c r="A85" s="6">
        <v>42902</v>
      </c>
      <c r="B85" s="3" t="s">
        <v>3494</v>
      </c>
      <c r="C85" s="3" t="s">
        <v>21</v>
      </c>
      <c r="D85" s="8" t="str">
        <f>HYPERLINK("http://npthd.inbcu.com/ViewContent.aspx?filename=NPMR_NBC_2017-06-16_E.MP4$1177$1267","COMMERCIAL")</f>
        <v>COMMERCIAL</v>
      </c>
      <c r="E85" s="3" t="s">
        <v>46</v>
      </c>
      <c r="F85" s="3" t="s">
        <v>427</v>
      </c>
      <c r="G85" s="3" t="s">
        <v>2890</v>
      </c>
    </row>
    <row r="86" spans="1:7">
      <c r="A86" s="6">
        <v>42902</v>
      </c>
      <c r="B86" s="3" t="s">
        <v>3494</v>
      </c>
      <c r="C86" s="3" t="s">
        <v>14</v>
      </c>
      <c r="D86" s="8" t="str">
        <f>HYPERLINK("http://npthd.inbcu.com/ViewContent.aspx?filename=NPMR_NBC_2017-06-16_E.MP4$1267$1282","Spartan Race")</f>
        <v>Spartan Race</v>
      </c>
      <c r="E86" s="3" t="s">
        <v>30</v>
      </c>
      <c r="F86" s="3" t="s">
        <v>2890</v>
      </c>
      <c r="G86" s="3" t="s">
        <v>3002</v>
      </c>
    </row>
    <row r="87" spans="1:7">
      <c r="A87" s="6">
        <v>42902</v>
      </c>
      <c r="B87" s="3" t="s">
        <v>3494</v>
      </c>
      <c r="C87" s="3" t="s">
        <v>32</v>
      </c>
      <c r="D87" s="8" t="str">
        <f>HYPERLINK("http://npthd.inbcu.com/ViewContent.aspx?filename=NPMR_NBC_2017-06-16_E.MP4$1282$1346","LOCAL")</f>
        <v>LOCAL</v>
      </c>
      <c r="E87" s="3" t="s">
        <v>1902</v>
      </c>
      <c r="F87" s="3" t="s">
        <v>3002</v>
      </c>
      <c r="G87" s="3" t="s">
        <v>3559</v>
      </c>
    </row>
    <row r="88" spans="1:7">
      <c r="A88" s="6">
        <v>42902</v>
      </c>
      <c r="B88" s="3" t="s">
        <v>3494</v>
      </c>
      <c r="C88" s="3" t="s">
        <v>14</v>
      </c>
      <c r="D88" s="8" t="str">
        <f>HYPERLINK("http://npthd.inbcu.com/ViewContent.aspx?filename=NPMR_NBC_2017-06-16_E.MP4$1346$1361","World of Dance")</f>
        <v>World of Dance</v>
      </c>
      <c r="E88" s="3" t="s">
        <v>30</v>
      </c>
      <c r="F88" s="3" t="s">
        <v>3559</v>
      </c>
      <c r="G88" s="3" t="s">
        <v>3560</v>
      </c>
    </row>
    <row r="89" spans="1:7">
      <c r="A89" s="6">
        <v>42902</v>
      </c>
      <c r="B89" s="3" t="s">
        <v>3494</v>
      </c>
      <c r="C89" s="3" t="s">
        <v>18</v>
      </c>
      <c r="D89" s="8" t="str">
        <f>HYPERLINK("http://npthd.inbcu.com/ViewContent.aspx?filename=NPMR_NBC_2017-06-16_E.MP4$1361$1714","AMERICAS GOT TALENT: auditions 3")</f>
        <v>AMERICAS GOT TALENT: auditions 3</v>
      </c>
      <c r="E89" s="3" t="s">
        <v>1186</v>
      </c>
      <c r="F89" s="3" t="s">
        <v>3560</v>
      </c>
      <c r="G89" s="3" t="s">
        <v>3561</v>
      </c>
    </row>
    <row r="90" spans="1:7">
      <c r="A90" s="6">
        <v>42902</v>
      </c>
      <c r="B90" s="3" t="s">
        <v>3494</v>
      </c>
      <c r="C90" s="3" t="s">
        <v>14</v>
      </c>
      <c r="D90" s="8" t="str">
        <f>HYPERLINK("http://npthd.inbcu.com/ViewContent.aspx?filename=NPMR_NBC_2017-06-16_E.MP4$1714$1719","Midnight Texas")</f>
        <v>Midnight Texas</v>
      </c>
      <c r="E90" s="3" t="s">
        <v>54</v>
      </c>
      <c r="F90" s="3" t="s">
        <v>3561</v>
      </c>
      <c r="G90" s="3" t="s">
        <v>3562</v>
      </c>
    </row>
    <row r="91" spans="1:7">
      <c r="A91" s="6">
        <v>42902</v>
      </c>
      <c r="B91" s="3" t="s">
        <v>3494</v>
      </c>
      <c r="C91" s="3" t="s">
        <v>21</v>
      </c>
      <c r="D91" s="8" t="str">
        <f>HYPERLINK("http://npthd.inbcu.com/ViewContent.aspx?filename=NPMR_NBC_2017-06-16_E.MP4$1719$1899","COMMERCIAL")</f>
        <v>COMMERCIAL</v>
      </c>
      <c r="E91" s="3" t="s">
        <v>22</v>
      </c>
      <c r="F91" s="3" t="s">
        <v>3562</v>
      </c>
      <c r="G91" s="3" t="s">
        <v>3563</v>
      </c>
    </row>
    <row r="92" spans="1:7">
      <c r="A92" s="6">
        <v>42902</v>
      </c>
      <c r="B92" s="3" t="s">
        <v>3494</v>
      </c>
      <c r="C92" s="3" t="s">
        <v>14</v>
      </c>
      <c r="D92" s="8" t="str">
        <f>HYPERLINK("http://npthd.inbcu.com/ViewContent.aspx?filename=NPMR_NBC_2017-06-16_E.MP4$1899$1929","American Ninja Warrior")</f>
        <v>American Ninja Warrior</v>
      </c>
      <c r="E92" s="3" t="s">
        <v>38</v>
      </c>
      <c r="F92" s="3" t="s">
        <v>3563</v>
      </c>
      <c r="G92" s="3" t="s">
        <v>3564</v>
      </c>
    </row>
    <row r="93" spans="1:7">
      <c r="A93" s="6">
        <v>42902</v>
      </c>
      <c r="B93" s="3" t="s">
        <v>3494</v>
      </c>
      <c r="C93" s="3" t="s">
        <v>18</v>
      </c>
      <c r="D93" s="8" t="str">
        <f>HYPERLINK("http://npthd.inbcu.com/ViewContent.aspx?filename=NPMR_NBC_2017-06-16_E.MP4$1929$2476","AMERICAS GOT TALENT: auditions 3")</f>
        <v>AMERICAS GOT TALENT: auditions 3</v>
      </c>
      <c r="E93" s="3" t="s">
        <v>2733</v>
      </c>
      <c r="F93" s="3" t="s">
        <v>3564</v>
      </c>
      <c r="G93" s="3" t="s">
        <v>3565</v>
      </c>
    </row>
    <row r="94" spans="1:7">
      <c r="A94" s="6">
        <v>42902</v>
      </c>
      <c r="B94" s="3" t="s">
        <v>3494</v>
      </c>
      <c r="C94" s="3" t="s">
        <v>21</v>
      </c>
      <c r="D94" s="8" t="str">
        <f>HYPERLINK("http://npthd.inbcu.com/ViewContent.aspx?filename=NPMR_NBC_2017-06-16_E.MP4$2476$2566","COMMERCIAL")</f>
        <v>COMMERCIAL</v>
      </c>
      <c r="E94" s="3" t="s">
        <v>46</v>
      </c>
      <c r="F94" s="3" t="s">
        <v>3565</v>
      </c>
      <c r="G94" s="3" t="s">
        <v>3566</v>
      </c>
    </row>
    <row r="95" spans="1:7">
      <c r="A95" s="6">
        <v>42902</v>
      </c>
      <c r="B95" s="3" t="s">
        <v>3494</v>
      </c>
      <c r="C95" s="3" t="s">
        <v>14</v>
      </c>
      <c r="D95" s="8" t="str">
        <f>HYPERLINK("http://npthd.inbcu.com/ViewContent.aspx?filename=NPMR_NBC_2017-06-16_E.MP4$2566$2581","Midnight Texas")</f>
        <v>Midnight Texas</v>
      </c>
      <c r="E95" s="3" t="s">
        <v>30</v>
      </c>
      <c r="F95" s="3" t="s">
        <v>3566</v>
      </c>
      <c r="G95" s="3" t="s">
        <v>3567</v>
      </c>
    </row>
    <row r="96" spans="1:7">
      <c r="A96" s="6">
        <v>42902</v>
      </c>
      <c r="B96" s="3" t="s">
        <v>3494</v>
      </c>
      <c r="C96" s="3" t="s">
        <v>32</v>
      </c>
      <c r="D96" s="8" t="str">
        <f>HYPERLINK("http://npthd.inbcu.com/ViewContent.aspx?filename=NPMR_NBC_2017-06-16_E.MP4$2581$2686","LOCAL")</f>
        <v>LOCAL</v>
      </c>
      <c r="E96" s="3" t="s">
        <v>199</v>
      </c>
      <c r="F96" s="3" t="s">
        <v>3567</v>
      </c>
      <c r="G96" s="3" t="s">
        <v>3568</v>
      </c>
    </row>
    <row r="97" spans="1:7">
      <c r="A97" s="6">
        <v>42902</v>
      </c>
      <c r="B97" s="3" t="s">
        <v>3494</v>
      </c>
      <c r="C97" s="3" t="s">
        <v>14</v>
      </c>
      <c r="D97" s="8" t="str">
        <f>HYPERLINK("http://npthd.inbcu.com/ViewContent.aspx?filename=NPMR_NBC_2017-06-16_E.MP4$2686$2701","Little Big Shots: Forever Young")</f>
        <v>Little Big Shots: Forever Young</v>
      </c>
      <c r="E97" s="3" t="s">
        <v>30</v>
      </c>
      <c r="F97" s="3" t="s">
        <v>3568</v>
      </c>
      <c r="G97" s="3" t="s">
        <v>3569</v>
      </c>
    </row>
    <row r="98" spans="1:7">
      <c r="A98" s="6">
        <v>42902</v>
      </c>
      <c r="B98" s="3" t="s">
        <v>3494</v>
      </c>
      <c r="C98" s="3" t="s">
        <v>18</v>
      </c>
      <c r="D98" s="8" t="str">
        <f>HYPERLINK("http://npthd.inbcu.com/ViewContent.aspx?filename=NPMR_NBC_2017-06-16_E.MP4$2701$3256","AMERICAS GOT TALENT: auditions 3")</f>
        <v>AMERICAS GOT TALENT: auditions 3</v>
      </c>
      <c r="E98" s="3" t="s">
        <v>1659</v>
      </c>
      <c r="F98" s="3" t="s">
        <v>3569</v>
      </c>
      <c r="G98" s="3" t="s">
        <v>3570</v>
      </c>
    </row>
    <row r="99" spans="1:7">
      <c r="A99" s="6">
        <v>42902</v>
      </c>
      <c r="B99" s="3" t="s">
        <v>3494</v>
      </c>
      <c r="C99" s="3" t="s">
        <v>21</v>
      </c>
      <c r="D99" s="8" t="str">
        <f>HYPERLINK("http://npthd.inbcu.com/ViewContent.aspx?filename=NPMR_NBC_2017-06-16_E.MP4$3256$3436","COMMERCIAL")</f>
        <v>COMMERCIAL</v>
      </c>
      <c r="E99" s="3" t="s">
        <v>22</v>
      </c>
      <c r="F99" s="3" t="s">
        <v>3570</v>
      </c>
      <c r="G99" s="3" t="s">
        <v>3571</v>
      </c>
    </row>
    <row r="100" spans="1:7">
      <c r="A100" s="6">
        <v>42902</v>
      </c>
      <c r="B100" s="3" t="s">
        <v>3494</v>
      </c>
      <c r="C100" s="3" t="s">
        <v>14</v>
      </c>
      <c r="D100" s="8" t="str">
        <f>HYPERLINK("http://npthd.inbcu.com/ViewContent.aspx?filename=NPMR_NBC_2017-06-16_E.MP4$3436$3466","Hollywood Game Night")</f>
        <v>Hollywood Game Night</v>
      </c>
      <c r="E100" s="3" t="s">
        <v>38</v>
      </c>
      <c r="F100" s="3" t="s">
        <v>3571</v>
      </c>
      <c r="G100" s="3" t="s">
        <v>3572</v>
      </c>
    </row>
    <row r="101" spans="1:7">
      <c r="A101" s="6">
        <v>42902</v>
      </c>
      <c r="B101" s="3" t="s">
        <v>3494</v>
      </c>
      <c r="C101" s="3" t="s">
        <v>14</v>
      </c>
      <c r="D101" s="8" t="str">
        <f>HYPERLINK("http://npthd.inbcu.com/ViewContent.aspx?filename=NPMR_NBC_2017-06-16_E.MP4$3466$3481","Wall, The")</f>
        <v>Wall, The</v>
      </c>
      <c r="E101" s="3" t="s">
        <v>30</v>
      </c>
      <c r="F101" s="3" t="s">
        <v>3572</v>
      </c>
      <c r="G101" s="3" t="s">
        <v>3573</v>
      </c>
    </row>
    <row r="102" spans="1:7">
      <c r="A102" s="6">
        <v>42902</v>
      </c>
      <c r="B102" s="3" t="s">
        <v>3494</v>
      </c>
      <c r="C102" s="3" t="s">
        <v>18</v>
      </c>
      <c r="D102" s="8" t="str">
        <f>HYPERLINK("http://npthd.inbcu.com/ViewContent.aspx?filename=NPMR_NBC_2017-06-16_E.MP4$3481$3868","AMERICAS GOT TALENT: auditions 3")</f>
        <v>AMERICAS GOT TALENT: auditions 3</v>
      </c>
      <c r="E102" s="3" t="s">
        <v>688</v>
      </c>
      <c r="F102" s="3" t="s">
        <v>3573</v>
      </c>
      <c r="G102" s="3" t="s">
        <v>3574</v>
      </c>
    </row>
    <row r="103" spans="1:7">
      <c r="A103" s="6">
        <v>42902</v>
      </c>
      <c r="B103" s="3" t="s">
        <v>3494</v>
      </c>
      <c r="C103" s="3" t="s">
        <v>21</v>
      </c>
      <c r="D103" s="8" t="str">
        <f>HYPERLINK("http://npthd.inbcu.com/ViewContent.aspx?filename=NPMR_NBC_2017-06-16_E.MP4$3868$4048","COMMERCIAL")</f>
        <v>COMMERCIAL</v>
      </c>
      <c r="E103" s="3" t="s">
        <v>22</v>
      </c>
      <c r="F103" s="3" t="s">
        <v>3574</v>
      </c>
      <c r="G103" s="3" t="s">
        <v>2345</v>
      </c>
    </row>
    <row r="104" spans="1:7">
      <c r="A104" s="6">
        <v>42902</v>
      </c>
      <c r="B104" s="3" t="s">
        <v>3494</v>
      </c>
      <c r="C104" s="3" t="s">
        <v>14</v>
      </c>
      <c r="D104" s="8" t="str">
        <f>HYPERLINK("http://npthd.inbcu.com/ViewContent.aspx?filename=NPMR_NBC_2017-06-16_E.MP4$4048$4063","Night Shift, The")</f>
        <v>Night Shift, The</v>
      </c>
      <c r="E104" s="3" t="s">
        <v>30</v>
      </c>
      <c r="F104" s="3" t="s">
        <v>2345</v>
      </c>
      <c r="G104" s="3" t="s">
        <v>3575</v>
      </c>
    </row>
    <row r="105" spans="1:7">
      <c r="A105" s="6">
        <v>42902</v>
      </c>
      <c r="B105" s="3" t="s">
        <v>3494</v>
      </c>
      <c r="C105" s="3" t="s">
        <v>18</v>
      </c>
      <c r="D105" s="8" t="str">
        <f>HYPERLINK("http://npthd.inbcu.com/ViewContent.aspx?filename=NPMR_NBC_2017-06-16_E.MP4$4063$4519","AMERICAS GOT TALENT: auditions 3")</f>
        <v>AMERICAS GOT TALENT: auditions 3</v>
      </c>
      <c r="E105" s="3" t="s">
        <v>1683</v>
      </c>
      <c r="F105" s="3" t="s">
        <v>3575</v>
      </c>
      <c r="G105" s="3" t="s">
        <v>2819</v>
      </c>
    </row>
    <row r="106" spans="1:7">
      <c r="A106" s="6">
        <v>42902</v>
      </c>
      <c r="B106" s="3" t="s">
        <v>3494</v>
      </c>
      <c r="C106" s="3" t="s">
        <v>21</v>
      </c>
      <c r="D106" s="8" t="str">
        <f>HYPERLINK("http://npthd.inbcu.com/ViewContent.aspx?filename=NPMR_NBC_2017-06-16_E.MP4$4519$4614","COMMERCIAL")</f>
        <v>COMMERCIAL</v>
      </c>
      <c r="E106" s="3" t="s">
        <v>2076</v>
      </c>
      <c r="F106" s="3" t="s">
        <v>2819</v>
      </c>
      <c r="G106" s="3" t="s">
        <v>3304</v>
      </c>
    </row>
    <row r="107" spans="1:7">
      <c r="A107" s="6">
        <v>42902</v>
      </c>
      <c r="B107" s="3" t="s">
        <v>3494</v>
      </c>
      <c r="C107" s="3" t="s">
        <v>14</v>
      </c>
      <c r="D107" s="8" t="str">
        <f>HYPERLINK("http://npthd.inbcu.com/ViewContent.aspx?filename=NPMR_NBC_2017-06-16_E.MP4$4614$4624","Tonight Show starring Jimmy Fallon, The")</f>
        <v>Tonight Show starring Jimmy Fallon, The</v>
      </c>
      <c r="E107" s="3" t="s">
        <v>197</v>
      </c>
      <c r="F107" s="3" t="s">
        <v>3304</v>
      </c>
      <c r="G107" s="3" t="s">
        <v>3576</v>
      </c>
    </row>
    <row r="108" spans="1:7">
      <c r="A108" s="6">
        <v>42902</v>
      </c>
      <c r="B108" s="3" t="s">
        <v>3494</v>
      </c>
      <c r="C108" s="3" t="s">
        <v>32</v>
      </c>
      <c r="D108" s="8" t="str">
        <f>HYPERLINK("http://npthd.inbcu.com/ViewContent.aspx?filename=NPMR_NBC_2017-06-16_E.MP4$4624$4718","LOCAL")</f>
        <v>LOCAL</v>
      </c>
      <c r="E108" s="3" t="s">
        <v>1917</v>
      </c>
      <c r="F108" s="3" t="s">
        <v>3576</v>
      </c>
      <c r="G108" s="3" t="s">
        <v>1430</v>
      </c>
    </row>
    <row r="109" spans="1:7">
      <c r="A109" s="6">
        <v>42902</v>
      </c>
      <c r="B109" s="3" t="s">
        <v>3494</v>
      </c>
      <c r="C109" s="3" t="s">
        <v>14</v>
      </c>
      <c r="D109" s="8" t="str">
        <f>HYPERLINK("http://npthd.inbcu.com/ViewContent.aspx?filename=NPMR_NBC_2017-06-16_E.MP4$4718$4748","Midnight Texas")</f>
        <v>Midnight Texas</v>
      </c>
      <c r="E109" s="3" t="s">
        <v>38</v>
      </c>
      <c r="F109" s="3" t="s">
        <v>1430</v>
      </c>
      <c r="G109" s="3" t="s">
        <v>1432</v>
      </c>
    </row>
    <row r="110" spans="1:7">
      <c r="A110" s="6">
        <v>42902</v>
      </c>
      <c r="B110" s="3" t="s">
        <v>3494</v>
      </c>
      <c r="C110" s="3" t="s">
        <v>18</v>
      </c>
      <c r="D110" s="8" t="str">
        <f>HYPERLINK("http://npthd.inbcu.com/ViewContent.aspx?filename=NPMR_NBC_2017-06-16_E.MP4$4748$5250","AMERICAS GOT TALENT: auditions 3")</f>
        <v>AMERICAS GOT TALENT: auditions 3</v>
      </c>
      <c r="E110" s="3" t="s">
        <v>2004</v>
      </c>
      <c r="F110" s="3" t="s">
        <v>1432</v>
      </c>
      <c r="G110" s="3" t="s">
        <v>1500</v>
      </c>
    </row>
    <row r="111" spans="1:7">
      <c r="A111" s="6">
        <v>42902</v>
      </c>
      <c r="B111" s="3" t="s">
        <v>3494</v>
      </c>
      <c r="C111" s="3" t="s">
        <v>21</v>
      </c>
      <c r="D111" s="8" t="str">
        <f>HYPERLINK("http://npthd.inbcu.com/ViewContent.aspx?filename=NPMR_NBC_2017-06-16_E.MP4$5250$5431","COMMERCIAL")</f>
        <v>COMMERCIAL</v>
      </c>
      <c r="E111" s="3" t="s">
        <v>108</v>
      </c>
      <c r="F111" s="3" t="s">
        <v>1500</v>
      </c>
      <c r="G111" s="3" t="s">
        <v>2152</v>
      </c>
    </row>
    <row r="112" spans="1:7">
      <c r="A112" s="6">
        <v>42902</v>
      </c>
      <c r="B112" s="3" t="s">
        <v>3494</v>
      </c>
      <c r="C112" s="3" t="s">
        <v>14</v>
      </c>
      <c r="D112" s="8" t="str">
        <f>HYPERLINK("http://npthd.inbcu.com/ViewContent.aspx?filename=NPMR_NBC_2017-06-16_E.MP4$5431$5446","American Ninja Warrior")</f>
        <v>American Ninja Warrior</v>
      </c>
      <c r="E112" s="3" t="s">
        <v>30</v>
      </c>
      <c r="F112" s="3" t="s">
        <v>2152</v>
      </c>
      <c r="G112" s="3" t="s">
        <v>3185</v>
      </c>
    </row>
    <row r="113" spans="1:7">
      <c r="A113" s="6">
        <v>42902</v>
      </c>
      <c r="B113" s="3" t="s">
        <v>3494</v>
      </c>
      <c r="C113" s="3" t="s">
        <v>18</v>
      </c>
      <c r="D113" s="8" t="str">
        <f>HYPERLINK("http://npthd.inbcu.com/ViewContent.aspx?filename=NPMR_NBC_2017-06-16_E.MP4$5446$5862","AMERICAS GOT TALENT: auditions 3")</f>
        <v>AMERICAS GOT TALENT: auditions 3</v>
      </c>
      <c r="E113" s="3" t="s">
        <v>3577</v>
      </c>
      <c r="F113" s="3" t="s">
        <v>3185</v>
      </c>
      <c r="G113" s="3" t="s">
        <v>1069</v>
      </c>
    </row>
    <row r="114" spans="1:7">
      <c r="A114" s="6">
        <v>42902</v>
      </c>
      <c r="B114" s="3" t="s">
        <v>3494</v>
      </c>
      <c r="C114" s="3" t="s">
        <v>21</v>
      </c>
      <c r="D114" s="8" t="str">
        <f>HYPERLINK("http://npthd.inbcu.com/ViewContent.aspx?filename=NPMR_NBC_2017-06-16_E.MP4$5862$5983","COMMERCIAL")</f>
        <v>COMMERCIAL</v>
      </c>
      <c r="E114" s="3" t="s">
        <v>175</v>
      </c>
      <c r="F114" s="3" t="s">
        <v>1069</v>
      </c>
      <c r="G114" s="3" t="s">
        <v>3578</v>
      </c>
    </row>
    <row r="115" spans="1:7">
      <c r="A115" s="6">
        <v>42902</v>
      </c>
      <c r="B115" s="3" t="s">
        <v>3494</v>
      </c>
      <c r="C115" s="3" t="s">
        <v>14</v>
      </c>
      <c r="D115" s="8" t="str">
        <f>HYPERLINK("http://npthd.inbcu.com/ViewContent.aspx?filename=NPMR_NBC_2017-06-16_E.MP4$5983$5987","Spartan Race")</f>
        <v>Spartan Race</v>
      </c>
      <c r="E115" s="3" t="s">
        <v>84</v>
      </c>
      <c r="F115" s="3" t="s">
        <v>3578</v>
      </c>
      <c r="G115" s="3" t="s">
        <v>3579</v>
      </c>
    </row>
    <row r="116" spans="1:7">
      <c r="A116" s="6">
        <v>42902</v>
      </c>
      <c r="B116" s="3" t="s">
        <v>3494</v>
      </c>
      <c r="C116" s="3" t="s">
        <v>32</v>
      </c>
      <c r="D116" s="8" t="str">
        <f>HYPERLINK("http://npthd.inbcu.com/ViewContent.aspx?filename=NPMR_NBC_2017-06-16_E.MP4$5987$6077","LOCAL")</f>
        <v>LOCAL</v>
      </c>
      <c r="E116" s="3" t="s">
        <v>46</v>
      </c>
      <c r="F116" s="3" t="s">
        <v>3579</v>
      </c>
      <c r="G116" s="3" t="s">
        <v>3580</v>
      </c>
    </row>
    <row r="117" spans="1:7">
      <c r="A117" s="6">
        <v>42902</v>
      </c>
      <c r="B117" s="3" t="s">
        <v>3494</v>
      </c>
      <c r="C117" s="3" t="s">
        <v>14</v>
      </c>
      <c r="D117" s="8" t="str">
        <f>HYPERLINK("http://npthd.inbcu.com/ViewContent.aspx?filename=NPMR_NBC_2017-06-16_E.MP4$6077$6093","World of Dance")</f>
        <v>World of Dance</v>
      </c>
      <c r="E117" s="3" t="s">
        <v>64</v>
      </c>
      <c r="F117" s="3" t="s">
        <v>3580</v>
      </c>
      <c r="G117" s="3" t="s">
        <v>3581</v>
      </c>
    </row>
    <row r="118" spans="1:7">
      <c r="A118" s="6">
        <v>42902</v>
      </c>
      <c r="B118" s="3" t="s">
        <v>3494</v>
      </c>
      <c r="C118" s="3" t="s">
        <v>18</v>
      </c>
      <c r="D118" s="8" t="str">
        <f>HYPERLINK("http://npthd.inbcu.com/ViewContent.aspx?filename=NPMR_NBC_2017-06-16_E.MP4$6093$6535","AMERICAS GOT TALENT: auditions 3")</f>
        <v>AMERICAS GOT TALENT: auditions 3</v>
      </c>
      <c r="E118" s="3" t="s">
        <v>950</v>
      </c>
      <c r="F118" s="3" t="s">
        <v>3581</v>
      </c>
      <c r="G118" s="3" t="s">
        <v>3582</v>
      </c>
    </row>
    <row r="119" spans="1:7">
      <c r="A119" s="6">
        <v>42902</v>
      </c>
      <c r="B119" s="3" t="s">
        <v>3494</v>
      </c>
      <c r="C119" s="3" t="s">
        <v>21</v>
      </c>
      <c r="D119" s="8" t="str">
        <f>HYPERLINK("http://npthd.inbcu.com/ViewContent.aspx?filename=NPMR_NBC_2017-06-16_E.MP4$6535$6715","COMMERCIAL")</f>
        <v>COMMERCIAL</v>
      </c>
      <c r="E119" s="3" t="s">
        <v>22</v>
      </c>
      <c r="F119" s="3" t="s">
        <v>3582</v>
      </c>
      <c r="G119" s="3" t="s">
        <v>3583</v>
      </c>
    </row>
    <row r="120" spans="1:7">
      <c r="A120" s="6">
        <v>42902</v>
      </c>
      <c r="B120" s="3" t="s">
        <v>3494</v>
      </c>
      <c r="C120" s="3" t="s">
        <v>14</v>
      </c>
      <c r="D120" s="8" t="str">
        <f>HYPERLINK("http://npthd.inbcu.com/ViewContent.aspx?filename=NPMR_NBC_2017-06-16_E.MP4$6715$6731","Dateline NBC")</f>
        <v>Dateline NBC</v>
      </c>
      <c r="E120" s="3" t="s">
        <v>64</v>
      </c>
      <c r="F120" s="3" t="s">
        <v>3583</v>
      </c>
      <c r="G120" s="3" t="s">
        <v>3584</v>
      </c>
    </row>
    <row r="121" spans="1:7">
      <c r="A121" s="6">
        <v>42902</v>
      </c>
      <c r="B121" s="3" t="s">
        <v>3494</v>
      </c>
      <c r="C121" s="3" t="s">
        <v>18</v>
      </c>
      <c r="D121" s="8" t="str">
        <f>HYPERLINK("http://npthd.inbcu.com/ViewContent.aspx?filename=NPMR_NBC_2017-06-16_E.MP4$6731$7302","AMERICAS GOT TALENT: auditions 3")</f>
        <v>AMERICAS GOT TALENT: auditions 3</v>
      </c>
      <c r="E121" s="3" t="s">
        <v>3585</v>
      </c>
      <c r="F121" s="3" t="s">
        <v>3584</v>
      </c>
      <c r="G121" s="3" t="s">
        <v>87</v>
      </c>
    </row>
    <row r="122" spans="1:7">
      <c r="A122" s="6">
        <v>42902</v>
      </c>
      <c r="B122" s="3" t="s">
        <v>3494</v>
      </c>
      <c r="C122" s="3" t="s">
        <v>18</v>
      </c>
      <c r="D122" s="8" t="str">
        <f>HYPERLINK("http://npthd.inbcu.com/ViewContent.aspx?filename=NPMR_NBC_2017-06-16_E.MP4$7302$7823","DATELINE NBC: fr2639")</f>
        <v>DATELINE NBC: fr2639</v>
      </c>
      <c r="E122" s="3" t="s">
        <v>3273</v>
      </c>
      <c r="F122" s="3" t="s">
        <v>87</v>
      </c>
      <c r="G122" s="3" t="s">
        <v>3586</v>
      </c>
    </row>
    <row r="123" spans="1:7">
      <c r="A123" s="6">
        <v>42902</v>
      </c>
      <c r="B123" s="3" t="s">
        <v>3494</v>
      </c>
      <c r="C123" s="3" t="s">
        <v>21</v>
      </c>
      <c r="D123" s="8" t="str">
        <f>HYPERLINK("http://npthd.inbcu.com/ViewContent.aspx?filename=NPMR_NBC_2017-06-16_E.MP4$7823$7943","COMMERCIAL")</f>
        <v>COMMERCIAL</v>
      </c>
      <c r="E123" s="3" t="s">
        <v>43</v>
      </c>
      <c r="F123" s="3" t="s">
        <v>3586</v>
      </c>
      <c r="G123" s="3" t="s">
        <v>3587</v>
      </c>
    </row>
    <row r="124" spans="1:7">
      <c r="A124" s="6">
        <v>42902</v>
      </c>
      <c r="B124" s="3" t="s">
        <v>3494</v>
      </c>
      <c r="C124" s="3" t="s">
        <v>14</v>
      </c>
      <c r="D124" s="8" t="str">
        <f>HYPERLINK("http://npthd.inbcu.com/ViewContent.aspx?filename=NPMR_NBC_2017-06-16_E.MP4$7943$7958","Today")</f>
        <v>Today</v>
      </c>
      <c r="E124" s="3" t="s">
        <v>30</v>
      </c>
      <c r="F124" s="3" t="s">
        <v>3587</v>
      </c>
      <c r="G124" s="3" t="s">
        <v>3588</v>
      </c>
    </row>
    <row r="125" spans="1:7">
      <c r="A125" s="6">
        <v>42902</v>
      </c>
      <c r="B125" s="3" t="s">
        <v>3494</v>
      </c>
      <c r="C125" s="3" t="s">
        <v>32</v>
      </c>
      <c r="D125" s="8" t="str">
        <f>HYPERLINK("http://npthd.inbcu.com/ViewContent.aspx?filename=NPMR_NBC_2017-06-16_E.MP4$7958$8019","LOCAL")</f>
        <v>LOCAL</v>
      </c>
      <c r="E125" s="3" t="s">
        <v>33</v>
      </c>
      <c r="F125" s="3" t="s">
        <v>3588</v>
      </c>
      <c r="G125" s="3" t="s">
        <v>3589</v>
      </c>
    </row>
    <row r="126" spans="1:7">
      <c r="A126" s="6">
        <v>42902</v>
      </c>
      <c r="B126" s="3" t="s">
        <v>3494</v>
      </c>
      <c r="C126" s="3" t="s">
        <v>18</v>
      </c>
      <c r="D126" s="8" t="str">
        <f>HYPERLINK("http://npthd.inbcu.com/ViewContent.aspx?filename=NPMR_NBC_2017-06-16_E.MP4$8019$8386","DATELINE NBC: fr2639")</f>
        <v>DATELINE NBC: fr2639</v>
      </c>
      <c r="E126" s="3" t="s">
        <v>3590</v>
      </c>
      <c r="F126" s="3" t="s">
        <v>3589</v>
      </c>
      <c r="G126" s="3" t="s">
        <v>3591</v>
      </c>
    </row>
    <row r="127" spans="1:7">
      <c r="A127" s="6">
        <v>42902</v>
      </c>
      <c r="B127" s="3" t="s">
        <v>3494</v>
      </c>
      <c r="C127" s="3" t="s">
        <v>21</v>
      </c>
      <c r="D127" s="8" t="str">
        <f>HYPERLINK("http://npthd.inbcu.com/ViewContent.aspx?filename=NPMR_NBC_2017-06-16_E.MP4$8386$8537","COMMERCIAL")</f>
        <v>COMMERCIAL</v>
      </c>
      <c r="E127" s="3" t="s">
        <v>91</v>
      </c>
      <c r="F127" s="3" t="s">
        <v>3591</v>
      </c>
      <c r="G127" s="3" t="s">
        <v>1452</v>
      </c>
    </row>
    <row r="128" spans="1:7">
      <c r="A128" s="6">
        <v>42902</v>
      </c>
      <c r="B128" s="3" t="s">
        <v>3494</v>
      </c>
      <c r="C128" s="3" t="s">
        <v>14</v>
      </c>
      <c r="D128" s="8" t="str">
        <f>HYPERLINK("http://npthd.inbcu.com/ViewContent.aspx?filename=NPMR_NBC_2017-06-16_E.MP4$8537$8552","Sunday Night with Megyn Kelly")</f>
        <v>Sunday Night with Megyn Kelly</v>
      </c>
      <c r="E128" s="3" t="s">
        <v>30</v>
      </c>
      <c r="F128" s="3" t="s">
        <v>1452</v>
      </c>
      <c r="G128" s="3" t="s">
        <v>3592</v>
      </c>
    </row>
    <row r="129" spans="1:7">
      <c r="A129" s="6">
        <v>42902</v>
      </c>
      <c r="B129" s="3" t="s">
        <v>3494</v>
      </c>
      <c r="C129" s="3" t="s">
        <v>14</v>
      </c>
      <c r="D129" s="8" t="str">
        <f>HYPERLINK("http://npthd.inbcu.com/ViewContent.aspx?filename=NPMR_NBC_2017-06-16_E.MP4$8552$8567","American Ninja Warrior")</f>
        <v>American Ninja Warrior</v>
      </c>
      <c r="E129" s="3" t="s">
        <v>30</v>
      </c>
      <c r="F129" s="3" t="s">
        <v>3592</v>
      </c>
      <c r="G129" s="3" t="s">
        <v>3154</v>
      </c>
    </row>
    <row r="130" spans="1:7">
      <c r="A130" s="6">
        <v>42902</v>
      </c>
      <c r="B130" s="3" t="s">
        <v>3494</v>
      </c>
      <c r="C130" s="3" t="s">
        <v>18</v>
      </c>
      <c r="D130" s="8" t="str">
        <f>HYPERLINK("http://npthd.inbcu.com/ViewContent.aspx?filename=NPMR_NBC_2017-06-16_E.MP4$8567$8985","DATELINE NBC: fr2639")</f>
        <v>DATELINE NBC: fr2639</v>
      </c>
      <c r="E130" s="3" t="s">
        <v>1743</v>
      </c>
      <c r="F130" s="3" t="s">
        <v>3154</v>
      </c>
      <c r="G130" s="3" t="s">
        <v>3593</v>
      </c>
    </row>
    <row r="131" spans="1:7">
      <c r="A131" s="6">
        <v>42902</v>
      </c>
      <c r="B131" s="3" t="s">
        <v>3494</v>
      </c>
      <c r="C131" s="3" t="s">
        <v>21</v>
      </c>
      <c r="D131" s="8" t="str">
        <f>HYPERLINK("http://npthd.inbcu.com/ViewContent.aspx?filename=NPMR_NBC_2017-06-16_E.MP4$8985$9045","COMMERCIAL")</f>
        <v>COMMERCIAL</v>
      </c>
      <c r="E131" s="3" t="s">
        <v>66</v>
      </c>
      <c r="F131" s="3" t="s">
        <v>3593</v>
      </c>
      <c r="G131" s="3" t="s">
        <v>3594</v>
      </c>
    </row>
    <row r="132" spans="1:7">
      <c r="A132" s="6">
        <v>42902</v>
      </c>
      <c r="B132" s="3" t="s">
        <v>3494</v>
      </c>
      <c r="C132" s="3" t="s">
        <v>14</v>
      </c>
      <c r="D132" s="8" t="str">
        <f>HYPERLINK("http://npthd.inbcu.com/ViewContent.aspx?filename=NPMR_NBC_2017-06-16_E.MP4$9045$9050","Late Night with Seth Meyers")</f>
        <v>Late Night with Seth Meyers</v>
      </c>
      <c r="E132" s="3" t="s">
        <v>54</v>
      </c>
      <c r="F132" s="3" t="s">
        <v>3594</v>
      </c>
      <c r="G132" s="3" t="s">
        <v>3595</v>
      </c>
    </row>
    <row r="133" spans="1:7">
      <c r="A133" s="6">
        <v>42902</v>
      </c>
      <c r="B133" s="3" t="s">
        <v>3494</v>
      </c>
      <c r="C133" s="3" t="s">
        <v>32</v>
      </c>
      <c r="D133" s="8" t="str">
        <f>HYPERLINK("http://npthd.inbcu.com/ViewContent.aspx?filename=NPMR_NBC_2017-06-16_E.MP4$9050$9215","LOCAL")</f>
        <v>LOCAL</v>
      </c>
      <c r="E133" s="3" t="s">
        <v>428</v>
      </c>
      <c r="F133" s="3" t="s">
        <v>3595</v>
      </c>
      <c r="G133" s="3" t="s">
        <v>3596</v>
      </c>
    </row>
    <row r="134" spans="1:7">
      <c r="A134" s="6">
        <v>42902</v>
      </c>
      <c r="B134" s="3" t="s">
        <v>3494</v>
      </c>
      <c r="C134" s="3" t="s">
        <v>14</v>
      </c>
      <c r="D134" s="8" t="str">
        <f>HYPERLINK("http://npthd.inbcu.com/ViewContent.aspx?filename=NPMR_NBC_2017-06-16_E.MP4$9215$9219","Despicable Me 3")</f>
        <v>Despicable Me 3</v>
      </c>
      <c r="E134" s="3" t="s">
        <v>84</v>
      </c>
      <c r="F134" s="3" t="s">
        <v>3596</v>
      </c>
      <c r="G134" s="3" t="s">
        <v>3597</v>
      </c>
    </row>
    <row r="135" spans="1:7">
      <c r="A135" s="6">
        <v>42902</v>
      </c>
      <c r="B135" s="3" t="s">
        <v>3494</v>
      </c>
      <c r="C135" s="3" t="s">
        <v>18</v>
      </c>
      <c r="D135" s="8" t="str">
        <f>HYPERLINK("http://npthd.inbcu.com/ViewContent.aspx?filename=NPMR_NBC_2017-06-16_E.MP4$9219$9605","DATELINE NBC: fr2639")</f>
        <v>DATELINE NBC: fr2639</v>
      </c>
      <c r="E135" s="3" t="s">
        <v>732</v>
      </c>
      <c r="F135" s="3" t="s">
        <v>3597</v>
      </c>
      <c r="G135" s="3" t="s">
        <v>3598</v>
      </c>
    </row>
    <row r="136" spans="1:7">
      <c r="A136" s="6">
        <v>42902</v>
      </c>
      <c r="B136" s="3" t="s">
        <v>3494</v>
      </c>
      <c r="C136" s="3" t="s">
        <v>21</v>
      </c>
      <c r="D136" s="8" t="str">
        <f>HYPERLINK("http://npthd.inbcu.com/ViewContent.aspx?filename=NPMR_NBC_2017-06-16_E.MP4$9605$9756","COMMERCIAL")</f>
        <v>COMMERCIAL</v>
      </c>
      <c r="E136" s="3" t="s">
        <v>91</v>
      </c>
      <c r="F136" s="3" t="s">
        <v>3598</v>
      </c>
      <c r="G136" s="3" t="s">
        <v>3599</v>
      </c>
    </row>
    <row r="137" spans="1:7">
      <c r="A137" s="6">
        <v>42902</v>
      </c>
      <c r="B137" s="3" t="s">
        <v>3494</v>
      </c>
      <c r="C137" s="3" t="s">
        <v>14</v>
      </c>
      <c r="D137" s="8" t="str">
        <f>HYPERLINK("http://npthd.inbcu.com/ViewContent.aspx?filename=NPMR_NBC_2017-06-16_E.MP4$9756$9771","Americas Got Talent")</f>
        <v>Americas Got Talent</v>
      </c>
      <c r="E137" s="3" t="s">
        <v>30</v>
      </c>
      <c r="F137" s="3" t="s">
        <v>3599</v>
      </c>
      <c r="G137" s="3" t="s">
        <v>3600</v>
      </c>
    </row>
    <row r="138" spans="1:7">
      <c r="A138" s="6">
        <v>42902</v>
      </c>
      <c r="B138" s="3" t="s">
        <v>3494</v>
      </c>
      <c r="C138" s="3" t="s">
        <v>14</v>
      </c>
      <c r="D138" s="8" t="str">
        <f>HYPERLINK("http://npthd.inbcu.com/ViewContent.aspx?filename=NPMR_NBC_2017-06-16_E.MP4$9771$9801","NBC Thursday")</f>
        <v>NBC Thursday</v>
      </c>
      <c r="E138" s="3" t="s">
        <v>38</v>
      </c>
      <c r="F138" s="3" t="s">
        <v>3600</v>
      </c>
      <c r="G138" s="3" t="s">
        <v>3601</v>
      </c>
    </row>
    <row r="139" spans="1:7">
      <c r="A139" s="6">
        <v>42902</v>
      </c>
      <c r="B139" s="3" t="s">
        <v>3494</v>
      </c>
      <c r="C139" s="3" t="s">
        <v>18</v>
      </c>
      <c r="D139" s="8" t="str">
        <f>HYPERLINK("http://npthd.inbcu.com/ViewContent.aspx?filename=NPMR_NBC_2017-06-16_E.MP4$9801$10261","DATELINE NBC: fr2639")</f>
        <v>DATELINE NBC: fr2639</v>
      </c>
      <c r="E139" s="3" t="s">
        <v>3602</v>
      </c>
      <c r="F139" s="3" t="s">
        <v>3601</v>
      </c>
      <c r="G139" s="3" t="s">
        <v>3550</v>
      </c>
    </row>
    <row r="140" spans="1:7">
      <c r="A140" s="6">
        <v>42902</v>
      </c>
      <c r="B140" s="3" t="s">
        <v>3494</v>
      </c>
      <c r="C140" s="3" t="s">
        <v>21</v>
      </c>
      <c r="D140" s="8" t="str">
        <f>HYPERLINK("http://npthd.inbcu.com/ViewContent.aspx?filename=NPMR_NBC_2017-06-16_E.MP4$10261$10442","COMMERCIAL")</f>
        <v>COMMERCIAL</v>
      </c>
      <c r="E140" s="3" t="s">
        <v>108</v>
      </c>
      <c r="F140" s="3" t="s">
        <v>3550</v>
      </c>
      <c r="G140" s="3" t="s">
        <v>3603</v>
      </c>
    </row>
    <row r="141" spans="1:7">
      <c r="A141" s="6">
        <v>42902</v>
      </c>
      <c r="B141" s="3" t="s">
        <v>3494</v>
      </c>
      <c r="C141" s="3" t="s">
        <v>32</v>
      </c>
      <c r="D141" s="8" t="str">
        <f>HYPERLINK("http://npthd.inbcu.com/ViewContent.aspx?filename=NPMR_NBC_2017-06-16_E.MP4$10442$10457","LOCAL")</f>
        <v>LOCAL</v>
      </c>
      <c r="E141" s="3" t="s">
        <v>30</v>
      </c>
      <c r="F141" s="3" t="s">
        <v>3603</v>
      </c>
      <c r="G141" s="3" t="s">
        <v>1310</v>
      </c>
    </row>
    <row r="142" spans="1:7">
      <c r="A142" s="6">
        <v>42902</v>
      </c>
      <c r="B142" s="3" t="s">
        <v>3494</v>
      </c>
      <c r="C142" s="3" t="s">
        <v>14</v>
      </c>
      <c r="D142" s="8" t="str">
        <f>HYPERLINK("http://npthd.inbcu.com/ViewContent.aspx?filename=NPMR_NBC_2017-06-16_E.MP4$10457$10462","Midnight Texas")</f>
        <v>Midnight Texas</v>
      </c>
      <c r="E142" s="3" t="s">
        <v>54</v>
      </c>
      <c r="F142" s="3" t="s">
        <v>1310</v>
      </c>
      <c r="G142" s="3" t="s">
        <v>1256</v>
      </c>
    </row>
    <row r="143" spans="1:7">
      <c r="A143" s="6">
        <v>42902</v>
      </c>
      <c r="B143" s="3" t="s">
        <v>3494</v>
      </c>
      <c r="C143" s="3" t="s">
        <v>14</v>
      </c>
      <c r="D143" s="8" t="str">
        <f>HYPERLINK("http://npthd.inbcu.com/ViewContent.aspx?filename=NPMR_NBC_2017-06-16_E.MP4$10462$10472","Tonight Show starring Jimmy Fallon, The")</f>
        <v>Tonight Show starring Jimmy Fallon, The</v>
      </c>
      <c r="E143" s="3" t="s">
        <v>197</v>
      </c>
      <c r="F143" s="3" t="s">
        <v>1256</v>
      </c>
      <c r="G143" s="3" t="s">
        <v>1311</v>
      </c>
    </row>
    <row r="144" spans="1:7">
      <c r="A144" s="6">
        <v>42902</v>
      </c>
      <c r="B144" s="3" t="s">
        <v>3494</v>
      </c>
      <c r="C144" s="3" t="s">
        <v>14</v>
      </c>
      <c r="D144" s="8" t="str">
        <f>HYPERLINK("http://npthd.inbcu.com/ViewContent.aspx?filename=NPMR_NBC_2017-06-16_E.MP4$10472$10487","Dateline Saturday Night Mystery")</f>
        <v>Dateline Saturday Night Mystery</v>
      </c>
      <c r="E144" s="3" t="s">
        <v>30</v>
      </c>
      <c r="F144" s="3" t="s">
        <v>1311</v>
      </c>
      <c r="G144" s="3" t="s">
        <v>1816</v>
      </c>
    </row>
    <row r="145" spans="1:7">
      <c r="A145" s="6">
        <v>42902</v>
      </c>
      <c r="B145" s="3" t="s">
        <v>3494</v>
      </c>
      <c r="C145" s="3" t="s">
        <v>18</v>
      </c>
      <c r="D145" s="8" t="str">
        <f>HYPERLINK("http://npthd.inbcu.com/ViewContent.aspx?filename=NPMR_NBC_2017-06-16_E.MP4$10487$10867","DATELINE NBC: fr2639")</f>
        <v>DATELINE NBC: fr2639</v>
      </c>
      <c r="E145" s="3" t="s">
        <v>1034</v>
      </c>
      <c r="F145" s="3" t="s">
        <v>1816</v>
      </c>
      <c r="G145" s="3" t="s">
        <v>3604</v>
      </c>
    </row>
    <row r="146" spans="1:7">
      <c r="A146" s="6">
        <v>42902</v>
      </c>
      <c r="B146" s="3" t="s">
        <v>3494</v>
      </c>
      <c r="C146" s="3" t="s">
        <v>14</v>
      </c>
      <c r="D146" s="8" t="str">
        <f>HYPERLINK("http://npthd.inbcu.com/ViewContent.aspx?filename=NPMR_NBC_2017-06-16_E.MP4$10867$10872","NBC News")</f>
        <v>NBC News</v>
      </c>
      <c r="E146" s="3" t="s">
        <v>54</v>
      </c>
      <c r="F146" s="3" t="s">
        <v>3604</v>
      </c>
      <c r="G146" s="3" t="s">
        <v>3605</v>
      </c>
    </row>
    <row r="147" spans="1:7">
      <c r="A147" s="6">
        <v>42902</v>
      </c>
      <c r="B147" s="3" t="s">
        <v>3494</v>
      </c>
      <c r="C147" s="3" t="s">
        <v>32</v>
      </c>
      <c r="D147" s="8" t="str">
        <f>HYPERLINK("http://npthd.inbcu.com/ViewContent.aspx?filename=NPMR_NBC_2017-06-16_E.MP4$10872$10901","LOCAL")</f>
        <v>LOCAL</v>
      </c>
      <c r="E147" s="3" t="s">
        <v>24</v>
      </c>
      <c r="F147" s="3" t="s">
        <v>3605</v>
      </c>
      <c r="G147" s="3" t="s">
        <v>124</v>
      </c>
    </row>
    <row r="148" spans="1:7">
      <c r="A148" s="6">
        <v>42903</v>
      </c>
      <c r="B148" s="3" t="s">
        <v>3494</v>
      </c>
      <c r="C148" s="3" t="s">
        <v>18</v>
      </c>
      <c r="D148" s="8" t="str">
        <f>HYPERLINK("http://npthd.inbcu.com/ViewContent.aspx?filename=NPMR_NBC_2017-06-17_E.MP4$71$582","WORLD OF DANCE: the qualifiers 3")</f>
        <v>WORLD OF DANCE: the qualifiers 3</v>
      </c>
      <c r="E148" s="3" t="s">
        <v>3206</v>
      </c>
      <c r="F148" s="3" t="s">
        <v>16</v>
      </c>
      <c r="G148" s="3" t="s">
        <v>2319</v>
      </c>
    </row>
    <row r="149" spans="1:7">
      <c r="A149" s="6">
        <v>42903</v>
      </c>
      <c r="B149" s="3" t="s">
        <v>3494</v>
      </c>
      <c r="C149" s="3" t="s">
        <v>21</v>
      </c>
      <c r="D149" s="8" t="str">
        <f>HYPERLINK("http://npthd.inbcu.com/ViewContent.aspx?filename=NPMR_NBC_2017-06-17_E.MP4$582$762","COMMERCIAL")</f>
        <v>COMMERCIAL</v>
      </c>
      <c r="E149" s="3" t="s">
        <v>22</v>
      </c>
      <c r="F149" s="3" t="s">
        <v>2319</v>
      </c>
      <c r="G149" s="3" t="s">
        <v>3606</v>
      </c>
    </row>
    <row r="150" spans="1:7">
      <c r="A150" s="6">
        <v>42903</v>
      </c>
      <c r="B150" s="3" t="s">
        <v>3494</v>
      </c>
      <c r="C150" s="3" t="s">
        <v>14</v>
      </c>
      <c r="D150" s="8" t="str">
        <f>HYPERLINK("http://npthd.inbcu.com/ViewContent.aspx?filename=NPMR_NBC_2017-06-17_E.MP4$762$792","ANW / Spartan Race")</f>
        <v>ANW / Spartan Race</v>
      </c>
      <c r="E150" s="3" t="s">
        <v>38</v>
      </c>
      <c r="F150" s="3" t="s">
        <v>3606</v>
      </c>
      <c r="G150" s="3" t="s">
        <v>3607</v>
      </c>
    </row>
    <row r="151" spans="1:7">
      <c r="A151" s="6">
        <v>42903</v>
      </c>
      <c r="B151" s="3" t="s">
        <v>3494</v>
      </c>
      <c r="C151" s="3" t="s">
        <v>18</v>
      </c>
      <c r="D151" s="8" t="str">
        <f>HYPERLINK("http://npthd.inbcu.com/ViewContent.aspx?filename=NPMR_NBC_2017-06-17_E.MP4$792$1162","WORLD OF DANCE: the qualifiers 3")</f>
        <v>WORLD OF DANCE: the qualifiers 3</v>
      </c>
      <c r="E151" s="3" t="s">
        <v>538</v>
      </c>
      <c r="F151" s="3" t="s">
        <v>3607</v>
      </c>
      <c r="G151" s="3" t="s">
        <v>1823</v>
      </c>
    </row>
    <row r="152" spans="1:7">
      <c r="A152" s="6">
        <v>42903</v>
      </c>
      <c r="B152" s="3" t="s">
        <v>3494</v>
      </c>
      <c r="C152" s="3" t="s">
        <v>21</v>
      </c>
      <c r="D152" s="8" t="str">
        <f>HYPERLINK("http://npthd.inbcu.com/ViewContent.aspx?filename=NPMR_NBC_2017-06-17_E.MP4$1162$1253","COMMERCIAL")</f>
        <v>COMMERCIAL</v>
      </c>
      <c r="E152" s="3" t="s">
        <v>77</v>
      </c>
      <c r="F152" s="3" t="s">
        <v>1823</v>
      </c>
      <c r="G152" s="3" t="s">
        <v>3608</v>
      </c>
    </row>
    <row r="153" spans="1:7">
      <c r="A153" s="6">
        <v>42903</v>
      </c>
      <c r="B153" s="3" t="s">
        <v>3494</v>
      </c>
      <c r="C153" s="3" t="s">
        <v>14</v>
      </c>
      <c r="D153" s="8" t="str">
        <f>HYPERLINK("http://npthd.inbcu.com/ViewContent.aspx?filename=NPMR_NBC_2017-06-17_E.MP4$1253$1258","Despicable Me 3")</f>
        <v>Despicable Me 3</v>
      </c>
      <c r="E153" s="3" t="s">
        <v>54</v>
      </c>
      <c r="F153" s="3" t="s">
        <v>3608</v>
      </c>
      <c r="G153" s="3" t="s">
        <v>2806</v>
      </c>
    </row>
    <row r="154" spans="1:7">
      <c r="A154" s="6">
        <v>42903</v>
      </c>
      <c r="B154" s="3" t="s">
        <v>3494</v>
      </c>
      <c r="C154" s="3" t="s">
        <v>32</v>
      </c>
      <c r="D154" s="8" t="str">
        <f>HYPERLINK("http://npthd.inbcu.com/ViewContent.aspx?filename=NPMR_NBC_2017-06-17_E.MP4$1258$1381","LOCAL")</f>
        <v>LOCAL</v>
      </c>
      <c r="E154" s="3" t="s">
        <v>2722</v>
      </c>
      <c r="F154" s="3" t="s">
        <v>2806</v>
      </c>
      <c r="G154" s="3" t="s">
        <v>3609</v>
      </c>
    </row>
    <row r="155" spans="1:7">
      <c r="A155" s="6">
        <v>42903</v>
      </c>
      <c r="B155" s="3" t="s">
        <v>3494</v>
      </c>
      <c r="C155" s="3" t="s">
        <v>14</v>
      </c>
      <c r="D155" s="8" t="str">
        <f>HYPERLINK("http://npthd.inbcu.com/ViewContent.aspx?filename=NPMR_NBC_2017-06-17_E.MP4$1381$1396","Spartan Race")</f>
        <v>Spartan Race</v>
      </c>
      <c r="E155" s="3" t="s">
        <v>30</v>
      </c>
      <c r="F155" s="3" t="s">
        <v>3609</v>
      </c>
      <c r="G155" s="3" t="s">
        <v>1610</v>
      </c>
    </row>
    <row r="156" spans="1:7">
      <c r="A156" s="6">
        <v>42903</v>
      </c>
      <c r="B156" s="3" t="s">
        <v>3494</v>
      </c>
      <c r="C156" s="3" t="s">
        <v>18</v>
      </c>
      <c r="D156" s="8" t="str">
        <f>HYPERLINK("http://npthd.inbcu.com/ViewContent.aspx?filename=NPMR_NBC_2017-06-17_E.MP4$1396$1876","WORLD OF DANCE: the qualifiers 3")</f>
        <v>WORLD OF DANCE: the qualifiers 3</v>
      </c>
      <c r="E156" s="3" t="s">
        <v>484</v>
      </c>
      <c r="F156" s="3" t="s">
        <v>1610</v>
      </c>
      <c r="G156" s="3" t="s">
        <v>620</v>
      </c>
    </row>
    <row r="157" spans="1:7">
      <c r="A157" s="6">
        <v>42903</v>
      </c>
      <c r="B157" s="3" t="s">
        <v>3494</v>
      </c>
      <c r="C157" s="3" t="s">
        <v>14</v>
      </c>
      <c r="D157" s="8" t="str">
        <f>HYPERLINK("http://npthd.inbcu.com/ViewContent.aspx?filename=NPMR_NBC_2017-06-17_E.MP4$1876$1891","Americas Got Talent")</f>
        <v>Americas Got Talent</v>
      </c>
      <c r="E157" s="3" t="s">
        <v>30</v>
      </c>
      <c r="F157" s="3" t="s">
        <v>620</v>
      </c>
      <c r="G157" s="3" t="s">
        <v>3610</v>
      </c>
    </row>
    <row r="158" spans="1:7">
      <c r="A158" s="6">
        <v>42903</v>
      </c>
      <c r="B158" s="3" t="s">
        <v>3494</v>
      </c>
      <c r="C158" s="3" t="s">
        <v>21</v>
      </c>
      <c r="D158" s="8" t="str">
        <f>HYPERLINK("http://npthd.inbcu.com/ViewContent.aspx?filename=NPMR_NBC_2017-06-17_E.MP4$1891$2072","COMMERCIAL")</f>
        <v>COMMERCIAL</v>
      </c>
      <c r="E158" s="3" t="s">
        <v>108</v>
      </c>
      <c r="F158" s="3" t="s">
        <v>3610</v>
      </c>
      <c r="G158" s="3" t="s">
        <v>3611</v>
      </c>
    </row>
    <row r="159" spans="1:7">
      <c r="A159" s="6">
        <v>42903</v>
      </c>
      <c r="B159" s="3" t="s">
        <v>3494</v>
      </c>
      <c r="C159" s="3" t="s">
        <v>14</v>
      </c>
      <c r="D159" s="8" t="str">
        <f>HYPERLINK("http://npthd.inbcu.com/ViewContent.aspx?filename=NPMR_NBC_2017-06-17_E.MP4$2072$2087","Little Big Shots: Forever Young")</f>
        <v>Little Big Shots: Forever Young</v>
      </c>
      <c r="E159" s="3" t="s">
        <v>30</v>
      </c>
      <c r="F159" s="3" t="s">
        <v>3611</v>
      </c>
      <c r="G159" s="3" t="s">
        <v>3612</v>
      </c>
    </row>
    <row r="160" spans="1:7">
      <c r="A160" s="6">
        <v>42903</v>
      </c>
      <c r="B160" s="3" t="s">
        <v>3494</v>
      </c>
      <c r="C160" s="3" t="s">
        <v>18</v>
      </c>
      <c r="D160" s="8" t="str">
        <f>HYPERLINK("http://npthd.inbcu.com/ViewContent.aspx?filename=NPMR_NBC_2017-06-17_E.MP4$2087$2403","WORLD OF DANCE: the qualifiers 3")</f>
        <v>WORLD OF DANCE: the qualifiers 3</v>
      </c>
      <c r="E160" s="3" t="s">
        <v>1145</v>
      </c>
      <c r="F160" s="3" t="s">
        <v>3612</v>
      </c>
      <c r="G160" s="3" t="s">
        <v>3613</v>
      </c>
    </row>
    <row r="161" spans="1:7">
      <c r="A161" s="6">
        <v>42903</v>
      </c>
      <c r="B161" s="3" t="s">
        <v>3494</v>
      </c>
      <c r="C161" s="3" t="s">
        <v>21</v>
      </c>
      <c r="D161" s="8" t="str">
        <f>HYPERLINK("http://npthd.inbcu.com/ViewContent.aspx?filename=NPMR_NBC_2017-06-17_E.MP4$2403$2463","COMMERCIAL")</f>
        <v>COMMERCIAL</v>
      </c>
      <c r="E161" s="3" t="s">
        <v>66</v>
      </c>
      <c r="F161" s="3" t="s">
        <v>3613</v>
      </c>
      <c r="G161" s="3" t="s">
        <v>868</v>
      </c>
    </row>
    <row r="162" spans="1:7">
      <c r="A162" s="6">
        <v>42903</v>
      </c>
      <c r="B162" s="3" t="s">
        <v>3494</v>
      </c>
      <c r="C162" s="3" t="s">
        <v>14</v>
      </c>
      <c r="D162" s="8" t="str">
        <f>HYPERLINK("http://npthd.inbcu.com/ViewContent.aspx?filename=NPMR_NBC_2017-06-17_E.MP4$2463$2478","Despicable Me 3")</f>
        <v>Despicable Me 3</v>
      </c>
      <c r="E162" s="3" t="s">
        <v>30</v>
      </c>
      <c r="F162" s="3" t="s">
        <v>868</v>
      </c>
      <c r="G162" s="3" t="s">
        <v>1486</v>
      </c>
    </row>
    <row r="163" spans="1:7">
      <c r="A163" s="6">
        <v>42903</v>
      </c>
      <c r="B163" s="3" t="s">
        <v>3494</v>
      </c>
      <c r="C163" s="3" t="s">
        <v>32</v>
      </c>
      <c r="D163" s="8" t="str">
        <f>HYPERLINK("http://npthd.inbcu.com/ViewContent.aspx?filename=NPMR_NBC_2017-06-17_E.MP4$2478$2598","LOCAL")</f>
        <v>LOCAL</v>
      </c>
      <c r="E163" s="3" t="s">
        <v>43</v>
      </c>
      <c r="F163" s="3" t="s">
        <v>1486</v>
      </c>
      <c r="G163" s="3" t="s">
        <v>870</v>
      </c>
    </row>
    <row r="164" spans="1:7">
      <c r="A164" s="6">
        <v>42903</v>
      </c>
      <c r="B164" s="3" t="s">
        <v>3494</v>
      </c>
      <c r="C164" s="3" t="s">
        <v>14</v>
      </c>
      <c r="D164" s="8" t="str">
        <f>HYPERLINK("http://npthd.inbcu.com/ViewContent.aspx?filename=NPMR_NBC_2017-06-17_E.MP4$2598$2628","NBC Thursday")</f>
        <v>NBC Thursday</v>
      </c>
      <c r="E164" s="3" t="s">
        <v>38</v>
      </c>
      <c r="F164" s="3" t="s">
        <v>870</v>
      </c>
      <c r="G164" s="3" t="s">
        <v>3614</v>
      </c>
    </row>
    <row r="165" spans="1:7">
      <c r="A165" s="6">
        <v>42903</v>
      </c>
      <c r="B165" s="3" t="s">
        <v>3494</v>
      </c>
      <c r="C165" s="3" t="s">
        <v>18</v>
      </c>
      <c r="D165" s="8" t="str">
        <f>HYPERLINK("http://npthd.inbcu.com/ViewContent.aspx?filename=NPMR_NBC_2017-06-17_E.MP4$2628$3082","WORLD OF DANCE: the qualifiers 3")</f>
        <v>WORLD OF DANCE: the qualifiers 3</v>
      </c>
      <c r="E165" s="3" t="s">
        <v>3558</v>
      </c>
      <c r="F165" s="3" t="s">
        <v>3614</v>
      </c>
      <c r="G165" s="3" t="s">
        <v>2190</v>
      </c>
    </row>
    <row r="166" spans="1:7">
      <c r="A166" s="6">
        <v>42903</v>
      </c>
      <c r="B166" s="3" t="s">
        <v>3494</v>
      </c>
      <c r="C166" s="3" t="s">
        <v>21</v>
      </c>
      <c r="D166" s="8" t="str">
        <f>HYPERLINK("http://npthd.inbcu.com/ViewContent.aspx?filename=NPMR_NBC_2017-06-17_E.MP4$3082$3263","COMMERCIAL")</f>
        <v>COMMERCIAL</v>
      </c>
      <c r="E166" s="3" t="s">
        <v>108</v>
      </c>
      <c r="F166" s="3" t="s">
        <v>2190</v>
      </c>
      <c r="G166" s="3" t="s">
        <v>3615</v>
      </c>
    </row>
    <row r="167" spans="1:7">
      <c r="A167" s="6">
        <v>42903</v>
      </c>
      <c r="B167" s="3" t="s">
        <v>3494</v>
      </c>
      <c r="C167" s="3" t="s">
        <v>14</v>
      </c>
      <c r="D167" s="8" t="str">
        <f>HYPERLINK("http://npthd.inbcu.com/ViewContent.aspx?filename=NPMR_NBC_2017-06-17_E.MP4$3263$3278","Today")</f>
        <v>Today</v>
      </c>
      <c r="E167" s="3" t="s">
        <v>30</v>
      </c>
      <c r="F167" s="3" t="s">
        <v>3615</v>
      </c>
      <c r="G167" s="3" t="s">
        <v>3616</v>
      </c>
    </row>
    <row r="168" spans="1:7">
      <c r="A168" s="6">
        <v>42903</v>
      </c>
      <c r="B168" s="3" t="s">
        <v>3494</v>
      </c>
      <c r="C168" s="3" t="s">
        <v>18</v>
      </c>
      <c r="D168" s="8" t="str">
        <f>HYPERLINK("http://npthd.inbcu.com/ViewContent.aspx?filename=NPMR_NBC_2017-06-17_E.MP4$3278$3635","WORLD OF DANCE: the qualifiers 3")</f>
        <v>WORLD OF DANCE: the qualifiers 3</v>
      </c>
      <c r="E168" s="3" t="s">
        <v>323</v>
      </c>
      <c r="F168" s="3" t="s">
        <v>3616</v>
      </c>
      <c r="G168" s="3" t="s">
        <v>3511</v>
      </c>
    </row>
    <row r="169" spans="1:7">
      <c r="A169" s="6">
        <v>42903</v>
      </c>
      <c r="B169" s="3" t="s">
        <v>3494</v>
      </c>
      <c r="C169" s="3" t="s">
        <v>14</v>
      </c>
      <c r="D169" s="8" t="str">
        <f>HYPERLINK("http://npthd.inbcu.com/ViewContent.aspx?filename=NPMR_NBC_2017-06-17_E.MP4$3635$3665","World of Dance")</f>
        <v>World of Dance</v>
      </c>
      <c r="E169" s="3" t="s">
        <v>38</v>
      </c>
      <c r="F169" s="3" t="s">
        <v>3511</v>
      </c>
      <c r="G169" s="3" t="s">
        <v>2624</v>
      </c>
    </row>
    <row r="170" spans="1:7">
      <c r="A170" s="6">
        <v>42903</v>
      </c>
      <c r="B170" s="3" t="s">
        <v>3494</v>
      </c>
      <c r="C170" s="3" t="s">
        <v>18</v>
      </c>
      <c r="D170" s="8" t="str">
        <f>HYPERLINK("http://npthd.inbcu.com/ViewContent.aspx?filename=NPMR_NBC_2017-06-17_E.MP4$3665$3671","WORLD OF DANCE: the qualifiers 3")</f>
        <v>WORLD OF DANCE: the qualifiers 3</v>
      </c>
      <c r="E170" s="3" t="s">
        <v>15</v>
      </c>
      <c r="F170" s="3" t="s">
        <v>2624</v>
      </c>
      <c r="G170" s="3" t="s">
        <v>242</v>
      </c>
    </row>
    <row r="171" spans="1:7">
      <c r="A171" s="6">
        <v>42903</v>
      </c>
      <c r="B171" s="3" t="s">
        <v>3494</v>
      </c>
      <c r="C171" s="3" t="s">
        <v>32</v>
      </c>
      <c r="D171" s="8" t="str">
        <f>HYPERLINK("http://npthd.inbcu.com/ViewContent.aspx?filename=NPMR_NBC_2017-06-17_E.MP4$3671$3832","LOCAL")</f>
        <v>LOCAL</v>
      </c>
      <c r="E171" s="3" t="s">
        <v>2409</v>
      </c>
      <c r="F171" s="3" t="s">
        <v>242</v>
      </c>
      <c r="G171" s="3" t="s">
        <v>3617</v>
      </c>
    </row>
    <row r="172" spans="1:7">
      <c r="A172" s="6">
        <v>42903</v>
      </c>
      <c r="B172" s="3" t="s">
        <v>3494</v>
      </c>
      <c r="C172" s="3" t="s">
        <v>18</v>
      </c>
      <c r="D172" s="8" t="str">
        <f>HYPERLINK("http://npthd.inbcu.com/ViewContent.aspx?filename=NPMR_NBC_2017-06-17_E.MP4$3832$4868","DATELINE SATURDAY NIGHT MYSTERY: sa2639")</f>
        <v>DATELINE SATURDAY NIGHT MYSTERY: sa2639</v>
      </c>
      <c r="E172" s="3" t="s">
        <v>3618</v>
      </c>
      <c r="F172" s="3" t="s">
        <v>3617</v>
      </c>
      <c r="G172" s="3" t="s">
        <v>3619</v>
      </c>
    </row>
    <row r="173" spans="1:7">
      <c r="A173" s="6">
        <v>42903</v>
      </c>
      <c r="B173" s="3" t="s">
        <v>3494</v>
      </c>
      <c r="C173" s="3" t="s">
        <v>32</v>
      </c>
      <c r="D173" s="8" t="str">
        <f>HYPERLINK("http://npthd.inbcu.com/ViewContent.aspx?filename=NPMR_NBC_2017-06-17_E.MP4$4868$5109","LOCAL")</f>
        <v>LOCAL</v>
      </c>
      <c r="E173" s="3" t="s">
        <v>1484</v>
      </c>
      <c r="F173" s="3" t="s">
        <v>3619</v>
      </c>
      <c r="G173" s="3" t="s">
        <v>3620</v>
      </c>
    </row>
    <row r="174" spans="1:7">
      <c r="A174" s="6">
        <v>42903</v>
      </c>
      <c r="B174" s="3" t="s">
        <v>3494</v>
      </c>
      <c r="C174" s="3" t="s">
        <v>18</v>
      </c>
      <c r="D174" s="8" t="str">
        <f>HYPERLINK("http://npthd.inbcu.com/ViewContent.aspx?filename=NPMR_NBC_2017-06-17_E.MP4$5109$5920","DATELINE SATURDAY NIGHT MYSTERY: sa2639")</f>
        <v>DATELINE SATURDAY NIGHT MYSTERY: sa2639</v>
      </c>
      <c r="E174" s="3" t="s">
        <v>3621</v>
      </c>
      <c r="F174" s="3" t="s">
        <v>3620</v>
      </c>
      <c r="G174" s="3" t="s">
        <v>3622</v>
      </c>
    </row>
    <row r="175" spans="1:7">
      <c r="A175" s="6">
        <v>42903</v>
      </c>
      <c r="B175" s="3" t="s">
        <v>3494</v>
      </c>
      <c r="C175" s="3" t="s">
        <v>32</v>
      </c>
      <c r="D175" s="8" t="str">
        <f>HYPERLINK("http://npthd.inbcu.com/ViewContent.aspx?filename=NPMR_NBC_2017-06-17_E.MP4$5920$6156","LOCAL")</f>
        <v>LOCAL</v>
      </c>
      <c r="E175" s="3" t="s">
        <v>665</v>
      </c>
      <c r="F175" s="3" t="s">
        <v>3622</v>
      </c>
      <c r="G175" s="3" t="s">
        <v>3623</v>
      </c>
    </row>
    <row r="176" spans="1:7">
      <c r="A176" s="6">
        <v>42903</v>
      </c>
      <c r="B176" s="3" t="s">
        <v>3494</v>
      </c>
      <c r="C176" s="3" t="s">
        <v>18</v>
      </c>
      <c r="D176" s="8" t="str">
        <f>HYPERLINK("http://npthd.inbcu.com/ViewContent.aspx?filename=NPMR_NBC_2017-06-17_E.MP4$6156$6796","DATELINE SATURDAY NIGHT MYSTERY: sa2639")</f>
        <v>DATELINE SATURDAY NIGHT MYSTERY: sa2639</v>
      </c>
      <c r="E176" s="3" t="s">
        <v>3624</v>
      </c>
      <c r="F176" s="3" t="s">
        <v>3623</v>
      </c>
      <c r="G176" s="3" t="s">
        <v>3311</v>
      </c>
    </row>
    <row r="177" spans="1:7">
      <c r="A177" s="6">
        <v>42903</v>
      </c>
      <c r="B177" s="3" t="s">
        <v>3494</v>
      </c>
      <c r="C177" s="3" t="s">
        <v>32</v>
      </c>
      <c r="D177" s="8" t="str">
        <f>HYPERLINK("http://npthd.inbcu.com/ViewContent.aspx?filename=NPMR_NBC_2017-06-17_E.MP4$6796$7038","LOCAL")</f>
        <v>LOCAL</v>
      </c>
      <c r="E177" s="3" t="s">
        <v>1405</v>
      </c>
      <c r="F177" s="3" t="s">
        <v>3311</v>
      </c>
      <c r="G177" s="3" t="s">
        <v>2935</v>
      </c>
    </row>
    <row r="178" spans="1:7">
      <c r="A178" s="6">
        <v>42903</v>
      </c>
      <c r="B178" s="3" t="s">
        <v>3494</v>
      </c>
      <c r="C178" s="3" t="s">
        <v>18</v>
      </c>
      <c r="D178" s="8" t="str">
        <f>HYPERLINK("http://npthd.inbcu.com/ViewContent.aspx?filename=NPMR_NBC_2017-06-17_E.MP4$7038$7587","DATELINE SATURDAY NIGHT MYSTERY: sa2639")</f>
        <v>DATELINE SATURDAY NIGHT MYSTERY: sa2639</v>
      </c>
      <c r="E178" s="3" t="s">
        <v>41</v>
      </c>
      <c r="F178" s="3" t="s">
        <v>2935</v>
      </c>
      <c r="G178" s="3" t="s">
        <v>2727</v>
      </c>
    </row>
    <row r="179" spans="1:7">
      <c r="A179" s="6">
        <v>42903</v>
      </c>
      <c r="B179" s="3" t="s">
        <v>3494</v>
      </c>
      <c r="C179" s="3" t="s">
        <v>32</v>
      </c>
      <c r="D179" s="8" t="str">
        <f>HYPERLINK("http://npthd.inbcu.com/ViewContent.aspx?filename=NPMR_NBC_2017-06-17_E.MP4$7587$7828","LOCAL")</f>
        <v>LOCAL</v>
      </c>
      <c r="E179" s="3" t="s">
        <v>1484</v>
      </c>
      <c r="F179" s="3" t="s">
        <v>2727</v>
      </c>
      <c r="G179" s="3" t="s">
        <v>3625</v>
      </c>
    </row>
    <row r="180" spans="1:7">
      <c r="A180" s="6">
        <v>42903</v>
      </c>
      <c r="B180" s="3" t="s">
        <v>3494</v>
      </c>
      <c r="C180" s="3" t="s">
        <v>18</v>
      </c>
      <c r="D180" s="8" t="str">
        <f>HYPERLINK("http://npthd.inbcu.com/ViewContent.aspx?filename=NPMR_NBC_2017-06-17_E.MP4$7828$8461","DATELINE SATURDAY NIGHT MYSTERY: sa2639")</f>
        <v>DATELINE SATURDAY NIGHT MYSTERY: sa2639</v>
      </c>
      <c r="E180" s="3" t="s">
        <v>3626</v>
      </c>
      <c r="F180" s="3" t="s">
        <v>3625</v>
      </c>
      <c r="G180" s="3" t="s">
        <v>481</v>
      </c>
    </row>
    <row r="181" spans="1:7">
      <c r="A181" s="6">
        <v>42903</v>
      </c>
      <c r="B181" s="3" t="s">
        <v>3494</v>
      </c>
      <c r="C181" s="3" t="s">
        <v>32</v>
      </c>
      <c r="D181" s="8" t="str">
        <f>HYPERLINK("http://npthd.inbcu.com/ViewContent.aspx?filename=NPMR_NBC_2017-06-17_E.MP4$8461$8702","LOCAL")</f>
        <v>LOCAL</v>
      </c>
      <c r="E181" s="3" t="s">
        <v>1484</v>
      </c>
      <c r="F181" s="3" t="s">
        <v>481</v>
      </c>
      <c r="G181" s="3" t="s">
        <v>3627</v>
      </c>
    </row>
    <row r="182" spans="1:7">
      <c r="A182" s="6">
        <v>42903</v>
      </c>
      <c r="B182" s="3" t="s">
        <v>3494</v>
      </c>
      <c r="C182" s="3" t="s">
        <v>18</v>
      </c>
      <c r="D182" s="8" t="str">
        <f>HYPERLINK("http://npthd.inbcu.com/ViewContent.aspx?filename=NPMR_NBC_2017-06-17_E.MP4$8702$9540","DATELINE SATURDAY NIGHT MYSTERY: sa2639")</f>
        <v>DATELINE SATURDAY NIGHT MYSTERY: sa2639</v>
      </c>
      <c r="E182" s="3" t="s">
        <v>3628</v>
      </c>
      <c r="F182" s="3" t="s">
        <v>3627</v>
      </c>
      <c r="G182" s="3" t="s">
        <v>3629</v>
      </c>
    </row>
    <row r="183" spans="1:7">
      <c r="A183" s="6">
        <v>42903</v>
      </c>
      <c r="B183" s="3" t="s">
        <v>3494</v>
      </c>
      <c r="C183" s="3" t="s">
        <v>32</v>
      </c>
      <c r="D183" s="8" t="str">
        <f>HYPERLINK("http://npthd.inbcu.com/ViewContent.aspx?filename=NPMR_NBC_2017-06-17_E.MP4$9540$9781","LOCAL")</f>
        <v>LOCAL</v>
      </c>
      <c r="E183" s="3" t="s">
        <v>1484</v>
      </c>
      <c r="F183" s="3" t="s">
        <v>3629</v>
      </c>
      <c r="G183" s="3" t="s">
        <v>1527</v>
      </c>
    </row>
    <row r="184" spans="1:7">
      <c r="A184" s="6">
        <v>42903</v>
      </c>
      <c r="B184" s="3" t="s">
        <v>3494</v>
      </c>
      <c r="C184" s="3" t="s">
        <v>18</v>
      </c>
      <c r="D184" s="8" t="str">
        <f>HYPERLINK("http://npthd.inbcu.com/ViewContent.aspx?filename=NPMR_NBC_2017-06-17_E.MP4$9781$10240","DATELINE SATURDAY NIGHT MYSTERY: sa2639")</f>
        <v>DATELINE SATURDAY NIGHT MYSTERY: sa2639</v>
      </c>
      <c r="E184" s="3" t="s">
        <v>895</v>
      </c>
      <c r="F184" s="3" t="s">
        <v>1527</v>
      </c>
      <c r="G184" s="3" t="s">
        <v>3630</v>
      </c>
    </row>
    <row r="185" spans="1:7">
      <c r="A185" s="6">
        <v>42903</v>
      </c>
      <c r="B185" s="3" t="s">
        <v>3494</v>
      </c>
      <c r="C185" s="3" t="s">
        <v>32</v>
      </c>
      <c r="D185" s="8" t="str">
        <f>HYPERLINK("http://npthd.inbcu.com/ViewContent.aspx?filename=NPMR_NBC_2017-06-17_E.MP4$10240$10481","LOCAL")</f>
        <v>LOCAL</v>
      </c>
      <c r="E185" s="3" t="s">
        <v>1484</v>
      </c>
      <c r="F185" s="3" t="s">
        <v>3630</v>
      </c>
      <c r="G185" s="3" t="s">
        <v>3631</v>
      </c>
    </row>
    <row r="186" spans="1:7">
      <c r="A186" s="6">
        <v>42903</v>
      </c>
      <c r="B186" s="3" t="s">
        <v>3494</v>
      </c>
      <c r="C186" s="3" t="s">
        <v>18</v>
      </c>
      <c r="D186" s="8" t="str">
        <f>HYPERLINK("http://npthd.inbcu.com/ViewContent.aspx?filename=NPMR_NBC_2017-06-17_E.MP4$10481$10811","DATELINE SATURDAY NIGHT MYSTERY: sa2639")</f>
        <v>DATELINE SATURDAY NIGHT MYSTERY: sa2639</v>
      </c>
      <c r="E186" s="3" t="s">
        <v>338</v>
      </c>
      <c r="F186" s="3" t="s">
        <v>3631</v>
      </c>
      <c r="G186" s="3" t="s">
        <v>3632</v>
      </c>
    </row>
    <row r="187" spans="1:7">
      <c r="A187" s="6">
        <v>42903</v>
      </c>
      <c r="B187" s="3" t="s">
        <v>3494</v>
      </c>
      <c r="C187" s="3" t="s">
        <v>32</v>
      </c>
      <c r="D187" s="8" t="str">
        <f>HYPERLINK("http://npthd.inbcu.com/ViewContent.aspx?filename=NPMR_NBC_2017-06-17_E.MP4$10811$10871","LOCAL")</f>
        <v>LOCAL</v>
      </c>
      <c r="E187" s="3" t="s">
        <v>66</v>
      </c>
      <c r="F187" s="3" t="s">
        <v>3632</v>
      </c>
      <c r="G187" s="3" t="s">
        <v>124</v>
      </c>
    </row>
    <row r="188" spans="1:7">
      <c r="A188" s="6">
        <v>42904</v>
      </c>
      <c r="B188" s="3" t="s">
        <v>3494</v>
      </c>
      <c r="C188" s="3" t="s">
        <v>18</v>
      </c>
      <c r="D188" s="8" t="str">
        <f>HYPERLINK("http://npthd.inbcu.com/ViewContent.aspx?filename=NPMR_NBC_2017-06-18_E.MP4$90$1245","SUNDAY NIGHT WITH MEGYN KELLY: mgn103")</f>
        <v>SUNDAY NIGHT WITH MEGYN KELLY: mgn103</v>
      </c>
      <c r="E188" s="3" t="s">
        <v>3633</v>
      </c>
      <c r="F188" s="3" t="s">
        <v>311</v>
      </c>
      <c r="G188" s="3" t="s">
        <v>3634</v>
      </c>
    </row>
    <row r="189" spans="1:7">
      <c r="A189" s="6">
        <v>42904</v>
      </c>
      <c r="B189" s="3" t="s">
        <v>3494</v>
      </c>
      <c r="C189" s="3" t="s">
        <v>21</v>
      </c>
      <c r="D189" s="8" t="str">
        <f>HYPERLINK("http://npthd.inbcu.com/ViewContent.aspx?filename=NPMR_NBC_2017-06-18_E.MP4$1245$1306","COMMERCIAL")</f>
        <v>COMMERCIAL</v>
      </c>
      <c r="E189" s="3" t="s">
        <v>33</v>
      </c>
      <c r="F189" s="3" t="s">
        <v>3634</v>
      </c>
      <c r="G189" s="3" t="s">
        <v>3635</v>
      </c>
    </row>
    <row r="190" spans="1:7">
      <c r="A190" s="6">
        <v>42904</v>
      </c>
      <c r="B190" s="3" t="s">
        <v>3494</v>
      </c>
      <c r="C190" s="3" t="s">
        <v>14</v>
      </c>
      <c r="D190" s="8" t="str">
        <f>HYPERLINK("http://npthd.inbcu.com/ViewContent.aspx?filename=NPMR_NBC_2017-06-18_E.MP4$1306$1321","Spartan Race")</f>
        <v>Spartan Race</v>
      </c>
      <c r="E190" s="3" t="s">
        <v>30</v>
      </c>
      <c r="F190" s="3" t="s">
        <v>3635</v>
      </c>
      <c r="G190" s="3" t="s">
        <v>3636</v>
      </c>
    </row>
    <row r="191" spans="1:7">
      <c r="A191" s="6">
        <v>42904</v>
      </c>
      <c r="B191" s="3" t="s">
        <v>3494</v>
      </c>
      <c r="C191" s="3" t="s">
        <v>14</v>
      </c>
      <c r="D191" s="8" t="str">
        <f>HYPERLINK("http://npthd.inbcu.com/ViewContent.aspx?filename=NPMR_NBC_2017-06-18_E.MP4$1321$1335","Night Shift, The")</f>
        <v>Night Shift, The</v>
      </c>
      <c r="E191" s="3" t="s">
        <v>342</v>
      </c>
      <c r="F191" s="3" t="s">
        <v>3636</v>
      </c>
      <c r="G191" s="3" t="s">
        <v>3637</v>
      </c>
    </row>
    <row r="192" spans="1:7">
      <c r="A192" s="6">
        <v>42904</v>
      </c>
      <c r="B192" s="3" t="s">
        <v>3494</v>
      </c>
      <c r="C192" s="3" t="s">
        <v>32</v>
      </c>
      <c r="D192" s="8" t="str">
        <f>HYPERLINK("http://npthd.inbcu.com/ViewContent.aspx?filename=NPMR_NBC_2017-06-18_E.MP4$1335$1430","LOCAL")</f>
        <v>LOCAL</v>
      </c>
      <c r="E192" s="3" t="s">
        <v>2076</v>
      </c>
      <c r="F192" s="3" t="s">
        <v>3637</v>
      </c>
      <c r="G192" s="3" t="s">
        <v>3638</v>
      </c>
    </row>
    <row r="193" spans="1:7">
      <c r="A193" s="6">
        <v>42904</v>
      </c>
      <c r="B193" s="3" t="s">
        <v>3494</v>
      </c>
      <c r="C193" s="3" t="s">
        <v>14</v>
      </c>
      <c r="D193" s="8" t="str">
        <f>HYPERLINK("http://npthd.inbcu.com/ViewContent.aspx?filename=NPMR_NBC_2017-06-18_E.MP4$1430$1460","American Ninja Warrior")</f>
        <v>American Ninja Warrior</v>
      </c>
      <c r="E193" s="3" t="s">
        <v>38</v>
      </c>
      <c r="F193" s="3" t="s">
        <v>3638</v>
      </c>
      <c r="G193" s="3" t="s">
        <v>3639</v>
      </c>
    </row>
    <row r="194" spans="1:7">
      <c r="A194" s="6">
        <v>42904</v>
      </c>
      <c r="B194" s="3" t="s">
        <v>3494</v>
      </c>
      <c r="C194" s="3" t="s">
        <v>18</v>
      </c>
      <c r="D194" s="8" t="str">
        <f>HYPERLINK("http://npthd.inbcu.com/ViewContent.aspx?filename=NPMR_NBC_2017-06-18_E.MP4$1460$2137","SUNDAY NIGHT WITH MEGYN KELLY: mgn103")</f>
        <v>SUNDAY NIGHT WITH MEGYN KELLY: mgn103</v>
      </c>
      <c r="E194" s="3" t="s">
        <v>1025</v>
      </c>
      <c r="F194" s="3" t="s">
        <v>3639</v>
      </c>
      <c r="G194" s="3" t="s">
        <v>3640</v>
      </c>
    </row>
    <row r="195" spans="1:7">
      <c r="A195" s="6">
        <v>42904</v>
      </c>
      <c r="B195" s="3" t="s">
        <v>3494</v>
      </c>
      <c r="C195" s="3" t="s">
        <v>21</v>
      </c>
      <c r="D195" s="8" t="str">
        <f>HYPERLINK("http://npthd.inbcu.com/ViewContent.aspx?filename=NPMR_NBC_2017-06-18_E.MP4$2137$2258","COMMERCIAL")</f>
        <v>COMMERCIAL</v>
      </c>
      <c r="E195" s="3" t="s">
        <v>175</v>
      </c>
      <c r="F195" s="3" t="s">
        <v>3640</v>
      </c>
      <c r="G195" s="3" t="s">
        <v>3641</v>
      </c>
    </row>
    <row r="196" spans="1:7">
      <c r="A196" s="6">
        <v>42904</v>
      </c>
      <c r="B196" s="3" t="s">
        <v>3494</v>
      </c>
      <c r="C196" s="3" t="s">
        <v>14</v>
      </c>
      <c r="D196" s="8" t="str">
        <f>HYPERLINK("http://npthd.inbcu.com/ViewContent.aspx?filename=NPMR_NBC_2017-06-18_E.MP4$2258$2288","Americas Got Talent")</f>
        <v>Americas Got Talent</v>
      </c>
      <c r="E196" s="3" t="s">
        <v>38</v>
      </c>
      <c r="F196" s="3" t="s">
        <v>3641</v>
      </c>
      <c r="G196" s="3" t="s">
        <v>3642</v>
      </c>
    </row>
    <row r="197" spans="1:7">
      <c r="A197" s="6">
        <v>42904</v>
      </c>
      <c r="B197" s="3" t="s">
        <v>3494</v>
      </c>
      <c r="C197" s="3" t="s">
        <v>14</v>
      </c>
      <c r="D197" s="8" t="str">
        <f>HYPERLINK("http://npthd.inbcu.com/ViewContent.aspx?filename=NPMR_NBC_2017-06-18_E.MP4$2288$2318","World of Dance")</f>
        <v>World of Dance</v>
      </c>
      <c r="E197" s="3" t="s">
        <v>38</v>
      </c>
      <c r="F197" s="3" t="s">
        <v>3642</v>
      </c>
      <c r="G197" s="3" t="s">
        <v>3643</v>
      </c>
    </row>
    <row r="198" spans="1:7">
      <c r="A198" s="6">
        <v>42904</v>
      </c>
      <c r="B198" s="3" t="s">
        <v>3494</v>
      </c>
      <c r="C198" s="3" t="s">
        <v>14</v>
      </c>
      <c r="D198" s="8" t="str">
        <f>HYPERLINK("http://npthd.inbcu.com/ViewContent.aspx?filename=NPMR_NBC_2017-06-18_E.MP4$2318$2348","Little Big Shots: Forever Young")</f>
        <v>Little Big Shots: Forever Young</v>
      </c>
      <c r="E198" s="3" t="s">
        <v>38</v>
      </c>
      <c r="F198" s="3" t="s">
        <v>3643</v>
      </c>
      <c r="G198" s="3" t="s">
        <v>3644</v>
      </c>
    </row>
    <row r="199" spans="1:7">
      <c r="A199" s="6">
        <v>42904</v>
      </c>
      <c r="B199" s="3" t="s">
        <v>3494</v>
      </c>
      <c r="C199" s="3" t="s">
        <v>18</v>
      </c>
      <c r="D199" s="8" t="str">
        <f>HYPERLINK("http://npthd.inbcu.com/ViewContent.aspx?filename=NPMR_NBC_2017-06-18_E.MP4$2348$3040","SUNDAY NIGHT WITH MEGYN KELLY: mgn103")</f>
        <v>SUNDAY NIGHT WITH MEGYN KELLY: mgn103</v>
      </c>
      <c r="E199" s="3" t="s">
        <v>2941</v>
      </c>
      <c r="F199" s="3" t="s">
        <v>3644</v>
      </c>
      <c r="G199" s="3" t="s">
        <v>3645</v>
      </c>
    </row>
    <row r="200" spans="1:7">
      <c r="A200" s="6">
        <v>42904</v>
      </c>
      <c r="B200" s="3" t="s">
        <v>3494</v>
      </c>
      <c r="C200" s="3" t="s">
        <v>1618</v>
      </c>
      <c r="D200" s="8" t="str">
        <f>HYPERLINK("http://npthd.inbcu.com/ViewContent.aspx?filename=NPMR_NBC_2017-06-18_E.MP4$3040$3069","PSA")</f>
        <v>PSA</v>
      </c>
      <c r="E200" s="3" t="s">
        <v>24</v>
      </c>
      <c r="F200" s="3" t="s">
        <v>3645</v>
      </c>
      <c r="G200" s="3" t="s">
        <v>3646</v>
      </c>
    </row>
    <row r="201" spans="1:7">
      <c r="A201" s="6">
        <v>42904</v>
      </c>
      <c r="B201" s="3" t="s">
        <v>3494</v>
      </c>
      <c r="C201" s="3" t="s">
        <v>32</v>
      </c>
      <c r="D201" s="8" t="str">
        <f>HYPERLINK("http://npthd.inbcu.com/ViewContent.aspx?filename=NPMR_NBC_2017-06-18_E.MP4$3069$3235","LOCAL")</f>
        <v>LOCAL</v>
      </c>
      <c r="E201" s="3" t="s">
        <v>144</v>
      </c>
      <c r="F201" s="3" t="s">
        <v>3646</v>
      </c>
      <c r="G201" s="3" t="s">
        <v>3647</v>
      </c>
    </row>
    <row r="202" spans="1:7">
      <c r="A202" s="6">
        <v>42904</v>
      </c>
      <c r="B202" s="3" t="s">
        <v>3494</v>
      </c>
      <c r="C202" s="3" t="s">
        <v>14</v>
      </c>
      <c r="D202" s="8" t="str">
        <f>HYPERLINK("http://npthd.inbcu.com/ViewContent.aspx?filename=NPMR_NBC_2017-06-18_E.MP4$3235$3250","NBC Nightly News")</f>
        <v>NBC Nightly News</v>
      </c>
      <c r="E202" s="3" t="s">
        <v>30</v>
      </c>
      <c r="F202" s="3" t="s">
        <v>3647</v>
      </c>
      <c r="G202" s="3" t="s">
        <v>3648</v>
      </c>
    </row>
    <row r="203" spans="1:7">
      <c r="A203" s="6">
        <v>42904</v>
      </c>
      <c r="B203" s="3" t="s">
        <v>3494</v>
      </c>
      <c r="C203" s="3" t="s">
        <v>18</v>
      </c>
      <c r="D203" s="8" t="str">
        <f>HYPERLINK("http://npthd.inbcu.com/ViewContent.aspx?filename=NPMR_NBC_2017-06-18_E.MP4$3250$3402","SUNDAY NIGHT WITH MEGYN KELLY: mgn103")</f>
        <v>SUNDAY NIGHT WITH MEGYN KELLY: mgn103</v>
      </c>
      <c r="E203" s="3" t="s">
        <v>128</v>
      </c>
      <c r="F203" s="3" t="s">
        <v>3648</v>
      </c>
      <c r="G203" s="3" t="s">
        <v>3649</v>
      </c>
    </row>
    <row r="204" spans="1:7">
      <c r="A204" s="6">
        <v>42904</v>
      </c>
      <c r="B204" s="3" t="s">
        <v>3494</v>
      </c>
      <c r="C204" s="3" t="s">
        <v>21</v>
      </c>
      <c r="D204" s="8" t="str">
        <f>HYPERLINK("http://npthd.inbcu.com/ViewContent.aspx?filename=NPMR_NBC_2017-06-18_E.MP4$3402$3507","COMMERCIAL")</f>
        <v>COMMERCIAL</v>
      </c>
      <c r="E204" s="3" t="s">
        <v>199</v>
      </c>
      <c r="F204" s="3" t="s">
        <v>3649</v>
      </c>
      <c r="G204" s="3" t="s">
        <v>3650</v>
      </c>
    </row>
    <row r="205" spans="1:7">
      <c r="A205" s="6">
        <v>42904</v>
      </c>
      <c r="B205" s="3" t="s">
        <v>3494</v>
      </c>
      <c r="C205" s="3" t="s">
        <v>14</v>
      </c>
      <c r="D205" s="8" t="str">
        <f>HYPERLINK("http://npthd.inbcu.com/ViewContent.aspx?filename=NPMR_NBC_2017-06-18_E.MP4$3507$3522","Today")</f>
        <v>Today</v>
      </c>
      <c r="E205" s="3" t="s">
        <v>30</v>
      </c>
      <c r="F205" s="3" t="s">
        <v>3650</v>
      </c>
      <c r="G205" s="3" t="s">
        <v>3651</v>
      </c>
    </row>
    <row r="206" spans="1:7">
      <c r="A206" s="6">
        <v>42904</v>
      </c>
      <c r="B206" s="3" t="s">
        <v>3494</v>
      </c>
      <c r="C206" s="3" t="s">
        <v>14</v>
      </c>
      <c r="D206" s="8" t="str">
        <f>HYPERLINK("http://npthd.inbcu.com/ViewContent.aspx?filename=NPMR_NBC_2017-06-18_E.MP4$3522$3552","Hollywood Game Night")</f>
        <v>Hollywood Game Night</v>
      </c>
      <c r="E206" s="3" t="s">
        <v>38</v>
      </c>
      <c r="F206" s="3" t="s">
        <v>3651</v>
      </c>
      <c r="G206" s="3" t="s">
        <v>3652</v>
      </c>
    </row>
    <row r="207" spans="1:7">
      <c r="A207" s="6">
        <v>42904</v>
      </c>
      <c r="B207" s="3" t="s">
        <v>3494</v>
      </c>
      <c r="C207" s="3" t="s">
        <v>14</v>
      </c>
      <c r="D207" s="8" t="str">
        <f>HYPERLINK("http://npthd.inbcu.com/ViewContent.aspx?filename=NPMR_NBC_2017-06-18_E.MP4$3552$3582","Wall, The")</f>
        <v>Wall, The</v>
      </c>
      <c r="E207" s="3" t="s">
        <v>38</v>
      </c>
      <c r="F207" s="3" t="s">
        <v>3652</v>
      </c>
      <c r="G207" s="3" t="s">
        <v>3653</v>
      </c>
    </row>
    <row r="208" spans="1:7">
      <c r="A208" s="6">
        <v>42904</v>
      </c>
      <c r="B208" s="3" t="s">
        <v>3494</v>
      </c>
      <c r="C208" s="3" t="s">
        <v>14</v>
      </c>
      <c r="D208" s="8" t="str">
        <f>HYPERLINK("http://npthd.inbcu.com/ViewContent.aspx?filename=NPMR_NBC_2017-06-18_E.MP4$3582$3597","Midnight Texas")</f>
        <v>Midnight Texas</v>
      </c>
      <c r="E208" s="3" t="s">
        <v>30</v>
      </c>
      <c r="F208" s="3" t="s">
        <v>3653</v>
      </c>
      <c r="G208" s="3" t="s">
        <v>3654</v>
      </c>
    </row>
    <row r="209" spans="1:7">
      <c r="A209" s="6">
        <v>42904</v>
      </c>
      <c r="B209" s="3" t="s">
        <v>3494</v>
      </c>
      <c r="C209" s="3" t="s">
        <v>18</v>
      </c>
      <c r="D209" s="8" t="str">
        <f>HYPERLINK("http://npthd.inbcu.com/ViewContent.aspx?filename=NPMR_NBC_2017-06-18_E.MP4$3597$3689","SUNDAY NIGHT WITH MEGYN KELLY: mgn103")</f>
        <v>SUNDAY NIGHT WITH MEGYN KELLY: mgn103</v>
      </c>
      <c r="E209" s="3" t="s">
        <v>267</v>
      </c>
      <c r="F209" s="3" t="s">
        <v>3654</v>
      </c>
      <c r="G209" s="3" t="s">
        <v>3655</v>
      </c>
    </row>
    <row r="210" spans="1:7">
      <c r="A210" s="6">
        <v>42904</v>
      </c>
      <c r="B210" s="3" t="s">
        <v>3494</v>
      </c>
      <c r="C210" s="3" t="s">
        <v>18</v>
      </c>
      <c r="D210" s="8" t="str">
        <f>HYPERLINK("http://npthd.inbcu.com/ViewContent.aspx?filename=NPMR_NBC_2017-06-18_E.MP4$3689$4507","AMERICAN NINJA WARRIOR: los angeles qualifiers")</f>
        <v>AMERICAN NINJA WARRIOR: los angeles qualifiers</v>
      </c>
      <c r="E210" s="3" t="s">
        <v>3656</v>
      </c>
      <c r="F210" s="3" t="s">
        <v>3655</v>
      </c>
      <c r="G210" s="3" t="s">
        <v>3657</v>
      </c>
    </row>
    <row r="211" spans="1:7">
      <c r="A211" s="6">
        <v>42904</v>
      </c>
      <c r="B211" s="3" t="s">
        <v>3494</v>
      </c>
      <c r="C211" s="3" t="s">
        <v>21</v>
      </c>
      <c r="D211" s="8" t="str">
        <f>HYPERLINK("http://npthd.inbcu.com/ViewContent.aspx?filename=NPMR_NBC_2017-06-18_E.MP4$4507$4688","COMMERCIAL")</f>
        <v>COMMERCIAL</v>
      </c>
      <c r="E211" s="3" t="s">
        <v>108</v>
      </c>
      <c r="F211" s="3" t="s">
        <v>3657</v>
      </c>
      <c r="G211" s="3" t="s">
        <v>2998</v>
      </c>
    </row>
    <row r="212" spans="1:7">
      <c r="A212" s="6">
        <v>42904</v>
      </c>
      <c r="B212" s="3" t="s">
        <v>3494</v>
      </c>
      <c r="C212" s="3" t="s">
        <v>14</v>
      </c>
      <c r="D212" s="8" t="str">
        <f>HYPERLINK("http://npthd.inbcu.com/ViewContent.aspx?filename=NPMR_NBC_2017-06-18_E.MP4$4688$4718","NBC Thursday")</f>
        <v>NBC Thursday</v>
      </c>
      <c r="E212" s="3" t="s">
        <v>38</v>
      </c>
      <c r="F212" s="3" t="s">
        <v>2998</v>
      </c>
      <c r="G212" s="3" t="s">
        <v>3658</v>
      </c>
    </row>
    <row r="213" spans="1:7">
      <c r="A213" s="6">
        <v>42904</v>
      </c>
      <c r="B213" s="3" t="s">
        <v>3494</v>
      </c>
      <c r="C213" s="3" t="s">
        <v>18</v>
      </c>
      <c r="D213" s="8" t="str">
        <f>HYPERLINK("http://npthd.inbcu.com/ViewContent.aspx?filename=NPMR_NBC_2017-06-18_E.MP4$4718$5300","AMERICAN NINJA WARRIOR: los angeles qualifiers")</f>
        <v>AMERICAN NINJA WARRIOR: los angeles qualifiers</v>
      </c>
      <c r="E213" s="3" t="s">
        <v>2794</v>
      </c>
      <c r="F213" s="3" t="s">
        <v>3658</v>
      </c>
      <c r="G213" s="3" t="s">
        <v>1946</v>
      </c>
    </row>
    <row r="214" spans="1:7">
      <c r="A214" s="6">
        <v>42904</v>
      </c>
      <c r="B214" s="3" t="s">
        <v>3494</v>
      </c>
      <c r="C214" s="3" t="s">
        <v>21</v>
      </c>
      <c r="D214" s="8" t="str">
        <f>HYPERLINK("http://npthd.inbcu.com/ViewContent.aspx?filename=NPMR_NBC_2017-06-18_E.MP4$5300$5421","COMMERCIAL")</f>
        <v>COMMERCIAL</v>
      </c>
      <c r="E214" s="3" t="s">
        <v>175</v>
      </c>
      <c r="F214" s="3" t="s">
        <v>1946</v>
      </c>
      <c r="G214" s="3" t="s">
        <v>3659</v>
      </c>
    </row>
    <row r="215" spans="1:7">
      <c r="A215" s="6">
        <v>42904</v>
      </c>
      <c r="B215" s="3" t="s">
        <v>3494</v>
      </c>
      <c r="C215" s="3" t="s">
        <v>14</v>
      </c>
      <c r="D215" s="8" t="str">
        <f>HYPERLINK("http://npthd.inbcu.com/ViewContent.aspx?filename=NPMR_NBC_2017-06-18_E.MP4$5421$5426","Midnight Texas")</f>
        <v>Midnight Texas</v>
      </c>
      <c r="E215" s="3" t="s">
        <v>54</v>
      </c>
      <c r="F215" s="3" t="s">
        <v>3659</v>
      </c>
      <c r="G215" s="3" t="s">
        <v>3660</v>
      </c>
    </row>
    <row r="216" spans="1:7">
      <c r="A216" s="6">
        <v>42904</v>
      </c>
      <c r="B216" s="3" t="s">
        <v>3494</v>
      </c>
      <c r="C216" s="3" t="s">
        <v>32</v>
      </c>
      <c r="D216" s="8" t="str">
        <f>HYPERLINK("http://npthd.inbcu.com/ViewContent.aspx?filename=NPMR_NBC_2017-06-18_E.MP4$5426$5520","LOCAL")</f>
        <v>LOCAL</v>
      </c>
      <c r="E216" s="3" t="s">
        <v>1917</v>
      </c>
      <c r="F216" s="3" t="s">
        <v>3660</v>
      </c>
      <c r="G216" s="3" t="s">
        <v>3661</v>
      </c>
    </row>
    <row r="217" spans="1:7">
      <c r="A217" s="6">
        <v>42904</v>
      </c>
      <c r="B217" s="3" t="s">
        <v>3494</v>
      </c>
      <c r="C217" s="3" t="s">
        <v>14</v>
      </c>
      <c r="D217" s="8" t="str">
        <f>HYPERLINK("http://npthd.inbcu.com/ViewContent.aspx?filename=NPMR_NBC_2017-06-18_E.MP4$5520$5535","Little Big Shots: Forever Young")</f>
        <v>Little Big Shots: Forever Young</v>
      </c>
      <c r="E217" s="3" t="s">
        <v>30</v>
      </c>
      <c r="F217" s="3" t="s">
        <v>3661</v>
      </c>
      <c r="G217" s="3" t="s">
        <v>3662</v>
      </c>
    </row>
    <row r="218" spans="1:7">
      <c r="A218" s="6">
        <v>42904</v>
      </c>
      <c r="B218" s="3" t="s">
        <v>3494</v>
      </c>
      <c r="C218" s="3" t="s">
        <v>18</v>
      </c>
      <c r="D218" s="8" t="str">
        <f>HYPERLINK("http://npthd.inbcu.com/ViewContent.aspx?filename=NPMR_NBC_2017-06-18_E.MP4$5535$5929","AMERICAN NINJA WARRIOR: los angeles qualifiers")</f>
        <v>AMERICAN NINJA WARRIOR: los angeles qualifiers</v>
      </c>
      <c r="E218" s="3" t="s">
        <v>2662</v>
      </c>
      <c r="F218" s="3" t="s">
        <v>3662</v>
      </c>
      <c r="G218" s="3" t="s">
        <v>3663</v>
      </c>
    </row>
    <row r="219" spans="1:7">
      <c r="A219" s="6">
        <v>42904</v>
      </c>
      <c r="B219" s="3" t="s">
        <v>3494</v>
      </c>
      <c r="C219" s="3" t="s">
        <v>21</v>
      </c>
      <c r="D219" s="8" t="str">
        <f>HYPERLINK("http://npthd.inbcu.com/ViewContent.aspx?filename=NPMR_NBC_2017-06-18_E.MP4$5929$6110","COMMERCIAL")</f>
        <v>COMMERCIAL</v>
      </c>
      <c r="E219" s="3" t="s">
        <v>108</v>
      </c>
      <c r="F219" s="3" t="s">
        <v>3663</v>
      </c>
      <c r="G219" s="3" t="s">
        <v>3664</v>
      </c>
    </row>
    <row r="220" spans="1:7">
      <c r="A220" s="6">
        <v>42904</v>
      </c>
      <c r="B220" s="3" t="s">
        <v>3494</v>
      </c>
      <c r="C220" s="3" t="s">
        <v>14</v>
      </c>
      <c r="D220" s="8" t="str">
        <f>HYPERLINK("http://npthd.inbcu.com/ViewContent.aspx?filename=NPMR_NBC_2017-06-18_E.MP4$6110$6140","NBC Tuesday")</f>
        <v>NBC Tuesday</v>
      </c>
      <c r="E220" s="3" t="s">
        <v>38</v>
      </c>
      <c r="F220" s="3" t="s">
        <v>3664</v>
      </c>
      <c r="G220" s="3" t="s">
        <v>3665</v>
      </c>
    </row>
    <row r="221" spans="1:7">
      <c r="A221" s="6">
        <v>42904</v>
      </c>
      <c r="B221" s="3" t="s">
        <v>3494</v>
      </c>
      <c r="C221" s="3" t="s">
        <v>18</v>
      </c>
      <c r="D221" s="8" t="str">
        <f>HYPERLINK("http://npthd.inbcu.com/ViewContent.aspx?filename=NPMR_NBC_2017-06-18_E.MP4$6140$6547","AMERICAN NINJA WARRIOR: los angeles qualifiers")</f>
        <v>AMERICAN NINJA WARRIOR: los angeles qualifiers</v>
      </c>
      <c r="E221" s="3" t="s">
        <v>1464</v>
      </c>
      <c r="F221" s="3" t="s">
        <v>3665</v>
      </c>
      <c r="G221" s="3" t="s">
        <v>3666</v>
      </c>
    </row>
    <row r="222" spans="1:7">
      <c r="A222" s="6">
        <v>42904</v>
      </c>
      <c r="B222" s="3" t="s">
        <v>3494</v>
      </c>
      <c r="C222" s="3" t="s">
        <v>21</v>
      </c>
      <c r="D222" s="8" t="str">
        <f>HYPERLINK("http://npthd.inbcu.com/ViewContent.aspx?filename=NPMR_NBC_2017-06-18_E.MP4$6547$6608","COMMERCIAL")</f>
        <v>COMMERCIAL</v>
      </c>
      <c r="E222" s="3" t="s">
        <v>33</v>
      </c>
      <c r="F222" s="3" t="s">
        <v>3666</v>
      </c>
      <c r="G222" s="3" t="s">
        <v>3667</v>
      </c>
    </row>
    <row r="223" spans="1:7">
      <c r="A223" s="6">
        <v>42904</v>
      </c>
      <c r="B223" s="3" t="s">
        <v>3494</v>
      </c>
      <c r="C223" s="3" t="s">
        <v>14</v>
      </c>
      <c r="D223" s="8" t="str">
        <f>HYPERLINK("http://npthd.inbcu.com/ViewContent.aspx?filename=NPMR_NBC_2017-06-18_E.MP4$6608$6638","Hollywood Game Night")</f>
        <v>Hollywood Game Night</v>
      </c>
      <c r="E223" s="3" t="s">
        <v>38</v>
      </c>
      <c r="F223" s="3" t="s">
        <v>3667</v>
      </c>
      <c r="G223" s="3" t="s">
        <v>3668</v>
      </c>
    </row>
    <row r="224" spans="1:7">
      <c r="A224" s="6">
        <v>42904</v>
      </c>
      <c r="B224" s="3" t="s">
        <v>3494</v>
      </c>
      <c r="C224" s="3" t="s">
        <v>32</v>
      </c>
      <c r="D224" s="8" t="str">
        <f>HYPERLINK("http://npthd.inbcu.com/ViewContent.aspx?filename=NPMR_NBC_2017-06-18_E.MP4$6638$6728","LOCAL")</f>
        <v>LOCAL</v>
      </c>
      <c r="E224" s="3" t="s">
        <v>46</v>
      </c>
      <c r="F224" s="3" t="s">
        <v>3668</v>
      </c>
      <c r="G224" s="3" t="s">
        <v>3669</v>
      </c>
    </row>
    <row r="225" spans="1:7">
      <c r="A225" s="6">
        <v>42904</v>
      </c>
      <c r="B225" s="3" t="s">
        <v>3494</v>
      </c>
      <c r="C225" s="3" t="s">
        <v>14</v>
      </c>
      <c r="D225" s="8" t="str">
        <f>HYPERLINK("http://npthd.inbcu.com/ViewContent.aspx?filename=NPMR_NBC_2017-06-18_E.MP4$6728$6743","Spartan Race")</f>
        <v>Spartan Race</v>
      </c>
      <c r="E225" s="3" t="s">
        <v>30</v>
      </c>
      <c r="F225" s="3" t="s">
        <v>3669</v>
      </c>
      <c r="G225" s="3" t="s">
        <v>3670</v>
      </c>
    </row>
    <row r="226" spans="1:7">
      <c r="A226" s="6">
        <v>42904</v>
      </c>
      <c r="B226" s="3" t="s">
        <v>3494</v>
      </c>
      <c r="C226" s="3" t="s">
        <v>14</v>
      </c>
      <c r="D226" s="8" t="str">
        <f>HYPERLINK("http://npthd.inbcu.com/ViewContent.aspx?filename=NPMR_NBC_2017-06-18_E.MP4$6743$6758","Wall, The")</f>
        <v>Wall, The</v>
      </c>
      <c r="E226" s="3" t="s">
        <v>30</v>
      </c>
      <c r="F226" s="3" t="s">
        <v>3670</v>
      </c>
      <c r="G226" s="3" t="s">
        <v>3671</v>
      </c>
    </row>
    <row r="227" spans="1:7">
      <c r="A227" s="6">
        <v>42904</v>
      </c>
      <c r="B227" s="3" t="s">
        <v>3494</v>
      </c>
      <c r="C227" s="3" t="s">
        <v>18</v>
      </c>
      <c r="D227" s="8" t="str">
        <f>HYPERLINK("http://npthd.inbcu.com/ViewContent.aspx?filename=NPMR_NBC_2017-06-18_E.MP4$6758$7057","AMERICAN NINJA WARRIOR: los angeles qualifiers")</f>
        <v>AMERICAN NINJA WARRIOR: los angeles qualifiers</v>
      </c>
      <c r="E227" s="3" t="s">
        <v>1522</v>
      </c>
      <c r="F227" s="3" t="s">
        <v>3671</v>
      </c>
      <c r="G227" s="3" t="s">
        <v>3672</v>
      </c>
    </row>
    <row r="228" spans="1:7">
      <c r="A228" s="6">
        <v>42904</v>
      </c>
      <c r="B228" s="3" t="s">
        <v>3494</v>
      </c>
      <c r="C228" s="3" t="s">
        <v>21</v>
      </c>
      <c r="D228" s="8" t="str">
        <f>HYPERLINK("http://npthd.inbcu.com/ViewContent.aspx?filename=NPMR_NBC_2017-06-18_E.MP4$7057$7268","COMMERCIAL")</f>
        <v>COMMERCIAL</v>
      </c>
      <c r="E228" s="3" t="s">
        <v>334</v>
      </c>
      <c r="F228" s="3" t="s">
        <v>3672</v>
      </c>
      <c r="G228" s="3" t="s">
        <v>2144</v>
      </c>
    </row>
    <row r="229" spans="1:7">
      <c r="A229" s="6">
        <v>42904</v>
      </c>
      <c r="B229" s="3" t="s">
        <v>3494</v>
      </c>
      <c r="C229" s="3" t="s">
        <v>14</v>
      </c>
      <c r="D229" s="8" t="str">
        <f>HYPERLINK("http://npthd.inbcu.com/ViewContent.aspx?filename=NPMR_NBC_2017-06-18_E.MP4$7268$7283","Despicable Me 3")</f>
        <v>Despicable Me 3</v>
      </c>
      <c r="E229" s="3" t="s">
        <v>30</v>
      </c>
      <c r="F229" s="3" t="s">
        <v>2144</v>
      </c>
      <c r="G229" s="3" t="s">
        <v>3673</v>
      </c>
    </row>
    <row r="230" spans="1:7">
      <c r="A230" s="6">
        <v>42904</v>
      </c>
      <c r="B230" s="3" t="s">
        <v>3494</v>
      </c>
      <c r="C230" s="3" t="s">
        <v>18</v>
      </c>
      <c r="D230" s="8" t="str">
        <f>HYPERLINK("http://npthd.inbcu.com/ViewContent.aspx?filename=NPMR_NBC_2017-06-18_E.MP4$7283$7636","AMERICAN NINJA WARRIOR: los angeles qualifiers")</f>
        <v>AMERICAN NINJA WARRIOR: los angeles qualifiers</v>
      </c>
      <c r="E230" s="3" t="s">
        <v>1186</v>
      </c>
      <c r="F230" s="3" t="s">
        <v>3673</v>
      </c>
      <c r="G230" s="3" t="s">
        <v>3674</v>
      </c>
    </row>
    <row r="231" spans="1:7">
      <c r="A231" s="6">
        <v>42904</v>
      </c>
      <c r="B231" s="3" t="s">
        <v>3494</v>
      </c>
      <c r="C231" s="3" t="s">
        <v>21</v>
      </c>
      <c r="D231" s="8" t="str">
        <f>HYPERLINK("http://npthd.inbcu.com/ViewContent.aspx?filename=NPMR_NBC_2017-06-18_E.MP4$7636$7821","COMMERCIAL")</f>
        <v>COMMERCIAL</v>
      </c>
      <c r="E231" s="3" t="s">
        <v>3675</v>
      </c>
      <c r="F231" s="3" t="s">
        <v>3674</v>
      </c>
      <c r="G231" s="3" t="s">
        <v>3676</v>
      </c>
    </row>
    <row r="232" spans="1:7">
      <c r="A232" s="6">
        <v>42904</v>
      </c>
      <c r="B232" s="3" t="s">
        <v>3494</v>
      </c>
      <c r="C232" s="3" t="s">
        <v>14</v>
      </c>
      <c r="D232" s="8" t="str">
        <f>HYPERLINK("http://npthd.inbcu.com/ViewContent.aspx?filename=NPMR_NBC_2017-06-18_E.MP4$7821$7851","Midnight Texas")</f>
        <v>Midnight Texas</v>
      </c>
      <c r="E232" s="3" t="s">
        <v>38</v>
      </c>
      <c r="F232" s="3" t="s">
        <v>3676</v>
      </c>
      <c r="G232" s="3" t="s">
        <v>3677</v>
      </c>
    </row>
    <row r="233" spans="1:7">
      <c r="A233" s="6">
        <v>42904</v>
      </c>
      <c r="B233" s="3" t="s">
        <v>3494</v>
      </c>
      <c r="C233" s="3" t="s">
        <v>18</v>
      </c>
      <c r="D233" s="8" t="str">
        <f>HYPERLINK("http://npthd.inbcu.com/ViewContent.aspx?filename=NPMR_NBC_2017-06-18_E.MP4$7851$8248","AMERICAN NINJA WARRIOR: los angeles qualifiers")</f>
        <v>AMERICAN NINJA WARRIOR: los angeles qualifiers</v>
      </c>
      <c r="E233" s="3" t="s">
        <v>168</v>
      </c>
      <c r="F233" s="3" t="s">
        <v>3677</v>
      </c>
      <c r="G233" s="3" t="s">
        <v>1138</v>
      </c>
    </row>
    <row r="234" spans="1:7">
      <c r="A234" s="6">
        <v>42904</v>
      </c>
      <c r="B234" s="3" t="s">
        <v>3494</v>
      </c>
      <c r="C234" s="3" t="s">
        <v>21</v>
      </c>
      <c r="D234" s="8" t="str">
        <f>HYPERLINK("http://npthd.inbcu.com/ViewContent.aspx?filename=NPMR_NBC_2017-06-18_E.MP4$8248$8368","COMMERCIAL")</f>
        <v>COMMERCIAL</v>
      </c>
      <c r="E234" s="3" t="s">
        <v>43</v>
      </c>
      <c r="F234" s="3" t="s">
        <v>1138</v>
      </c>
      <c r="G234" s="3" t="s">
        <v>3678</v>
      </c>
    </row>
    <row r="235" spans="1:7">
      <c r="A235" s="6">
        <v>42904</v>
      </c>
      <c r="B235" s="3" t="s">
        <v>3494</v>
      </c>
      <c r="C235" s="3" t="s">
        <v>32</v>
      </c>
      <c r="D235" s="8" t="str">
        <f>HYPERLINK("http://npthd.inbcu.com/ViewContent.aspx?filename=NPMR_NBC_2017-06-18_E.MP4$8368$8463","LOCAL")</f>
        <v>LOCAL</v>
      </c>
      <c r="E235" s="3" t="s">
        <v>2076</v>
      </c>
      <c r="F235" s="3" t="s">
        <v>3678</v>
      </c>
      <c r="G235" s="3" t="s">
        <v>3679</v>
      </c>
    </row>
    <row r="236" spans="1:7">
      <c r="A236" s="6">
        <v>42904</v>
      </c>
      <c r="B236" s="3" t="s">
        <v>3494</v>
      </c>
      <c r="C236" s="3" t="s">
        <v>14</v>
      </c>
      <c r="D236" s="8" t="str">
        <f>HYPERLINK("http://npthd.inbcu.com/ViewContent.aspx?filename=NPMR_NBC_2017-06-18_E.MP4$8463$8477","Little Big Shots: Forever Young")</f>
        <v>Little Big Shots: Forever Young</v>
      </c>
      <c r="E236" s="3" t="s">
        <v>342</v>
      </c>
      <c r="F236" s="3" t="s">
        <v>3679</v>
      </c>
      <c r="G236" s="3" t="s">
        <v>3680</v>
      </c>
    </row>
    <row r="237" spans="1:7">
      <c r="A237" s="6">
        <v>42904</v>
      </c>
      <c r="B237" s="3" t="s">
        <v>3494</v>
      </c>
      <c r="C237" s="3" t="s">
        <v>18</v>
      </c>
      <c r="D237" s="8" t="str">
        <f>HYPERLINK("http://npthd.inbcu.com/ViewContent.aspx?filename=NPMR_NBC_2017-06-18_E.MP4$8477$8942","AMERICAN NINJA WARRIOR: los angeles qualifiers")</f>
        <v>AMERICAN NINJA WARRIOR: los angeles qualifiers</v>
      </c>
      <c r="E237" s="3" t="s">
        <v>2844</v>
      </c>
      <c r="F237" s="3" t="s">
        <v>3680</v>
      </c>
      <c r="G237" s="3" t="s">
        <v>3681</v>
      </c>
    </row>
    <row r="238" spans="1:7">
      <c r="A238" s="6">
        <v>42904</v>
      </c>
      <c r="B238" s="3" t="s">
        <v>3494</v>
      </c>
      <c r="C238" s="3" t="s">
        <v>21</v>
      </c>
      <c r="D238" s="8" t="str">
        <f>HYPERLINK("http://npthd.inbcu.com/ViewContent.aspx?filename=NPMR_NBC_2017-06-18_E.MP4$8942$9122","COMMERCIAL")</f>
        <v>COMMERCIAL</v>
      </c>
      <c r="E238" s="3" t="s">
        <v>22</v>
      </c>
      <c r="F238" s="3" t="s">
        <v>3681</v>
      </c>
      <c r="G238" s="3" t="s">
        <v>3682</v>
      </c>
    </row>
    <row r="239" spans="1:7">
      <c r="A239" s="6">
        <v>42904</v>
      </c>
      <c r="B239" s="3" t="s">
        <v>3494</v>
      </c>
      <c r="C239" s="3" t="s">
        <v>14</v>
      </c>
      <c r="D239" s="8" t="str">
        <f>HYPERLINK("http://npthd.inbcu.com/ViewContent.aspx?filename=NPMR_NBC_2017-06-18_E.MP4$9122$9152","Americas Got Talent")</f>
        <v>Americas Got Talent</v>
      </c>
      <c r="E239" s="3" t="s">
        <v>38</v>
      </c>
      <c r="F239" s="3" t="s">
        <v>3682</v>
      </c>
      <c r="G239" s="3" t="s">
        <v>3683</v>
      </c>
    </row>
    <row r="240" spans="1:7">
      <c r="A240" s="6">
        <v>42904</v>
      </c>
      <c r="B240" s="3" t="s">
        <v>3494</v>
      </c>
      <c r="C240" s="3" t="s">
        <v>18</v>
      </c>
      <c r="D240" s="8" t="str">
        <f>HYPERLINK("http://npthd.inbcu.com/ViewContent.aspx?filename=NPMR_NBC_2017-06-18_E.MP4$9152$9680","AMERICAN NINJA WARRIOR: los angeles qualifiers")</f>
        <v>AMERICAN NINJA WARRIOR: los angeles qualifiers</v>
      </c>
      <c r="E240" s="3" t="s">
        <v>532</v>
      </c>
      <c r="F240" s="3" t="s">
        <v>3683</v>
      </c>
      <c r="G240" s="3" t="s">
        <v>1441</v>
      </c>
    </row>
    <row r="241" spans="1:7">
      <c r="A241" s="6">
        <v>42904</v>
      </c>
      <c r="B241" s="3" t="s">
        <v>3494</v>
      </c>
      <c r="C241" s="3" t="s">
        <v>21</v>
      </c>
      <c r="D241" s="8" t="str">
        <f>HYPERLINK("http://npthd.inbcu.com/ViewContent.aspx?filename=NPMR_NBC_2017-06-18_E.MP4$9680$9800","COMMERCIAL")</f>
        <v>COMMERCIAL</v>
      </c>
      <c r="E241" s="3" t="s">
        <v>43</v>
      </c>
      <c r="F241" s="3" t="s">
        <v>1441</v>
      </c>
      <c r="G241" s="3" t="s">
        <v>384</v>
      </c>
    </row>
    <row r="242" spans="1:7">
      <c r="A242" s="6">
        <v>42904</v>
      </c>
      <c r="B242" s="3" t="s">
        <v>3494</v>
      </c>
      <c r="C242" s="3" t="s">
        <v>14</v>
      </c>
      <c r="D242" s="8" t="str">
        <f>HYPERLINK("http://npthd.inbcu.com/ViewContent.aspx?filename=NPMR_NBC_2017-06-18_E.MP4$9800$9815","World of Dance")</f>
        <v>World of Dance</v>
      </c>
      <c r="E242" s="3" t="s">
        <v>30</v>
      </c>
      <c r="F242" s="3" t="s">
        <v>384</v>
      </c>
      <c r="G242" s="3" t="s">
        <v>1506</v>
      </c>
    </row>
    <row r="243" spans="1:7">
      <c r="A243" s="6">
        <v>42904</v>
      </c>
      <c r="B243" s="3" t="s">
        <v>3494</v>
      </c>
      <c r="C243" s="3" t="s">
        <v>32</v>
      </c>
      <c r="D243" s="8" t="str">
        <f>HYPERLINK("http://npthd.inbcu.com/ViewContent.aspx?filename=NPMR_NBC_2017-06-18_E.MP4$9815$9905","LOCAL")</f>
        <v>LOCAL</v>
      </c>
      <c r="E243" s="3" t="s">
        <v>46</v>
      </c>
      <c r="F243" s="3" t="s">
        <v>1506</v>
      </c>
      <c r="G243" s="3" t="s">
        <v>1507</v>
      </c>
    </row>
    <row r="244" spans="1:7">
      <c r="A244" s="6">
        <v>42904</v>
      </c>
      <c r="B244" s="3" t="s">
        <v>3494</v>
      </c>
      <c r="C244" s="3" t="s">
        <v>14</v>
      </c>
      <c r="D244" s="8" t="str">
        <f>HYPERLINK("http://npthd.inbcu.com/ViewContent.aspx?filename=NPMR_NBC_2017-06-18_E.MP4$9905$9910","Midnight Texas")</f>
        <v>Midnight Texas</v>
      </c>
      <c r="E244" s="3" t="s">
        <v>54</v>
      </c>
      <c r="F244" s="3" t="s">
        <v>1507</v>
      </c>
      <c r="G244" s="3" t="s">
        <v>1732</v>
      </c>
    </row>
    <row r="245" spans="1:7">
      <c r="A245" s="6">
        <v>42904</v>
      </c>
      <c r="B245" s="3" t="s">
        <v>3494</v>
      </c>
      <c r="C245" s="3" t="s">
        <v>18</v>
      </c>
      <c r="D245" s="8" t="str">
        <f>HYPERLINK("http://npthd.inbcu.com/ViewContent.aspx?filename=NPMR_NBC_2017-06-18_E.MP4$9910$10251","AMERICAN NINJA WARRIOR: los angeles qualifiers")</f>
        <v>AMERICAN NINJA WARRIOR: los angeles qualifiers</v>
      </c>
      <c r="E245" s="3" t="s">
        <v>2483</v>
      </c>
      <c r="F245" s="3" t="s">
        <v>1732</v>
      </c>
      <c r="G245" s="3" t="s">
        <v>2869</v>
      </c>
    </row>
    <row r="246" spans="1:7">
      <c r="A246" s="6">
        <v>42904</v>
      </c>
      <c r="B246" s="3" t="s">
        <v>3494</v>
      </c>
      <c r="C246" s="3" t="s">
        <v>21</v>
      </c>
      <c r="D246" s="8" t="str">
        <f>HYPERLINK("http://npthd.inbcu.com/ViewContent.aspx?filename=NPMR_NBC_2017-06-18_E.MP4$10251$10401","COMMERCIAL")</f>
        <v>COMMERCIAL</v>
      </c>
      <c r="E246" s="3" t="s">
        <v>28</v>
      </c>
      <c r="F246" s="3" t="s">
        <v>2869</v>
      </c>
      <c r="G246" s="3" t="s">
        <v>467</v>
      </c>
    </row>
    <row r="247" spans="1:7">
      <c r="A247" s="6">
        <v>42904</v>
      </c>
      <c r="B247" s="3" t="s">
        <v>3494</v>
      </c>
      <c r="C247" s="3" t="s">
        <v>14</v>
      </c>
      <c r="D247" s="8" t="str">
        <f>HYPERLINK("http://npthd.inbcu.com/ViewContent.aspx?filename=NPMR_NBC_2017-06-18_E.MP4$10401$10431","NBC Thursday")</f>
        <v>NBC Thursday</v>
      </c>
      <c r="E247" s="3" t="s">
        <v>38</v>
      </c>
      <c r="F247" s="3" t="s">
        <v>467</v>
      </c>
      <c r="G247" s="3" t="s">
        <v>468</v>
      </c>
    </row>
    <row r="248" spans="1:7">
      <c r="A248" s="6">
        <v>42904</v>
      </c>
      <c r="B248" s="3" t="s">
        <v>3494</v>
      </c>
      <c r="C248" s="3" t="s">
        <v>18</v>
      </c>
      <c r="D248" s="8" t="str">
        <f>HYPERLINK("http://npthd.inbcu.com/ViewContent.aspx?filename=NPMR_NBC_2017-06-18_E.MP4$10431$10854","AMERICAN NINJA WARRIOR: los angeles qualifiers")</f>
        <v>AMERICAN NINJA WARRIOR: los angeles qualifiers</v>
      </c>
      <c r="E248" s="3" t="s">
        <v>598</v>
      </c>
      <c r="F248" s="3" t="s">
        <v>468</v>
      </c>
      <c r="G248" s="3" t="s">
        <v>181</v>
      </c>
    </row>
    <row r="249" spans="1:7">
      <c r="A249" s="6">
        <v>42904</v>
      </c>
      <c r="B249" s="3" t="s">
        <v>3494</v>
      </c>
      <c r="C249" s="3" t="s">
        <v>14</v>
      </c>
      <c r="D249" s="8" t="str">
        <f>HYPERLINK("http://npthd.inbcu.com/ViewContent.aspx?filename=NPMR_NBC_2017-06-18_E.MP4$10854$10884","American Ninja Warrior")</f>
        <v>American Ninja Warrior</v>
      </c>
      <c r="E249" s="3" t="s">
        <v>38</v>
      </c>
      <c r="F249" s="3" t="s">
        <v>181</v>
      </c>
      <c r="G249" s="3" t="s">
        <v>183</v>
      </c>
    </row>
    <row r="250" spans="1:7">
      <c r="A250" s="6">
        <v>42904</v>
      </c>
      <c r="B250" s="3" t="s">
        <v>3494</v>
      </c>
      <c r="C250" s="3" t="s">
        <v>18</v>
      </c>
      <c r="D250" s="8" t="str">
        <f>HYPERLINK("http://npthd.inbcu.com/ViewContent.aspx?filename=NPMR_NBC_2017-06-18_E.MP4$10884$10890","AMERICAN NINJA WARRIOR: los angeles qualifiers")</f>
        <v>AMERICAN NINJA WARRIOR: los angeles qualifiers</v>
      </c>
      <c r="E250" s="3" t="s">
        <v>15</v>
      </c>
      <c r="F250" s="3" t="s">
        <v>183</v>
      </c>
      <c r="G250" s="3" t="s">
        <v>394</v>
      </c>
    </row>
    <row r="251" spans="1:7">
      <c r="A251" s="6">
        <v>42904</v>
      </c>
      <c r="B251" s="3" t="s">
        <v>3494</v>
      </c>
      <c r="C251" s="3" t="s">
        <v>18</v>
      </c>
      <c r="D251" s="8" t="str">
        <f>HYPERLINK("http://npthd.inbcu.com/ViewContent.aspx?filename=NPMR_NBC_2017-06-18_E.MP4$10890$11771","SPARTAN: ULTIMATE TEAM CHALLENGE: spartan ultimate team challenge premiere")</f>
        <v>SPARTAN: ULTIMATE TEAM CHALLENGE: spartan ultimate team challenge premiere</v>
      </c>
      <c r="E251" s="3" t="s">
        <v>3684</v>
      </c>
      <c r="F251" s="3" t="s">
        <v>394</v>
      </c>
      <c r="G251" s="3" t="s">
        <v>479</v>
      </c>
    </row>
    <row r="252" spans="1:7">
      <c r="A252" s="6">
        <v>42904</v>
      </c>
      <c r="B252" s="3" t="s">
        <v>3494</v>
      </c>
      <c r="C252" s="3" t="s">
        <v>21</v>
      </c>
      <c r="D252" s="8" t="str">
        <f>HYPERLINK("http://npthd.inbcu.com/ViewContent.aspx?filename=NPMR_NBC_2017-06-18_E.MP4$11771$11952","COMMERCIAL")</f>
        <v>COMMERCIAL</v>
      </c>
      <c r="E252" s="3" t="s">
        <v>108</v>
      </c>
      <c r="F252" s="3" t="s">
        <v>479</v>
      </c>
      <c r="G252" s="3" t="s">
        <v>3685</v>
      </c>
    </row>
    <row r="253" spans="1:7">
      <c r="A253" s="6">
        <v>42904</v>
      </c>
      <c r="B253" s="3" t="s">
        <v>3494</v>
      </c>
      <c r="C253" s="3" t="s">
        <v>14</v>
      </c>
      <c r="D253" s="8" t="str">
        <f>HYPERLINK("http://npthd.inbcu.com/ViewContent.aspx?filename=NPMR_NBC_2017-06-18_E.MP4$11952$11967","Midnight Texas")</f>
        <v>Midnight Texas</v>
      </c>
      <c r="E253" s="3" t="s">
        <v>30</v>
      </c>
      <c r="F253" s="3" t="s">
        <v>3685</v>
      </c>
      <c r="G253" s="3" t="s">
        <v>3686</v>
      </c>
    </row>
    <row r="254" spans="1:7">
      <c r="A254" s="6">
        <v>42904</v>
      </c>
      <c r="B254" s="3" t="s">
        <v>3494</v>
      </c>
      <c r="C254" s="3" t="s">
        <v>32</v>
      </c>
      <c r="D254" s="8" t="str">
        <f>HYPERLINK("http://npthd.inbcu.com/ViewContent.aspx?filename=NPMR_NBC_2017-06-18_E.MP4$11967$11998","LOCAL")</f>
        <v>LOCAL</v>
      </c>
      <c r="E254" s="3" t="s">
        <v>98</v>
      </c>
      <c r="F254" s="3" t="s">
        <v>3686</v>
      </c>
      <c r="G254" s="3" t="s">
        <v>3687</v>
      </c>
    </row>
    <row r="255" spans="1:7">
      <c r="A255" s="6">
        <v>42904</v>
      </c>
      <c r="B255" s="3" t="s">
        <v>3494</v>
      </c>
      <c r="C255" s="3" t="s">
        <v>18</v>
      </c>
      <c r="D255" s="8" t="str">
        <f>HYPERLINK("http://npthd.inbcu.com/ViewContent.aspx?filename=NPMR_NBC_2017-06-18_E.MP4$11998$12305","SPARTAN: ULTIMATE TEAM CHALLENGE: spartan ultimate team challenge premiere")</f>
        <v>SPARTAN: ULTIMATE TEAM CHALLENGE: spartan ultimate team challenge premiere</v>
      </c>
      <c r="E255" s="3" t="s">
        <v>3688</v>
      </c>
      <c r="F255" s="3" t="s">
        <v>3687</v>
      </c>
      <c r="G255" s="3" t="s">
        <v>3689</v>
      </c>
    </row>
    <row r="256" spans="1:7">
      <c r="A256" s="6">
        <v>42904</v>
      </c>
      <c r="B256" s="3" t="s">
        <v>3494</v>
      </c>
      <c r="C256" s="3" t="s">
        <v>21</v>
      </c>
      <c r="D256" s="8" t="str">
        <f>HYPERLINK("http://npthd.inbcu.com/ViewContent.aspx?filename=NPMR_NBC_2017-06-18_E.MP4$12305$12486","COMMERCIAL")</f>
        <v>COMMERCIAL</v>
      </c>
      <c r="E256" s="3" t="s">
        <v>108</v>
      </c>
      <c r="F256" s="3" t="s">
        <v>3689</v>
      </c>
      <c r="G256" s="3" t="s">
        <v>3690</v>
      </c>
    </row>
    <row r="257" spans="1:7">
      <c r="A257" s="6">
        <v>42904</v>
      </c>
      <c r="B257" s="3" t="s">
        <v>3494</v>
      </c>
      <c r="C257" s="3" t="s">
        <v>14</v>
      </c>
      <c r="D257" s="8" t="str">
        <f>HYPERLINK("http://npthd.inbcu.com/ViewContent.aspx?filename=NPMR_NBC_2017-06-18_E.MP4$12486$12516","American Ninja Warrior")</f>
        <v>American Ninja Warrior</v>
      </c>
      <c r="E257" s="3" t="s">
        <v>38</v>
      </c>
      <c r="F257" s="3" t="s">
        <v>3690</v>
      </c>
      <c r="G257" s="3" t="s">
        <v>3691</v>
      </c>
    </row>
    <row r="258" spans="1:7">
      <c r="A258" s="6">
        <v>42904</v>
      </c>
      <c r="B258" s="3" t="s">
        <v>3494</v>
      </c>
      <c r="C258" s="3" t="s">
        <v>18</v>
      </c>
      <c r="D258" s="8" t="str">
        <f>HYPERLINK("http://npthd.inbcu.com/ViewContent.aspx?filename=NPMR_NBC_2017-06-18_E.MP4$12516$12785","SPARTAN: ULTIMATE TEAM CHALLENGE: spartan ultimate team challenge premiere")</f>
        <v>SPARTAN: ULTIMATE TEAM CHALLENGE: spartan ultimate team challenge premiere</v>
      </c>
      <c r="E258" s="3" t="s">
        <v>2217</v>
      </c>
      <c r="F258" s="3" t="s">
        <v>3691</v>
      </c>
      <c r="G258" s="3" t="s">
        <v>3692</v>
      </c>
    </row>
    <row r="259" spans="1:7">
      <c r="A259" s="6">
        <v>42904</v>
      </c>
      <c r="B259" s="3" t="s">
        <v>3494</v>
      </c>
      <c r="C259" s="3" t="s">
        <v>32</v>
      </c>
      <c r="D259" s="8" t="str">
        <f>HYPERLINK("http://npthd.inbcu.com/ViewContent.aspx?filename=NPMR_NBC_2017-06-18_E.MP4$12785$13016","LOCAL")</f>
        <v>LOCAL</v>
      </c>
      <c r="E259" s="3" t="s">
        <v>215</v>
      </c>
      <c r="F259" s="3" t="s">
        <v>3692</v>
      </c>
      <c r="G259" s="3" t="s">
        <v>3693</v>
      </c>
    </row>
    <row r="260" spans="1:7">
      <c r="A260" s="6">
        <v>42904</v>
      </c>
      <c r="B260" s="3" t="s">
        <v>3494</v>
      </c>
      <c r="C260" s="3" t="s">
        <v>14</v>
      </c>
      <c r="D260" s="8" t="str">
        <f>HYPERLINK("http://npthd.inbcu.com/ViewContent.aspx?filename=NPMR_NBC_2017-06-18_E.MP4$13016$13030","Americas Got Talent")</f>
        <v>Americas Got Talent</v>
      </c>
      <c r="E260" s="3" t="s">
        <v>342</v>
      </c>
      <c r="F260" s="3" t="s">
        <v>3693</v>
      </c>
      <c r="G260" s="3" t="s">
        <v>1877</v>
      </c>
    </row>
    <row r="261" spans="1:7">
      <c r="A261" s="6">
        <v>42904</v>
      </c>
      <c r="B261" s="3" t="s">
        <v>3494</v>
      </c>
      <c r="C261" s="3" t="s">
        <v>18</v>
      </c>
      <c r="D261" s="8" t="str">
        <f>HYPERLINK("http://npthd.inbcu.com/ViewContent.aspx?filename=NPMR_NBC_2017-06-18_E.MP4$13030$13527","SPARTAN: ULTIMATE TEAM CHALLENGE: spartan ultimate team challenge premiere")</f>
        <v>SPARTAN: ULTIMATE TEAM CHALLENGE: spartan ultimate team challenge premiere</v>
      </c>
      <c r="E261" s="3" t="s">
        <v>656</v>
      </c>
      <c r="F261" s="3" t="s">
        <v>1877</v>
      </c>
      <c r="G261" s="3" t="s">
        <v>3694</v>
      </c>
    </row>
    <row r="262" spans="1:7">
      <c r="A262" s="6">
        <v>42904</v>
      </c>
      <c r="B262" s="3" t="s">
        <v>3494</v>
      </c>
      <c r="C262" s="3" t="s">
        <v>21</v>
      </c>
      <c r="D262" s="8" t="str">
        <f>HYPERLINK("http://npthd.inbcu.com/ViewContent.aspx?filename=NPMR_NBC_2017-06-18_E.MP4$13527$13678","COMMERCIAL")</f>
        <v>COMMERCIAL</v>
      </c>
      <c r="E262" s="3" t="s">
        <v>91</v>
      </c>
      <c r="F262" s="3" t="s">
        <v>3694</v>
      </c>
      <c r="G262" s="3" t="s">
        <v>3695</v>
      </c>
    </row>
    <row r="263" spans="1:7">
      <c r="A263" s="6">
        <v>42904</v>
      </c>
      <c r="B263" s="3" t="s">
        <v>3494</v>
      </c>
      <c r="C263" s="3" t="s">
        <v>14</v>
      </c>
      <c r="D263" s="8" t="str">
        <f>HYPERLINK("http://npthd.inbcu.com/ViewContent.aspx?filename=NPMR_NBC_2017-06-18_E.MP4$13678$13693","World of Dance")</f>
        <v>World of Dance</v>
      </c>
      <c r="E263" s="3" t="s">
        <v>30</v>
      </c>
      <c r="F263" s="3" t="s">
        <v>3695</v>
      </c>
      <c r="G263" s="3" t="s">
        <v>3696</v>
      </c>
    </row>
    <row r="264" spans="1:7">
      <c r="A264" s="6">
        <v>42904</v>
      </c>
      <c r="B264" s="3" t="s">
        <v>3494</v>
      </c>
      <c r="C264" s="3" t="s">
        <v>14</v>
      </c>
      <c r="D264" s="8" t="str">
        <f>HYPERLINK("http://npthd.inbcu.com/ViewContent.aspx?filename=NPMR_NBC_2017-06-18_E.MP4$13693$13723","NBC Thursday")</f>
        <v>NBC Thursday</v>
      </c>
      <c r="E264" s="3" t="s">
        <v>38</v>
      </c>
      <c r="F264" s="3" t="s">
        <v>3696</v>
      </c>
      <c r="G264" s="3" t="s">
        <v>3697</v>
      </c>
    </row>
    <row r="265" spans="1:7">
      <c r="A265" s="6">
        <v>42904</v>
      </c>
      <c r="B265" s="3" t="s">
        <v>3494</v>
      </c>
      <c r="C265" s="3" t="s">
        <v>18</v>
      </c>
      <c r="D265" s="8" t="str">
        <f>HYPERLINK("http://npthd.inbcu.com/ViewContent.aspx?filename=NPMR_NBC_2017-06-18_E.MP4$13723$14021","SPARTAN: ULTIMATE TEAM CHALLENGE: spartan ultimate team challenge premiere")</f>
        <v>SPARTAN: ULTIMATE TEAM CHALLENGE: spartan ultimate team challenge premiere</v>
      </c>
      <c r="E265" s="3" t="s">
        <v>1207</v>
      </c>
      <c r="F265" s="3" t="s">
        <v>3697</v>
      </c>
      <c r="G265" s="3" t="s">
        <v>937</v>
      </c>
    </row>
    <row r="266" spans="1:7">
      <c r="A266" s="6">
        <v>42904</v>
      </c>
      <c r="B266" s="3" t="s">
        <v>3494</v>
      </c>
      <c r="C266" s="3" t="s">
        <v>21</v>
      </c>
      <c r="D266" s="8" t="str">
        <f>HYPERLINK("http://npthd.inbcu.com/ViewContent.aspx?filename=NPMR_NBC_2017-06-18_E.MP4$14021$14142","COMMERCIAL")</f>
        <v>COMMERCIAL</v>
      </c>
      <c r="E266" s="3" t="s">
        <v>175</v>
      </c>
      <c r="F266" s="3" t="s">
        <v>937</v>
      </c>
      <c r="G266" s="3" t="s">
        <v>3698</v>
      </c>
    </row>
    <row r="267" spans="1:7">
      <c r="A267" s="6">
        <v>42904</v>
      </c>
      <c r="B267" s="3" t="s">
        <v>3494</v>
      </c>
      <c r="C267" s="3" t="s">
        <v>14</v>
      </c>
      <c r="D267" s="8" t="str">
        <f>HYPERLINK("http://npthd.inbcu.com/ViewContent.aspx?filename=NPMR_NBC_2017-06-18_E.MP4$14142$14172","Despicable Me 3")</f>
        <v>Despicable Me 3</v>
      </c>
      <c r="E267" s="3" t="s">
        <v>38</v>
      </c>
      <c r="F267" s="3" t="s">
        <v>3698</v>
      </c>
      <c r="G267" s="3" t="s">
        <v>3699</v>
      </c>
    </row>
    <row r="268" spans="1:7">
      <c r="A268" s="6">
        <v>42904</v>
      </c>
      <c r="B268" s="3" t="s">
        <v>3494</v>
      </c>
      <c r="C268" s="3" t="s">
        <v>32</v>
      </c>
      <c r="D268" s="8" t="str">
        <f>HYPERLINK("http://npthd.inbcu.com/ViewContent.aspx?filename=NPMR_NBC_2017-06-18_E.MP4$14172$14187","LOCAL")</f>
        <v>LOCAL</v>
      </c>
      <c r="E268" s="3" t="s">
        <v>30</v>
      </c>
      <c r="F268" s="3" t="s">
        <v>3699</v>
      </c>
      <c r="G268" s="3" t="s">
        <v>3700</v>
      </c>
    </row>
    <row r="269" spans="1:7">
      <c r="A269" s="6">
        <v>42904</v>
      </c>
      <c r="B269" s="3" t="s">
        <v>3494</v>
      </c>
      <c r="C269" s="3" t="s">
        <v>14</v>
      </c>
      <c r="D269" s="8" t="str">
        <f>HYPERLINK("http://npthd.inbcu.com/ViewContent.aspx?filename=NPMR_NBC_2017-06-18_E.MP4$14187$14202","American Ninja Warrior")</f>
        <v>American Ninja Warrior</v>
      </c>
      <c r="E269" s="3" t="s">
        <v>30</v>
      </c>
      <c r="F269" s="3" t="s">
        <v>3700</v>
      </c>
      <c r="G269" s="3" t="s">
        <v>3701</v>
      </c>
    </row>
    <row r="270" spans="1:7">
      <c r="A270" s="6">
        <v>42904</v>
      </c>
      <c r="B270" s="3" t="s">
        <v>3494</v>
      </c>
      <c r="C270" s="3" t="s">
        <v>14</v>
      </c>
      <c r="D270" s="8" t="str">
        <f>HYPERLINK("http://npthd.inbcu.com/ViewContent.aspx?filename=NPMR_NBC_2017-06-18_E.MP4$14202$14217","Little Big Shots: Forever Young")</f>
        <v>Little Big Shots: Forever Young</v>
      </c>
      <c r="E270" s="3" t="s">
        <v>30</v>
      </c>
      <c r="F270" s="3" t="s">
        <v>3701</v>
      </c>
      <c r="G270" s="3" t="s">
        <v>3702</v>
      </c>
    </row>
    <row r="271" spans="1:7">
      <c r="A271" s="6">
        <v>42904</v>
      </c>
      <c r="B271" s="3" t="s">
        <v>3494</v>
      </c>
      <c r="C271" s="3" t="s">
        <v>18</v>
      </c>
      <c r="D271" s="8" t="str">
        <f>HYPERLINK("http://npthd.inbcu.com/ViewContent.aspx?filename=NPMR_NBC_2017-06-18_E.MP4$14217$14454","SPARTAN: ULTIMATE TEAM CHALLENGE: spartan ultimate team challenge premiere")</f>
        <v>SPARTAN: ULTIMATE TEAM CHALLENGE: spartan ultimate team challenge premiere</v>
      </c>
      <c r="E271" s="3" t="s">
        <v>3703</v>
      </c>
      <c r="F271" s="3" t="s">
        <v>3702</v>
      </c>
      <c r="G271" s="3" t="s">
        <v>3553</v>
      </c>
    </row>
    <row r="272" spans="1:7">
      <c r="A272" s="6">
        <v>42904</v>
      </c>
      <c r="B272" s="3" t="s">
        <v>3494</v>
      </c>
      <c r="C272" s="3" t="s">
        <v>14</v>
      </c>
      <c r="D272" s="8" t="str">
        <f>HYPERLINK("http://npthd.inbcu.com/ViewContent.aspx?filename=NPMR_NBC_2017-06-18_E.MP4$14454$14484","Spartan Race")</f>
        <v>Spartan Race</v>
      </c>
      <c r="E272" s="3" t="s">
        <v>38</v>
      </c>
      <c r="F272" s="3" t="s">
        <v>3553</v>
      </c>
      <c r="G272" s="3" t="s">
        <v>3704</v>
      </c>
    </row>
    <row r="273" spans="1:7">
      <c r="A273" s="6">
        <v>42904</v>
      </c>
      <c r="B273" s="3" t="s">
        <v>3494</v>
      </c>
      <c r="C273" s="3" t="s">
        <v>18</v>
      </c>
      <c r="D273" s="8" t="str">
        <f>HYPERLINK("http://npthd.inbcu.com/ViewContent.aspx?filename=NPMR_NBC_2017-06-18_E.MP4$14484$14490","SPARTAN: ULTIMATE TEAM CHALLENGE: spartan ultimate team challenge premiere")</f>
        <v>SPARTAN: ULTIMATE TEAM CHALLENGE: spartan ultimate team challenge premiere</v>
      </c>
      <c r="E273" s="3" t="s">
        <v>15</v>
      </c>
      <c r="F273" s="3" t="s">
        <v>3704</v>
      </c>
      <c r="G273" s="3" t="s">
        <v>124</v>
      </c>
    </row>
    <row r="274" spans="1:7">
      <c r="A274" s="6">
        <v>42905</v>
      </c>
      <c r="B274" s="3" t="s">
        <v>3494</v>
      </c>
      <c r="C274" s="3" t="s">
        <v>18</v>
      </c>
      <c r="D274" s="8" t="str">
        <f>HYPERLINK("http://npthd.inbcu.com/ViewContent.aspx?filename=NPMR_NBC_2017-06-19_E.MP4$89$806","AMERICAN NINJA WARRIOR: san antonio qualifiers")</f>
        <v>AMERICAN NINJA WARRIOR: san antonio qualifiers</v>
      </c>
      <c r="E274" s="3" t="s">
        <v>3705</v>
      </c>
      <c r="F274" s="3" t="s">
        <v>16</v>
      </c>
      <c r="G274" s="3" t="s">
        <v>3706</v>
      </c>
    </row>
    <row r="275" spans="1:7">
      <c r="A275" s="6">
        <v>42905</v>
      </c>
      <c r="B275" s="3" t="s">
        <v>3494</v>
      </c>
      <c r="C275" s="3" t="s">
        <v>21</v>
      </c>
      <c r="D275" s="8" t="str">
        <f>HYPERLINK("http://npthd.inbcu.com/ViewContent.aspx?filename=NPMR_NBC_2017-06-19_E.MP4$806$991","COMMERCIAL")</f>
        <v>COMMERCIAL</v>
      </c>
      <c r="E275" s="3" t="s">
        <v>3675</v>
      </c>
      <c r="F275" s="3" t="s">
        <v>3706</v>
      </c>
      <c r="G275" s="3" t="s">
        <v>3707</v>
      </c>
    </row>
    <row r="276" spans="1:7">
      <c r="A276" s="6">
        <v>42905</v>
      </c>
      <c r="B276" s="3" t="s">
        <v>3494</v>
      </c>
      <c r="C276" s="3" t="s">
        <v>14</v>
      </c>
      <c r="D276" s="8" t="str">
        <f>HYPERLINK("http://npthd.inbcu.com/ViewContent.aspx?filename=NPMR_NBC_2017-06-19_E.MP4$991$1021","Midnight Texas")</f>
        <v>Midnight Texas</v>
      </c>
      <c r="E276" s="3" t="s">
        <v>38</v>
      </c>
      <c r="F276" s="3" t="s">
        <v>3707</v>
      </c>
      <c r="G276" s="3" t="s">
        <v>3708</v>
      </c>
    </row>
    <row r="277" spans="1:7">
      <c r="A277" s="6">
        <v>42905</v>
      </c>
      <c r="B277" s="3" t="s">
        <v>3494</v>
      </c>
      <c r="C277" s="3" t="s">
        <v>18</v>
      </c>
      <c r="D277" s="8" t="str">
        <f>HYPERLINK("http://npthd.inbcu.com/ViewContent.aspx?filename=NPMR_NBC_2017-06-19_E.MP4$1021$1598","AMERICAN NINJA WARRIOR: san antonio qualifiers")</f>
        <v>AMERICAN NINJA WARRIOR: san antonio qualifiers</v>
      </c>
      <c r="E277" s="3" t="s">
        <v>902</v>
      </c>
      <c r="F277" s="3" t="s">
        <v>3708</v>
      </c>
      <c r="G277" s="3" t="s">
        <v>3709</v>
      </c>
    </row>
    <row r="278" spans="1:7">
      <c r="A278" s="6">
        <v>42905</v>
      </c>
      <c r="B278" s="3" t="s">
        <v>3494</v>
      </c>
      <c r="C278" s="3" t="s">
        <v>21</v>
      </c>
      <c r="D278" s="8" t="str">
        <f>HYPERLINK("http://npthd.inbcu.com/ViewContent.aspx?filename=NPMR_NBC_2017-06-19_E.MP4$1598$1688","COMMERCIAL")</f>
        <v>COMMERCIAL</v>
      </c>
      <c r="E278" s="3" t="s">
        <v>46</v>
      </c>
      <c r="F278" s="3" t="s">
        <v>3709</v>
      </c>
      <c r="G278" s="3" t="s">
        <v>3710</v>
      </c>
    </row>
    <row r="279" spans="1:7">
      <c r="A279" s="6">
        <v>42905</v>
      </c>
      <c r="B279" s="3" t="s">
        <v>3494</v>
      </c>
      <c r="C279" s="3" t="s">
        <v>14</v>
      </c>
      <c r="D279" s="8" t="str">
        <f>HYPERLINK("http://npthd.inbcu.com/ViewContent.aspx?filename=NPMR_NBC_2017-06-19_E.MP4$1688$1693","Despicable Me 3")</f>
        <v>Despicable Me 3</v>
      </c>
      <c r="E279" s="3" t="s">
        <v>54</v>
      </c>
      <c r="F279" s="3" t="s">
        <v>3710</v>
      </c>
      <c r="G279" s="3" t="s">
        <v>3711</v>
      </c>
    </row>
    <row r="280" spans="1:7">
      <c r="A280" s="6">
        <v>42905</v>
      </c>
      <c r="B280" s="3" t="s">
        <v>3494</v>
      </c>
      <c r="C280" s="3" t="s">
        <v>32</v>
      </c>
      <c r="D280" s="8" t="str">
        <f>HYPERLINK("http://npthd.inbcu.com/ViewContent.aspx?filename=NPMR_NBC_2017-06-19_E.MP4$1693$1787","LOCAL")</f>
        <v>LOCAL</v>
      </c>
      <c r="E280" s="3" t="s">
        <v>1917</v>
      </c>
      <c r="F280" s="3" t="s">
        <v>3711</v>
      </c>
      <c r="G280" s="3" t="s">
        <v>3712</v>
      </c>
    </row>
    <row r="281" spans="1:7">
      <c r="A281" s="6">
        <v>42905</v>
      </c>
      <c r="B281" s="3" t="s">
        <v>3494</v>
      </c>
      <c r="C281" s="3" t="s">
        <v>14</v>
      </c>
      <c r="D281" s="8" t="str">
        <f>HYPERLINK("http://npthd.inbcu.com/ViewContent.aspx?filename=NPMR_NBC_2017-06-19_E.MP4$1787$1817","Carmichael Show, The")</f>
        <v>Carmichael Show, The</v>
      </c>
      <c r="E281" s="3" t="s">
        <v>38</v>
      </c>
      <c r="F281" s="3" t="s">
        <v>3712</v>
      </c>
      <c r="G281" s="3" t="s">
        <v>509</v>
      </c>
    </row>
    <row r="282" spans="1:7">
      <c r="A282" s="6">
        <v>42905</v>
      </c>
      <c r="B282" s="3" t="s">
        <v>3494</v>
      </c>
      <c r="C282" s="3" t="s">
        <v>18</v>
      </c>
      <c r="D282" s="8" t="str">
        <f>HYPERLINK("http://npthd.inbcu.com/ViewContent.aspx?filename=NPMR_NBC_2017-06-19_E.MP4$1817$2140","AMERICAN NINJA WARRIOR: san antonio qualifiers")</f>
        <v>AMERICAN NINJA WARRIOR: san antonio qualifiers</v>
      </c>
      <c r="E282" s="3" t="s">
        <v>544</v>
      </c>
      <c r="F282" s="3" t="s">
        <v>509</v>
      </c>
      <c r="G282" s="3" t="s">
        <v>1052</v>
      </c>
    </row>
    <row r="283" spans="1:7">
      <c r="A283" s="6">
        <v>42905</v>
      </c>
      <c r="B283" s="3" t="s">
        <v>3494</v>
      </c>
      <c r="C283" s="3" t="s">
        <v>14</v>
      </c>
      <c r="D283" s="8" t="str">
        <f>HYPERLINK("http://npthd.inbcu.com/ViewContent.aspx?filename=NPMR_NBC_2017-06-19_E.MP4$2140$2145","Spartan Race")</f>
        <v>Spartan Race</v>
      </c>
      <c r="E283" s="3" t="s">
        <v>54</v>
      </c>
      <c r="F283" s="3" t="s">
        <v>1052</v>
      </c>
      <c r="G283" s="3" t="s">
        <v>231</v>
      </c>
    </row>
    <row r="284" spans="1:7">
      <c r="A284" s="6">
        <v>42905</v>
      </c>
      <c r="B284" s="3" t="s">
        <v>3494</v>
      </c>
      <c r="C284" s="3" t="s">
        <v>21</v>
      </c>
      <c r="D284" s="8" t="str">
        <f>HYPERLINK("http://npthd.inbcu.com/ViewContent.aspx?filename=NPMR_NBC_2017-06-19_E.MP4$2145$2295","COMMERCIAL")</f>
        <v>COMMERCIAL</v>
      </c>
      <c r="E284" s="3" t="s">
        <v>28</v>
      </c>
      <c r="F284" s="3" t="s">
        <v>231</v>
      </c>
      <c r="G284" s="3" t="s">
        <v>2849</v>
      </c>
    </row>
    <row r="285" spans="1:7">
      <c r="A285" s="6">
        <v>42905</v>
      </c>
      <c r="B285" s="3" t="s">
        <v>3494</v>
      </c>
      <c r="C285" s="3" t="s">
        <v>14</v>
      </c>
      <c r="D285" s="8" t="str">
        <f>HYPERLINK("http://npthd.inbcu.com/ViewContent.aspx?filename=NPMR_NBC_2017-06-19_E.MP4$2295$2310","Despicable Me 3")</f>
        <v>Despicable Me 3</v>
      </c>
      <c r="E285" s="3" t="s">
        <v>30</v>
      </c>
      <c r="F285" s="3" t="s">
        <v>2849</v>
      </c>
      <c r="G285" s="3" t="s">
        <v>3713</v>
      </c>
    </row>
    <row r="286" spans="1:7">
      <c r="A286" s="6">
        <v>42905</v>
      </c>
      <c r="B286" s="3" t="s">
        <v>3494</v>
      </c>
      <c r="C286" s="3" t="s">
        <v>14</v>
      </c>
      <c r="D286" s="8" t="str">
        <f>HYPERLINK("http://npthd.inbcu.com/ViewContent.aspx?filename=NPMR_NBC_2017-06-19_E.MP4$2310$2340","NBC Tuesday")</f>
        <v>NBC Tuesday</v>
      </c>
      <c r="E286" s="3" t="s">
        <v>38</v>
      </c>
      <c r="F286" s="3" t="s">
        <v>3713</v>
      </c>
      <c r="G286" s="3" t="s">
        <v>3714</v>
      </c>
    </row>
    <row r="287" spans="1:7">
      <c r="A287" s="6">
        <v>42905</v>
      </c>
      <c r="B287" s="3" t="s">
        <v>3494</v>
      </c>
      <c r="C287" s="3" t="s">
        <v>14</v>
      </c>
      <c r="D287" s="8" t="str">
        <f>HYPERLINK("http://npthd.inbcu.com/ViewContent.aspx?filename=NPMR_NBC_2017-06-19_E.MP4$2340$2355","Little Big Shots: Forever Young")</f>
        <v>Little Big Shots: Forever Young</v>
      </c>
      <c r="E287" s="3" t="s">
        <v>30</v>
      </c>
      <c r="F287" s="3" t="s">
        <v>3714</v>
      </c>
      <c r="G287" s="3" t="s">
        <v>3715</v>
      </c>
    </row>
    <row r="288" spans="1:7">
      <c r="A288" s="6">
        <v>42905</v>
      </c>
      <c r="B288" s="3" t="s">
        <v>3494</v>
      </c>
      <c r="C288" s="3" t="s">
        <v>18</v>
      </c>
      <c r="D288" s="8" t="str">
        <f>HYPERLINK("http://npthd.inbcu.com/ViewContent.aspx?filename=NPMR_NBC_2017-06-19_E.MP4$2355$2758","AMERICAN NINJA WARRIOR: san antonio qualifiers")</f>
        <v>AMERICAN NINJA WARRIOR: san antonio qualifiers</v>
      </c>
      <c r="E288" s="3" t="s">
        <v>737</v>
      </c>
      <c r="F288" s="3" t="s">
        <v>3715</v>
      </c>
      <c r="G288" s="3" t="s">
        <v>3716</v>
      </c>
    </row>
    <row r="289" spans="1:7">
      <c r="A289" s="6">
        <v>42905</v>
      </c>
      <c r="B289" s="3" t="s">
        <v>3494</v>
      </c>
      <c r="C289" s="3" t="s">
        <v>21</v>
      </c>
      <c r="D289" s="8" t="str">
        <f>HYPERLINK("http://npthd.inbcu.com/ViewContent.aspx?filename=NPMR_NBC_2017-06-19_E.MP4$2758$2848","COMMERCIAL")</f>
        <v>COMMERCIAL</v>
      </c>
      <c r="E289" s="3" t="s">
        <v>46</v>
      </c>
      <c r="F289" s="3" t="s">
        <v>3716</v>
      </c>
      <c r="G289" s="3" t="s">
        <v>3717</v>
      </c>
    </row>
    <row r="290" spans="1:7">
      <c r="A290" s="6">
        <v>42905</v>
      </c>
      <c r="B290" s="3" t="s">
        <v>3494</v>
      </c>
      <c r="C290" s="3" t="s">
        <v>14</v>
      </c>
      <c r="D290" s="8" t="str">
        <f>HYPERLINK("http://npthd.inbcu.com/ViewContent.aspx?filename=NPMR_NBC_2017-06-19_E.MP4$2848$2853","Midnight Texas")</f>
        <v>Midnight Texas</v>
      </c>
      <c r="E290" s="3" t="s">
        <v>54</v>
      </c>
      <c r="F290" s="3" t="s">
        <v>3717</v>
      </c>
      <c r="G290" s="3" t="s">
        <v>3718</v>
      </c>
    </row>
    <row r="291" spans="1:7">
      <c r="A291" s="6">
        <v>42905</v>
      </c>
      <c r="B291" s="3" t="s">
        <v>3494</v>
      </c>
      <c r="C291" s="3" t="s">
        <v>32</v>
      </c>
      <c r="D291" s="8" t="str">
        <f>HYPERLINK("http://npthd.inbcu.com/ViewContent.aspx?filename=NPMR_NBC_2017-06-19_E.MP4$2853$2943","LOCAL")</f>
        <v>LOCAL</v>
      </c>
      <c r="E291" s="3" t="s">
        <v>46</v>
      </c>
      <c r="F291" s="3" t="s">
        <v>3718</v>
      </c>
      <c r="G291" s="3" t="s">
        <v>3719</v>
      </c>
    </row>
    <row r="292" spans="1:7">
      <c r="A292" s="6">
        <v>42905</v>
      </c>
      <c r="B292" s="3" t="s">
        <v>3494</v>
      </c>
      <c r="C292" s="3" t="s">
        <v>14</v>
      </c>
      <c r="D292" s="8" t="str">
        <f>HYPERLINK("http://npthd.inbcu.com/ViewContent.aspx?filename=NPMR_NBC_2017-06-19_E.MP4$2943$2958","Spartan Race")</f>
        <v>Spartan Race</v>
      </c>
      <c r="E292" s="3" t="s">
        <v>30</v>
      </c>
      <c r="F292" s="3" t="s">
        <v>3719</v>
      </c>
      <c r="G292" s="3" t="s">
        <v>3720</v>
      </c>
    </row>
    <row r="293" spans="1:7">
      <c r="A293" s="6">
        <v>42905</v>
      </c>
      <c r="B293" s="3" t="s">
        <v>3494</v>
      </c>
      <c r="C293" s="3" t="s">
        <v>14</v>
      </c>
      <c r="D293" s="8" t="str">
        <f>HYPERLINK("http://npthd.inbcu.com/ViewContent.aspx?filename=NPMR_NBC_2017-06-19_E.MP4$2958$2963","World of Dance")</f>
        <v>World of Dance</v>
      </c>
      <c r="E293" s="3" t="s">
        <v>54</v>
      </c>
      <c r="F293" s="3" t="s">
        <v>3720</v>
      </c>
      <c r="G293" s="3" t="s">
        <v>3721</v>
      </c>
    </row>
    <row r="294" spans="1:7">
      <c r="A294" s="6">
        <v>42905</v>
      </c>
      <c r="B294" s="3" t="s">
        <v>3494</v>
      </c>
      <c r="C294" s="3" t="s">
        <v>18</v>
      </c>
      <c r="D294" s="8" t="str">
        <f>HYPERLINK("http://npthd.inbcu.com/ViewContent.aspx?filename=NPMR_NBC_2017-06-19_E.MP4$2963$3264","AMERICAN NINJA WARRIOR: san antonio qualifiers")</f>
        <v>AMERICAN NINJA WARRIOR: san antonio qualifiers</v>
      </c>
      <c r="E294" s="3" t="s">
        <v>3722</v>
      </c>
      <c r="F294" s="3" t="s">
        <v>3721</v>
      </c>
      <c r="G294" s="3" t="s">
        <v>3723</v>
      </c>
    </row>
    <row r="295" spans="1:7">
      <c r="A295" s="6">
        <v>42905</v>
      </c>
      <c r="B295" s="3" t="s">
        <v>3494</v>
      </c>
      <c r="C295" s="3" t="s">
        <v>21</v>
      </c>
      <c r="D295" s="8" t="str">
        <f>HYPERLINK("http://npthd.inbcu.com/ViewContent.aspx?filename=NPMR_NBC_2017-06-19_E.MP4$3264$3444","COMMERCIAL")</f>
        <v>COMMERCIAL</v>
      </c>
      <c r="E295" s="3" t="s">
        <v>22</v>
      </c>
      <c r="F295" s="3" t="s">
        <v>3723</v>
      </c>
      <c r="G295" s="3" t="s">
        <v>2910</v>
      </c>
    </row>
    <row r="296" spans="1:7">
      <c r="A296" s="6">
        <v>42905</v>
      </c>
      <c r="B296" s="3" t="s">
        <v>3494</v>
      </c>
      <c r="C296" s="3" t="s">
        <v>14</v>
      </c>
      <c r="D296" s="8" t="str">
        <f>HYPERLINK("http://npthd.inbcu.com/ViewContent.aspx?filename=NPMR_NBC_2017-06-19_E.MP4$3444$3459","Night Shift, The")</f>
        <v>Night Shift, The</v>
      </c>
      <c r="E296" s="3" t="s">
        <v>30</v>
      </c>
      <c r="F296" s="3" t="s">
        <v>2910</v>
      </c>
      <c r="G296" s="3" t="s">
        <v>3724</v>
      </c>
    </row>
    <row r="297" spans="1:7">
      <c r="A297" s="6">
        <v>42905</v>
      </c>
      <c r="B297" s="3" t="s">
        <v>3494</v>
      </c>
      <c r="C297" s="3" t="s">
        <v>18</v>
      </c>
      <c r="D297" s="8" t="str">
        <f>HYPERLINK("http://npthd.inbcu.com/ViewContent.aspx?filename=NPMR_NBC_2017-06-19_E.MP4$3459$3874","AMERICAN NINJA WARRIOR: san antonio qualifiers")</f>
        <v>AMERICAN NINJA WARRIOR: san antonio qualifiers</v>
      </c>
      <c r="E297" s="3" t="s">
        <v>2146</v>
      </c>
      <c r="F297" s="3" t="s">
        <v>3724</v>
      </c>
      <c r="G297" s="3" t="s">
        <v>3725</v>
      </c>
    </row>
    <row r="298" spans="1:7">
      <c r="A298" s="6">
        <v>42905</v>
      </c>
      <c r="B298" s="3" t="s">
        <v>3494</v>
      </c>
      <c r="C298" s="3" t="s">
        <v>21</v>
      </c>
      <c r="D298" s="8" t="str">
        <f>HYPERLINK("http://npthd.inbcu.com/ViewContent.aspx?filename=NPMR_NBC_2017-06-19_E.MP4$3874$4054","COMMERCIAL")</f>
        <v>COMMERCIAL</v>
      </c>
      <c r="E298" s="3" t="s">
        <v>22</v>
      </c>
      <c r="F298" s="3" t="s">
        <v>3725</v>
      </c>
      <c r="G298" s="3" t="s">
        <v>3726</v>
      </c>
    </row>
    <row r="299" spans="1:7">
      <c r="A299" s="6">
        <v>42905</v>
      </c>
      <c r="B299" s="3" t="s">
        <v>3494</v>
      </c>
      <c r="C299" s="3" t="s">
        <v>14</v>
      </c>
      <c r="D299" s="8" t="str">
        <f>HYPERLINK("http://npthd.inbcu.com/ViewContent.aspx?filename=NPMR_NBC_2017-06-19_E.MP4$4054$4069","Hollywood Game Night")</f>
        <v>Hollywood Game Night</v>
      </c>
      <c r="E299" s="3" t="s">
        <v>30</v>
      </c>
      <c r="F299" s="3" t="s">
        <v>3726</v>
      </c>
      <c r="G299" s="3" t="s">
        <v>3727</v>
      </c>
    </row>
    <row r="300" spans="1:7">
      <c r="A300" s="6">
        <v>42905</v>
      </c>
      <c r="B300" s="3" t="s">
        <v>3494</v>
      </c>
      <c r="C300" s="3" t="s">
        <v>14</v>
      </c>
      <c r="D300" s="8" t="str">
        <f>HYPERLINK("http://npthd.inbcu.com/ViewContent.aspx?filename=NPMR_NBC_2017-06-19_E.MP4$4069$4084","Wall, The")</f>
        <v>Wall, The</v>
      </c>
      <c r="E300" s="3" t="s">
        <v>30</v>
      </c>
      <c r="F300" s="3" t="s">
        <v>3727</v>
      </c>
      <c r="G300" s="3" t="s">
        <v>3728</v>
      </c>
    </row>
    <row r="301" spans="1:7">
      <c r="A301" s="6">
        <v>42905</v>
      </c>
      <c r="B301" s="3" t="s">
        <v>3494</v>
      </c>
      <c r="C301" s="3" t="s">
        <v>18</v>
      </c>
      <c r="D301" s="8" t="str">
        <f>HYPERLINK("http://npthd.inbcu.com/ViewContent.aspx?filename=NPMR_NBC_2017-06-19_E.MP4$4084$4580","AMERICAN NINJA WARRIOR: san antonio qualifiers")</f>
        <v>AMERICAN NINJA WARRIOR: san antonio qualifiers</v>
      </c>
      <c r="E301" s="3" t="s">
        <v>784</v>
      </c>
      <c r="F301" s="3" t="s">
        <v>3728</v>
      </c>
      <c r="G301" s="3" t="s">
        <v>3729</v>
      </c>
    </row>
    <row r="302" spans="1:7">
      <c r="A302" s="6">
        <v>42905</v>
      </c>
      <c r="B302" s="3" t="s">
        <v>3494</v>
      </c>
      <c r="C302" s="3" t="s">
        <v>21</v>
      </c>
      <c r="D302" s="8" t="str">
        <f>HYPERLINK("http://npthd.inbcu.com/ViewContent.aspx?filename=NPMR_NBC_2017-06-19_E.MP4$4580$4699","COMMERCIAL")</f>
        <v>COMMERCIAL</v>
      </c>
      <c r="E302" s="3" t="s">
        <v>119</v>
      </c>
      <c r="F302" s="3" t="s">
        <v>3729</v>
      </c>
      <c r="G302" s="3" t="s">
        <v>3730</v>
      </c>
    </row>
    <row r="303" spans="1:7">
      <c r="A303" s="6">
        <v>42905</v>
      </c>
      <c r="B303" s="3" t="s">
        <v>3494</v>
      </c>
      <c r="C303" s="3" t="s">
        <v>14</v>
      </c>
      <c r="D303" s="8" t="str">
        <f>HYPERLINK("http://npthd.inbcu.com/ViewContent.aspx?filename=NPMR_NBC_2017-06-19_E.MP4$4699$4705","Spartan Race")</f>
        <v>Spartan Race</v>
      </c>
      <c r="E303" s="3" t="s">
        <v>15</v>
      </c>
      <c r="F303" s="3" t="s">
        <v>3730</v>
      </c>
      <c r="G303" s="3" t="s">
        <v>3731</v>
      </c>
    </row>
    <row r="304" spans="1:7">
      <c r="A304" s="6">
        <v>42905</v>
      </c>
      <c r="B304" s="3" t="s">
        <v>3494</v>
      </c>
      <c r="C304" s="3" t="s">
        <v>32</v>
      </c>
      <c r="D304" s="8" t="str">
        <f>HYPERLINK("http://npthd.inbcu.com/ViewContent.aspx?filename=NPMR_NBC_2017-06-19_E.MP4$4705$4799","LOCAL")</f>
        <v>LOCAL</v>
      </c>
      <c r="E304" s="3" t="s">
        <v>1917</v>
      </c>
      <c r="F304" s="3" t="s">
        <v>3731</v>
      </c>
      <c r="G304" s="3" t="s">
        <v>3732</v>
      </c>
    </row>
    <row r="305" spans="1:7">
      <c r="A305" s="6">
        <v>42905</v>
      </c>
      <c r="B305" s="3" t="s">
        <v>3494</v>
      </c>
      <c r="C305" s="3" t="s">
        <v>14</v>
      </c>
      <c r="D305" s="8" t="str">
        <f>HYPERLINK("http://npthd.inbcu.com/ViewContent.aspx?filename=NPMR_NBC_2017-06-19_E.MP4$4799$4814","Americas Got Talent")</f>
        <v>Americas Got Talent</v>
      </c>
      <c r="E305" s="3" t="s">
        <v>30</v>
      </c>
      <c r="F305" s="3" t="s">
        <v>3732</v>
      </c>
      <c r="G305" s="3" t="s">
        <v>3733</v>
      </c>
    </row>
    <row r="306" spans="1:7">
      <c r="A306" s="6">
        <v>42905</v>
      </c>
      <c r="B306" s="3" t="s">
        <v>3494</v>
      </c>
      <c r="C306" s="3" t="s">
        <v>18</v>
      </c>
      <c r="D306" s="8" t="str">
        <f>HYPERLINK("http://npthd.inbcu.com/ViewContent.aspx?filename=NPMR_NBC_2017-06-19_E.MP4$4814$5368","AMERICAN NINJA WARRIOR: san antonio qualifiers")</f>
        <v>AMERICAN NINJA WARRIOR: san antonio qualifiers</v>
      </c>
      <c r="E306" s="3" t="s">
        <v>217</v>
      </c>
      <c r="F306" s="3" t="s">
        <v>3733</v>
      </c>
      <c r="G306" s="3" t="s">
        <v>3734</v>
      </c>
    </row>
    <row r="307" spans="1:7">
      <c r="A307" s="6">
        <v>42905</v>
      </c>
      <c r="B307" s="3" t="s">
        <v>3494</v>
      </c>
      <c r="C307" s="3" t="s">
        <v>21</v>
      </c>
      <c r="D307" s="8" t="str">
        <f>HYPERLINK("http://npthd.inbcu.com/ViewContent.aspx?filename=NPMR_NBC_2017-06-19_E.MP4$5368$5548","COMMERCIAL")</f>
        <v>COMMERCIAL</v>
      </c>
      <c r="E307" s="3" t="s">
        <v>22</v>
      </c>
      <c r="F307" s="3" t="s">
        <v>3734</v>
      </c>
      <c r="G307" s="3" t="s">
        <v>2203</v>
      </c>
    </row>
    <row r="308" spans="1:7">
      <c r="A308" s="6">
        <v>42905</v>
      </c>
      <c r="B308" s="3" t="s">
        <v>3494</v>
      </c>
      <c r="C308" s="3" t="s">
        <v>14</v>
      </c>
      <c r="D308" s="8" t="str">
        <f>HYPERLINK("http://npthd.inbcu.com/ViewContent.aspx?filename=NPMR_NBC_2017-06-19_E.MP4$5548$5559","Tonight Show starring Jimmy Fallon, The")</f>
        <v>Tonight Show starring Jimmy Fallon, The</v>
      </c>
      <c r="E308" s="3" t="s">
        <v>1940</v>
      </c>
      <c r="F308" s="3" t="s">
        <v>2203</v>
      </c>
      <c r="G308" s="3" t="s">
        <v>3735</v>
      </c>
    </row>
    <row r="309" spans="1:7">
      <c r="A309" s="6">
        <v>42905</v>
      </c>
      <c r="B309" s="3" t="s">
        <v>3494</v>
      </c>
      <c r="C309" s="3" t="s">
        <v>14</v>
      </c>
      <c r="D309" s="8" t="str">
        <f>HYPERLINK("http://npthd.inbcu.com/ViewContent.aspx?filename=NPMR_NBC_2017-06-19_E.MP4$5559$5564","World of Dance")</f>
        <v>World of Dance</v>
      </c>
      <c r="E309" s="3" t="s">
        <v>54</v>
      </c>
      <c r="F309" s="3" t="s">
        <v>3735</v>
      </c>
      <c r="G309" s="3" t="s">
        <v>3736</v>
      </c>
    </row>
    <row r="310" spans="1:7">
      <c r="A310" s="6">
        <v>42905</v>
      </c>
      <c r="B310" s="3" t="s">
        <v>3494</v>
      </c>
      <c r="C310" s="3" t="s">
        <v>18</v>
      </c>
      <c r="D310" s="8" t="str">
        <f>HYPERLINK("http://npthd.inbcu.com/ViewContent.aspx?filename=NPMR_NBC_2017-06-19_E.MP4$5564$5888","AMERICAN NINJA WARRIOR: san antonio qualifiers")</f>
        <v>AMERICAN NINJA WARRIOR: san antonio qualifiers</v>
      </c>
      <c r="E310" s="3" t="s">
        <v>2322</v>
      </c>
      <c r="F310" s="3" t="s">
        <v>3736</v>
      </c>
      <c r="G310" s="3" t="s">
        <v>3737</v>
      </c>
    </row>
    <row r="311" spans="1:7">
      <c r="A311" s="6">
        <v>42905</v>
      </c>
      <c r="B311" s="3" t="s">
        <v>3494</v>
      </c>
      <c r="C311" s="3" t="s">
        <v>21</v>
      </c>
      <c r="D311" s="8" t="str">
        <f>HYPERLINK("http://npthd.inbcu.com/ViewContent.aspx?filename=NPMR_NBC_2017-06-19_E.MP4$5888$6008","COMMERCIAL")</f>
        <v>COMMERCIAL</v>
      </c>
      <c r="E311" s="3" t="s">
        <v>43</v>
      </c>
      <c r="F311" s="3" t="s">
        <v>3737</v>
      </c>
      <c r="G311" s="3" t="s">
        <v>3472</v>
      </c>
    </row>
    <row r="312" spans="1:7">
      <c r="A312" s="6">
        <v>42905</v>
      </c>
      <c r="B312" s="3" t="s">
        <v>3494</v>
      </c>
      <c r="C312" s="3" t="s">
        <v>14</v>
      </c>
      <c r="D312" s="8" t="str">
        <f>HYPERLINK("http://npthd.inbcu.com/ViewContent.aspx?filename=NPMR_NBC_2017-06-19_E.MP4$6008$6013","Little Big Shots: Forever Young")</f>
        <v>Little Big Shots: Forever Young</v>
      </c>
      <c r="E312" s="3" t="s">
        <v>54</v>
      </c>
      <c r="F312" s="3" t="s">
        <v>3472</v>
      </c>
      <c r="G312" s="3" t="s">
        <v>3030</v>
      </c>
    </row>
    <row r="313" spans="1:7">
      <c r="A313" s="6">
        <v>42905</v>
      </c>
      <c r="B313" s="3" t="s">
        <v>3494</v>
      </c>
      <c r="C313" s="3" t="s">
        <v>32</v>
      </c>
      <c r="D313" s="8" t="str">
        <f>HYPERLINK("http://npthd.inbcu.com/ViewContent.aspx?filename=NPMR_NBC_2017-06-19_E.MP4$6013$6103","LOCAL")</f>
        <v>LOCAL</v>
      </c>
      <c r="E313" s="3" t="s">
        <v>46</v>
      </c>
      <c r="F313" s="3" t="s">
        <v>3030</v>
      </c>
      <c r="G313" s="3" t="s">
        <v>3738</v>
      </c>
    </row>
    <row r="314" spans="1:7">
      <c r="A314" s="6">
        <v>42905</v>
      </c>
      <c r="B314" s="3" t="s">
        <v>3494</v>
      </c>
      <c r="C314" s="3" t="s">
        <v>14</v>
      </c>
      <c r="D314" s="8" t="str">
        <f>HYPERLINK("http://npthd.inbcu.com/ViewContent.aspx?filename=NPMR_NBC_2017-06-19_E.MP4$6103$6118","Midnight Texas")</f>
        <v>Midnight Texas</v>
      </c>
      <c r="E314" s="3" t="s">
        <v>30</v>
      </c>
      <c r="F314" s="3" t="s">
        <v>3738</v>
      </c>
      <c r="G314" s="3" t="s">
        <v>3739</v>
      </c>
    </row>
    <row r="315" spans="1:7">
      <c r="A315" s="6">
        <v>42905</v>
      </c>
      <c r="B315" s="3" t="s">
        <v>3494</v>
      </c>
      <c r="C315" s="3" t="s">
        <v>18</v>
      </c>
      <c r="D315" s="8" t="str">
        <f>HYPERLINK("http://npthd.inbcu.com/ViewContent.aspx?filename=NPMR_NBC_2017-06-19_E.MP4$6118$6558","AMERICAN NINJA WARRIOR: san antonio qualifiers")</f>
        <v>AMERICAN NINJA WARRIOR: san antonio qualifiers</v>
      </c>
      <c r="E315" s="3" t="s">
        <v>1116</v>
      </c>
      <c r="F315" s="3" t="s">
        <v>3739</v>
      </c>
      <c r="G315" s="3" t="s">
        <v>899</v>
      </c>
    </row>
    <row r="316" spans="1:7">
      <c r="A316" s="6">
        <v>42905</v>
      </c>
      <c r="B316" s="3" t="s">
        <v>3494</v>
      </c>
      <c r="C316" s="3" t="s">
        <v>21</v>
      </c>
      <c r="D316" s="8" t="str">
        <f>HYPERLINK("http://npthd.inbcu.com/ViewContent.aspx?filename=NPMR_NBC_2017-06-19_E.MP4$6558$6738","COMMERCIAL")</f>
        <v>COMMERCIAL</v>
      </c>
      <c r="E316" s="3" t="s">
        <v>22</v>
      </c>
      <c r="F316" s="3" t="s">
        <v>899</v>
      </c>
      <c r="G316" s="3" t="s">
        <v>3740</v>
      </c>
    </row>
    <row r="317" spans="1:7">
      <c r="A317" s="6">
        <v>42905</v>
      </c>
      <c r="B317" s="3" t="s">
        <v>3494</v>
      </c>
      <c r="C317" s="3" t="s">
        <v>14</v>
      </c>
      <c r="D317" s="8" t="str">
        <f>HYPERLINK("http://npthd.inbcu.com/ViewContent.aspx?filename=NPMR_NBC_2017-06-19_E.MP4$6738$6768","Spartan Race")</f>
        <v>Spartan Race</v>
      </c>
      <c r="E317" s="3" t="s">
        <v>38</v>
      </c>
      <c r="F317" s="3" t="s">
        <v>3740</v>
      </c>
      <c r="G317" s="3" t="s">
        <v>2100</v>
      </c>
    </row>
    <row r="318" spans="1:7">
      <c r="A318" s="6">
        <v>42905</v>
      </c>
      <c r="B318" s="3" t="s">
        <v>3494</v>
      </c>
      <c r="C318" s="3" t="s">
        <v>18</v>
      </c>
      <c r="D318" s="8" t="str">
        <f>HYPERLINK("http://npthd.inbcu.com/ViewContent.aspx?filename=NPMR_NBC_2017-06-19_E.MP4$6768$7258","AMERICAN NINJA WARRIOR: san antonio qualifiers")</f>
        <v>AMERICAN NINJA WARRIOR: san antonio qualifiers</v>
      </c>
      <c r="E318" s="3" t="s">
        <v>227</v>
      </c>
      <c r="F318" s="3" t="s">
        <v>2100</v>
      </c>
      <c r="G318" s="3" t="s">
        <v>1449</v>
      </c>
    </row>
    <row r="319" spans="1:7">
      <c r="A319" s="6">
        <v>42905</v>
      </c>
      <c r="B319" s="3" t="s">
        <v>3494</v>
      </c>
      <c r="C319" s="3" t="s">
        <v>14</v>
      </c>
      <c r="D319" s="8" t="str">
        <f>HYPERLINK("http://npthd.inbcu.com/ViewContent.aspx?filename=NPMR_NBC_2017-06-19_E.MP4$7258$7273","American Ninja Warrior")</f>
        <v>American Ninja Warrior</v>
      </c>
      <c r="E319" s="3" t="s">
        <v>30</v>
      </c>
      <c r="F319" s="3" t="s">
        <v>1449</v>
      </c>
      <c r="G319" s="3" t="s">
        <v>3741</v>
      </c>
    </row>
    <row r="320" spans="1:7">
      <c r="A320" s="6">
        <v>42905</v>
      </c>
      <c r="B320" s="3" t="s">
        <v>3494</v>
      </c>
      <c r="C320" s="3" t="s">
        <v>14</v>
      </c>
      <c r="D320" s="8" t="str">
        <f>HYPERLINK("http://npthd.inbcu.com/ViewContent.aspx?filename=NPMR_NBC_2017-06-19_E.MP4$7273$7288","Spartan Race")</f>
        <v>Spartan Race</v>
      </c>
      <c r="E320" s="3" t="s">
        <v>30</v>
      </c>
      <c r="F320" s="3" t="s">
        <v>3741</v>
      </c>
      <c r="G320" s="3" t="s">
        <v>1008</v>
      </c>
    </row>
    <row r="321" spans="1:7">
      <c r="A321" s="6">
        <v>42905</v>
      </c>
      <c r="B321" s="3" t="s">
        <v>3494</v>
      </c>
      <c r="C321" s="3" t="s">
        <v>18</v>
      </c>
      <c r="D321" s="8" t="str">
        <f>HYPERLINK("http://npthd.inbcu.com/ViewContent.aspx?filename=NPMR_NBC_2017-06-19_E.MP4$7288$8054","SPARTAN: ULTIMATE TEAM CHALLENGE: qualifiers - night 2")</f>
        <v>SPARTAN: ULTIMATE TEAM CHALLENGE: qualifiers - night 2</v>
      </c>
      <c r="E321" s="3" t="s">
        <v>3742</v>
      </c>
      <c r="F321" s="3" t="s">
        <v>1008</v>
      </c>
      <c r="G321" s="3" t="s">
        <v>3743</v>
      </c>
    </row>
    <row r="322" spans="1:7">
      <c r="A322" s="6">
        <v>42905</v>
      </c>
      <c r="B322" s="3" t="s">
        <v>3494</v>
      </c>
      <c r="C322" s="3" t="s">
        <v>21</v>
      </c>
      <c r="D322" s="8" t="str">
        <f>HYPERLINK("http://npthd.inbcu.com/ViewContent.aspx?filename=NPMR_NBC_2017-06-19_E.MP4$8054$8208","COMMERCIAL")</f>
        <v>COMMERCIAL</v>
      </c>
      <c r="E322" s="3" t="s">
        <v>2185</v>
      </c>
      <c r="F322" s="3" t="s">
        <v>3743</v>
      </c>
      <c r="G322" s="3" t="s">
        <v>3744</v>
      </c>
    </row>
    <row r="323" spans="1:7">
      <c r="A323" s="6">
        <v>42905</v>
      </c>
      <c r="B323" s="3" t="s">
        <v>3494</v>
      </c>
      <c r="C323" s="3" t="s">
        <v>14</v>
      </c>
      <c r="D323" s="8" t="str">
        <f>HYPERLINK("http://npthd.inbcu.com/ViewContent.aspx?filename=NPMR_NBC_2017-06-19_E.MP4$8208$8223","Today")</f>
        <v>Today</v>
      </c>
      <c r="E323" s="3" t="s">
        <v>30</v>
      </c>
      <c r="F323" s="3" t="s">
        <v>3744</v>
      </c>
      <c r="G323" s="3" t="s">
        <v>3745</v>
      </c>
    </row>
    <row r="324" spans="1:7">
      <c r="A324" s="6">
        <v>42905</v>
      </c>
      <c r="B324" s="3" t="s">
        <v>3494</v>
      </c>
      <c r="C324" s="3" t="s">
        <v>32</v>
      </c>
      <c r="D324" s="8" t="str">
        <f>HYPERLINK("http://npthd.inbcu.com/ViewContent.aspx?filename=NPMR_NBC_2017-06-19_E.MP4$8223$8254","LOCAL")</f>
        <v>LOCAL</v>
      </c>
      <c r="E324" s="3" t="s">
        <v>98</v>
      </c>
      <c r="F324" s="3" t="s">
        <v>3745</v>
      </c>
      <c r="G324" s="3" t="s">
        <v>3746</v>
      </c>
    </row>
    <row r="325" spans="1:7">
      <c r="A325" s="6">
        <v>42905</v>
      </c>
      <c r="B325" s="3" t="s">
        <v>3494</v>
      </c>
      <c r="C325" s="3" t="s">
        <v>18</v>
      </c>
      <c r="D325" s="8" t="str">
        <f>HYPERLINK("http://npthd.inbcu.com/ViewContent.aspx?filename=NPMR_NBC_2017-06-19_E.MP4$8254$8552","SPARTAN: ULTIMATE TEAM CHALLENGE: qualifiers - night 2")</f>
        <v>SPARTAN: ULTIMATE TEAM CHALLENGE: qualifiers - night 2</v>
      </c>
      <c r="E325" s="3" t="s">
        <v>1207</v>
      </c>
      <c r="F325" s="3" t="s">
        <v>3746</v>
      </c>
      <c r="G325" s="3" t="s">
        <v>3747</v>
      </c>
    </row>
    <row r="326" spans="1:7">
      <c r="A326" s="6">
        <v>42905</v>
      </c>
      <c r="B326" s="3" t="s">
        <v>3494</v>
      </c>
      <c r="C326" s="3" t="s">
        <v>21</v>
      </c>
      <c r="D326" s="8" t="str">
        <f>HYPERLINK("http://npthd.inbcu.com/ViewContent.aspx?filename=NPMR_NBC_2017-06-19_E.MP4$8552$8702","COMMERCIAL")</f>
        <v>COMMERCIAL</v>
      </c>
      <c r="E326" s="3" t="s">
        <v>28</v>
      </c>
      <c r="F326" s="3" t="s">
        <v>3747</v>
      </c>
      <c r="G326" s="3" t="s">
        <v>3748</v>
      </c>
    </row>
    <row r="327" spans="1:7">
      <c r="A327" s="6">
        <v>42905</v>
      </c>
      <c r="B327" s="3" t="s">
        <v>3494</v>
      </c>
      <c r="C327" s="3" t="s">
        <v>14</v>
      </c>
      <c r="D327" s="8" t="str">
        <f>HYPERLINK("http://npthd.inbcu.com/ViewContent.aspx?filename=NPMR_NBC_2017-06-19_E.MP4$8702$8762","NBC Tuesday")</f>
        <v>NBC Tuesday</v>
      </c>
      <c r="E327" s="3" t="s">
        <v>66</v>
      </c>
      <c r="F327" s="3" t="s">
        <v>3748</v>
      </c>
      <c r="G327" s="3" t="s">
        <v>3749</v>
      </c>
    </row>
    <row r="328" spans="1:7">
      <c r="A328" s="6">
        <v>42905</v>
      </c>
      <c r="B328" s="3" t="s">
        <v>3494</v>
      </c>
      <c r="C328" s="3" t="s">
        <v>18</v>
      </c>
      <c r="D328" s="8" t="str">
        <f>HYPERLINK("http://npthd.inbcu.com/ViewContent.aspx?filename=NPMR_NBC_2017-06-19_E.MP4$8762$9088","SPARTAN: ULTIMATE TEAM CHALLENGE: qualifiers - night 2")</f>
        <v>SPARTAN: ULTIMATE TEAM CHALLENGE: qualifiers - night 2</v>
      </c>
      <c r="E328" s="3" t="s">
        <v>1215</v>
      </c>
      <c r="F328" s="3" t="s">
        <v>3749</v>
      </c>
      <c r="G328" s="3" t="s">
        <v>3750</v>
      </c>
    </row>
    <row r="329" spans="1:7">
      <c r="A329" s="6">
        <v>42905</v>
      </c>
      <c r="B329" s="3" t="s">
        <v>3494</v>
      </c>
      <c r="C329" s="3" t="s">
        <v>21</v>
      </c>
      <c r="D329" s="8" t="str">
        <f>HYPERLINK("http://npthd.inbcu.com/ViewContent.aspx?filename=NPMR_NBC_2017-06-19_E.MP4$9088$9148","COMMERCIAL")</f>
        <v>COMMERCIAL</v>
      </c>
      <c r="E329" s="3" t="s">
        <v>66</v>
      </c>
      <c r="F329" s="3" t="s">
        <v>3750</v>
      </c>
      <c r="G329" s="3" t="s">
        <v>3447</v>
      </c>
    </row>
    <row r="330" spans="1:7">
      <c r="A330" s="6">
        <v>42905</v>
      </c>
      <c r="B330" s="3" t="s">
        <v>3494</v>
      </c>
      <c r="C330" s="3" t="s">
        <v>14</v>
      </c>
      <c r="D330" s="8" t="str">
        <f>HYPERLINK("http://npthd.inbcu.com/ViewContent.aspx?filename=NPMR_NBC_2017-06-19_E.MP4$9148$9153","Late Night with Seth Meyers")</f>
        <v>Late Night with Seth Meyers</v>
      </c>
      <c r="E330" s="3" t="s">
        <v>54</v>
      </c>
      <c r="F330" s="3" t="s">
        <v>3447</v>
      </c>
      <c r="G330" s="3" t="s">
        <v>3751</v>
      </c>
    </row>
    <row r="331" spans="1:7">
      <c r="A331" s="6">
        <v>42905</v>
      </c>
      <c r="B331" s="3" t="s">
        <v>3494</v>
      </c>
      <c r="C331" s="3" t="s">
        <v>32</v>
      </c>
      <c r="D331" s="8" t="str">
        <f>HYPERLINK("http://npthd.inbcu.com/ViewContent.aspx?filename=NPMR_NBC_2017-06-19_E.MP4$9153$9318","LOCAL")</f>
        <v>LOCAL</v>
      </c>
      <c r="E331" s="3" t="s">
        <v>428</v>
      </c>
      <c r="F331" s="3" t="s">
        <v>3751</v>
      </c>
      <c r="G331" s="3" t="s">
        <v>1984</v>
      </c>
    </row>
    <row r="332" spans="1:7">
      <c r="A332" s="6">
        <v>42905</v>
      </c>
      <c r="B332" s="3" t="s">
        <v>3494</v>
      </c>
      <c r="C332" s="3" t="s">
        <v>14</v>
      </c>
      <c r="D332" s="8" t="str">
        <f>HYPERLINK("http://npthd.inbcu.com/ViewContent.aspx?filename=NPMR_NBC_2017-06-19_E.MP4$9318$9327","Tonight Show starring Jimmy Fallon, The")</f>
        <v>Tonight Show starring Jimmy Fallon, The</v>
      </c>
      <c r="E332" s="3" t="s">
        <v>2074</v>
      </c>
      <c r="F332" s="3" t="s">
        <v>1984</v>
      </c>
      <c r="G332" s="3" t="s">
        <v>3752</v>
      </c>
    </row>
    <row r="333" spans="1:7">
      <c r="A333" s="6">
        <v>42905</v>
      </c>
      <c r="B333" s="3" t="s">
        <v>3494</v>
      </c>
      <c r="C333" s="3" t="s">
        <v>14</v>
      </c>
      <c r="D333" s="8" t="str">
        <f>HYPERLINK("http://npthd.inbcu.com/ViewContent.aspx?filename=NPMR_NBC_2017-06-19_E.MP4$9327$9332","Midnight Texas")</f>
        <v>Midnight Texas</v>
      </c>
      <c r="E333" s="3" t="s">
        <v>54</v>
      </c>
      <c r="F333" s="3" t="s">
        <v>3752</v>
      </c>
      <c r="G333" s="3" t="s">
        <v>836</v>
      </c>
    </row>
    <row r="334" spans="1:7">
      <c r="A334" s="6">
        <v>42905</v>
      </c>
      <c r="B334" s="3" t="s">
        <v>3494</v>
      </c>
      <c r="C334" s="3" t="s">
        <v>18</v>
      </c>
      <c r="D334" s="8" t="str">
        <f>HYPERLINK("http://npthd.inbcu.com/ViewContent.aspx?filename=NPMR_NBC_2017-06-19_E.MP4$9332$9857","SPARTAN: ULTIMATE TEAM CHALLENGE: qualifiers - night 2")</f>
        <v>SPARTAN: ULTIMATE TEAM CHALLENGE: qualifiers - night 2</v>
      </c>
      <c r="E334" s="3" t="s">
        <v>458</v>
      </c>
      <c r="F334" s="3" t="s">
        <v>836</v>
      </c>
      <c r="G334" s="3" t="s">
        <v>3753</v>
      </c>
    </row>
    <row r="335" spans="1:7">
      <c r="A335" s="6">
        <v>42905</v>
      </c>
      <c r="B335" s="3" t="s">
        <v>3494</v>
      </c>
      <c r="C335" s="3" t="s">
        <v>21</v>
      </c>
      <c r="D335" s="8" t="str">
        <f>HYPERLINK("http://npthd.inbcu.com/ViewContent.aspx?filename=NPMR_NBC_2017-06-19_E.MP4$9857$10037","COMMERCIAL")</f>
        <v>COMMERCIAL</v>
      </c>
      <c r="E335" s="3" t="s">
        <v>22</v>
      </c>
      <c r="F335" s="3" t="s">
        <v>3753</v>
      </c>
      <c r="G335" s="3" t="s">
        <v>114</v>
      </c>
    </row>
    <row r="336" spans="1:7">
      <c r="A336" s="6">
        <v>42905</v>
      </c>
      <c r="B336" s="3" t="s">
        <v>3494</v>
      </c>
      <c r="C336" s="3" t="s">
        <v>14</v>
      </c>
      <c r="D336" s="8" t="str">
        <f>HYPERLINK("http://npthd.inbcu.com/ViewContent.aspx?filename=NPMR_NBC_2017-06-19_E.MP4$10037$10067","NBC Thursday")</f>
        <v>NBC Thursday</v>
      </c>
      <c r="E336" s="3" t="s">
        <v>38</v>
      </c>
      <c r="F336" s="3" t="s">
        <v>114</v>
      </c>
      <c r="G336" s="3" t="s">
        <v>1879</v>
      </c>
    </row>
    <row r="337" spans="1:7">
      <c r="A337" s="6">
        <v>42905</v>
      </c>
      <c r="B337" s="3" t="s">
        <v>3494</v>
      </c>
      <c r="C337" s="3" t="s">
        <v>18</v>
      </c>
      <c r="D337" s="8" t="str">
        <f>HYPERLINK("http://npthd.inbcu.com/ViewContent.aspx?filename=NPMR_NBC_2017-06-19_E.MP4$10067$10368","SPARTAN: ULTIMATE TEAM CHALLENGE: qualifiers - night 2")</f>
        <v>SPARTAN: ULTIMATE TEAM CHALLENGE: qualifiers - night 2</v>
      </c>
      <c r="E337" s="3" t="s">
        <v>3722</v>
      </c>
      <c r="F337" s="3" t="s">
        <v>1879</v>
      </c>
      <c r="G337" s="3" t="s">
        <v>3754</v>
      </c>
    </row>
    <row r="338" spans="1:7">
      <c r="A338" s="6">
        <v>42905</v>
      </c>
      <c r="B338" s="3" t="s">
        <v>3494</v>
      </c>
      <c r="C338" s="3" t="s">
        <v>21</v>
      </c>
      <c r="D338" s="8" t="str">
        <f>HYPERLINK("http://npthd.inbcu.com/ViewContent.aspx?filename=NPMR_NBC_2017-06-19_E.MP4$10368$10518","COMMERCIAL")</f>
        <v>COMMERCIAL</v>
      </c>
      <c r="E338" s="3" t="s">
        <v>28</v>
      </c>
      <c r="F338" s="3" t="s">
        <v>3754</v>
      </c>
      <c r="G338" s="3" t="s">
        <v>3755</v>
      </c>
    </row>
    <row r="339" spans="1:7">
      <c r="A339" s="6">
        <v>42905</v>
      </c>
      <c r="B339" s="3" t="s">
        <v>3494</v>
      </c>
      <c r="C339" s="3" t="s">
        <v>32</v>
      </c>
      <c r="D339" s="8" t="str">
        <f>HYPERLINK("http://npthd.inbcu.com/ViewContent.aspx?filename=NPMR_NBC_2017-06-19_E.MP4$10518$10533","LOCAL")</f>
        <v>LOCAL</v>
      </c>
      <c r="E339" s="3" t="s">
        <v>30</v>
      </c>
      <c r="F339" s="3" t="s">
        <v>3755</v>
      </c>
      <c r="G339" s="3" t="s">
        <v>3756</v>
      </c>
    </row>
    <row r="340" spans="1:7">
      <c r="A340" s="6">
        <v>42905</v>
      </c>
      <c r="B340" s="3" t="s">
        <v>3494</v>
      </c>
      <c r="C340" s="3" t="s">
        <v>14</v>
      </c>
      <c r="D340" s="8" t="str">
        <f>HYPERLINK("http://npthd.inbcu.com/ViewContent.aspx?filename=NPMR_NBC_2017-06-19_E.MP4$10533$10548","Despicable Me 3")</f>
        <v>Despicable Me 3</v>
      </c>
      <c r="E340" s="3" t="s">
        <v>30</v>
      </c>
      <c r="F340" s="3" t="s">
        <v>3756</v>
      </c>
      <c r="G340" s="3" t="s">
        <v>3757</v>
      </c>
    </row>
    <row r="341" spans="1:7">
      <c r="A341" s="6">
        <v>42905</v>
      </c>
      <c r="B341" s="3" t="s">
        <v>3494</v>
      </c>
      <c r="C341" s="3" t="s">
        <v>18</v>
      </c>
      <c r="D341" s="8" t="str">
        <f>HYPERLINK("http://npthd.inbcu.com/ViewContent.aspx?filename=NPMR_NBC_2017-06-19_E.MP4$10548$10823","SPARTAN: ULTIMATE TEAM CHALLENGE: qualifiers - night 2")</f>
        <v>SPARTAN: ULTIMATE TEAM CHALLENGE: qualifiers - night 2</v>
      </c>
      <c r="E341" s="3" t="s">
        <v>3758</v>
      </c>
      <c r="F341" s="3" t="s">
        <v>3757</v>
      </c>
      <c r="G341" s="3" t="s">
        <v>3552</v>
      </c>
    </row>
    <row r="342" spans="1:7">
      <c r="A342" s="6">
        <v>42905</v>
      </c>
      <c r="B342" s="3" t="s">
        <v>3494</v>
      </c>
      <c r="C342" s="3" t="s">
        <v>14</v>
      </c>
      <c r="D342" s="8" t="str">
        <f>HYPERLINK("http://npthd.inbcu.com/ViewContent.aspx?filename=NPMR_NBC_2017-06-19_E.MP4$10823$10838","Spartan Race")</f>
        <v>Spartan Race</v>
      </c>
      <c r="E342" s="3" t="s">
        <v>30</v>
      </c>
      <c r="F342" s="3" t="s">
        <v>3552</v>
      </c>
      <c r="G342" s="3" t="s">
        <v>3759</v>
      </c>
    </row>
    <row r="343" spans="1:7">
      <c r="A343" s="6">
        <v>42905</v>
      </c>
      <c r="B343" s="3" t="s">
        <v>3494</v>
      </c>
      <c r="C343" s="3" t="s">
        <v>14</v>
      </c>
      <c r="D343" s="8" t="str">
        <f>HYPERLINK("http://npthd.inbcu.com/ViewContent.aspx?filename=NPMR_NBC_2017-06-19_E.MP4$10838$10853","Americas Got Talent")</f>
        <v>Americas Got Talent</v>
      </c>
      <c r="E343" s="3" t="s">
        <v>30</v>
      </c>
      <c r="F343" s="3" t="s">
        <v>3759</v>
      </c>
      <c r="G343" s="3" t="s">
        <v>3553</v>
      </c>
    </row>
    <row r="344" spans="1:7">
      <c r="A344" s="6">
        <v>42905</v>
      </c>
      <c r="B344" s="3" t="s">
        <v>3494</v>
      </c>
      <c r="C344" s="3" t="s">
        <v>18</v>
      </c>
      <c r="D344" s="8" t="str">
        <f>HYPERLINK("http://npthd.inbcu.com/ViewContent.aspx?filename=NPMR_NBC_2017-06-19_E.MP4$10853$10859","SPARTAN: ULTIMATE TEAM CHALLENGE: qualifiers - night 2")</f>
        <v>SPARTAN: ULTIMATE TEAM CHALLENGE: qualifiers - night 2</v>
      </c>
      <c r="E344" s="3" t="s">
        <v>15</v>
      </c>
      <c r="F344" s="3" t="s">
        <v>3553</v>
      </c>
      <c r="G344" s="3" t="s">
        <v>3554</v>
      </c>
    </row>
    <row r="345" spans="1:7">
      <c r="A345" s="6">
        <v>42905</v>
      </c>
      <c r="B345" s="3" t="s">
        <v>3494</v>
      </c>
      <c r="C345" s="3" t="s">
        <v>32</v>
      </c>
      <c r="D345" s="8" t="str">
        <f>HYPERLINK("http://npthd.inbcu.com/ViewContent.aspx?filename=NPMR_NBC_2017-06-19_E.MP4$10859$10889","LOCAL")</f>
        <v>LOCAL</v>
      </c>
      <c r="E345" s="3" t="s">
        <v>38</v>
      </c>
      <c r="F345" s="3" t="s">
        <v>3554</v>
      </c>
      <c r="G345" s="3" t="s">
        <v>124</v>
      </c>
    </row>
    <row r="346" spans="1:7">
      <c r="A346" s="6">
        <v>42908</v>
      </c>
      <c r="B346" s="3" t="s">
        <v>3494</v>
      </c>
      <c r="C346" s="3" t="s">
        <v>18</v>
      </c>
      <c r="D346" s="8" t="str">
        <f>HYPERLINK("http://npthd.inbcu.com/ViewContent.aspx?filename=NPMR_NBC_2017-06-22_E.MP4$102$665","HOLLYWOOD GAME NIGHT: veep vs. the walking dead")</f>
        <v>HOLLYWOOD GAME NIGHT: veep vs. the walking dead</v>
      </c>
      <c r="E346" s="3" t="s">
        <v>3130</v>
      </c>
      <c r="F346" s="3" t="s">
        <v>16</v>
      </c>
      <c r="G346" s="3" t="s">
        <v>3760</v>
      </c>
    </row>
    <row r="347" spans="1:7">
      <c r="A347" s="6">
        <v>42908</v>
      </c>
      <c r="B347" s="3" t="s">
        <v>3494</v>
      </c>
      <c r="C347" s="3" t="s">
        <v>21</v>
      </c>
      <c r="D347" s="8" t="str">
        <f>HYPERLINK("http://npthd.inbcu.com/ViewContent.aspx?filename=NPMR_NBC_2017-06-22_E.MP4$665$846","COMMERCIAL")</f>
        <v>COMMERCIAL</v>
      </c>
      <c r="E347" s="3" t="s">
        <v>108</v>
      </c>
      <c r="F347" s="3" t="s">
        <v>3760</v>
      </c>
      <c r="G347" s="3" t="s">
        <v>1473</v>
      </c>
    </row>
    <row r="348" spans="1:7">
      <c r="A348" s="6">
        <v>42908</v>
      </c>
      <c r="B348" s="3" t="s">
        <v>3494</v>
      </c>
      <c r="C348" s="3" t="s">
        <v>14</v>
      </c>
      <c r="D348" s="8" t="str">
        <f>HYPERLINK("http://npthd.inbcu.com/ViewContent.aspx?filename=NPMR_NBC_2017-06-22_E.MP4$846$861","Wall, The")</f>
        <v>Wall, The</v>
      </c>
      <c r="E348" s="3" t="s">
        <v>30</v>
      </c>
      <c r="F348" s="3" t="s">
        <v>1473</v>
      </c>
      <c r="G348" s="3" t="s">
        <v>3761</v>
      </c>
    </row>
    <row r="349" spans="1:7">
      <c r="A349" s="6">
        <v>42908</v>
      </c>
      <c r="B349" s="3" t="s">
        <v>3494</v>
      </c>
      <c r="C349" s="3" t="s">
        <v>14</v>
      </c>
      <c r="D349" s="8" t="str">
        <f>HYPERLINK("http://npthd.inbcu.com/ViewContent.aspx?filename=NPMR_NBC_2017-06-22_E.MP4$861$876","Night Shift, The")</f>
        <v>Night Shift, The</v>
      </c>
      <c r="E349" s="3" t="s">
        <v>30</v>
      </c>
      <c r="F349" s="3" t="s">
        <v>3761</v>
      </c>
      <c r="G349" s="3" t="s">
        <v>3762</v>
      </c>
    </row>
    <row r="350" spans="1:7">
      <c r="A350" s="6">
        <v>42908</v>
      </c>
      <c r="B350" s="3" t="s">
        <v>3494</v>
      </c>
      <c r="C350" s="3" t="s">
        <v>18</v>
      </c>
      <c r="D350" s="8" t="str">
        <f>HYPERLINK("http://npthd.inbcu.com/ViewContent.aspx?filename=NPMR_NBC_2017-06-22_E.MP4$876$1414","HOLLYWOOD GAME NIGHT: veep vs. the walking dead")</f>
        <v>HOLLYWOOD GAME NIGHT: veep vs. the walking dead</v>
      </c>
      <c r="E350" s="3" t="s">
        <v>3348</v>
      </c>
      <c r="F350" s="3" t="s">
        <v>3762</v>
      </c>
      <c r="G350" s="3" t="s">
        <v>3763</v>
      </c>
    </row>
    <row r="351" spans="1:7">
      <c r="A351" s="6">
        <v>42908</v>
      </c>
      <c r="B351" s="3" t="s">
        <v>3494</v>
      </c>
      <c r="C351" s="3" t="s">
        <v>21</v>
      </c>
      <c r="D351" s="8" t="str">
        <f>HYPERLINK("http://npthd.inbcu.com/ViewContent.aspx?filename=NPMR_NBC_2017-06-22_E.MP4$1414$1504","COMMERCIAL")</f>
        <v>COMMERCIAL</v>
      </c>
      <c r="E351" s="3" t="s">
        <v>46</v>
      </c>
      <c r="F351" s="3" t="s">
        <v>3763</v>
      </c>
      <c r="G351" s="3" t="s">
        <v>3764</v>
      </c>
    </row>
    <row r="352" spans="1:7">
      <c r="A352" s="6">
        <v>42908</v>
      </c>
      <c r="B352" s="3" t="s">
        <v>3494</v>
      </c>
      <c r="C352" s="3" t="s">
        <v>14</v>
      </c>
      <c r="D352" s="8" t="str">
        <f>HYPERLINK("http://npthd.inbcu.com/ViewContent.aspx?filename=NPMR_NBC_2017-06-22_E.MP4$1504$1519","American Ninja Warrior")</f>
        <v>American Ninja Warrior</v>
      </c>
      <c r="E352" s="3" t="s">
        <v>30</v>
      </c>
      <c r="F352" s="3" t="s">
        <v>3764</v>
      </c>
      <c r="G352" s="3" t="s">
        <v>3765</v>
      </c>
    </row>
    <row r="353" spans="1:7">
      <c r="A353" s="6">
        <v>42908</v>
      </c>
      <c r="B353" s="3" t="s">
        <v>3494</v>
      </c>
      <c r="C353" s="3" t="s">
        <v>32</v>
      </c>
      <c r="D353" s="8" t="str">
        <f>HYPERLINK("http://npthd.inbcu.com/ViewContent.aspx?filename=NPMR_NBC_2017-06-22_E.MP4$1519$1613","LOCAL")</f>
        <v>LOCAL</v>
      </c>
      <c r="E353" s="3" t="s">
        <v>1917</v>
      </c>
      <c r="F353" s="3" t="s">
        <v>3765</v>
      </c>
      <c r="G353" s="3" t="s">
        <v>3766</v>
      </c>
    </row>
    <row r="354" spans="1:7">
      <c r="A354" s="6">
        <v>42908</v>
      </c>
      <c r="B354" s="3" t="s">
        <v>3494</v>
      </c>
      <c r="C354" s="3" t="s">
        <v>14</v>
      </c>
      <c r="D354" s="8" t="str">
        <f>HYPERLINK("http://npthd.inbcu.com/ViewContent.aspx?filename=NPMR_NBC_2017-06-22_E.MP4$1613$1628","Spartan Race")</f>
        <v>Spartan Race</v>
      </c>
      <c r="E354" s="3" t="s">
        <v>30</v>
      </c>
      <c r="F354" s="3" t="s">
        <v>3766</v>
      </c>
      <c r="G354" s="3" t="s">
        <v>3767</v>
      </c>
    </row>
    <row r="355" spans="1:7">
      <c r="A355" s="6">
        <v>42908</v>
      </c>
      <c r="B355" s="3" t="s">
        <v>3494</v>
      </c>
      <c r="C355" s="3" t="s">
        <v>18</v>
      </c>
      <c r="D355" s="8" t="str">
        <f>HYPERLINK("http://npthd.inbcu.com/ViewContent.aspx?filename=NPMR_NBC_2017-06-22_E.MP4$1628$2107","HOLLYWOOD GAME NIGHT: veep vs. the walking dead")</f>
        <v>HOLLYWOOD GAME NIGHT: veep vs. the walking dead</v>
      </c>
      <c r="E355" s="3" t="s">
        <v>1129</v>
      </c>
      <c r="F355" s="3" t="s">
        <v>3767</v>
      </c>
      <c r="G355" s="3" t="s">
        <v>3768</v>
      </c>
    </row>
    <row r="356" spans="1:7">
      <c r="A356" s="6">
        <v>42908</v>
      </c>
      <c r="B356" s="3" t="s">
        <v>3494</v>
      </c>
      <c r="C356" s="3" t="s">
        <v>14</v>
      </c>
      <c r="D356" s="8" t="str">
        <f>HYPERLINK("http://npthd.inbcu.com/ViewContent.aspx?filename=NPMR_NBC_2017-06-22_E.MP4$2107$2122","Americas Got Talent")</f>
        <v>Americas Got Talent</v>
      </c>
      <c r="E356" s="3" t="s">
        <v>30</v>
      </c>
      <c r="F356" s="3" t="s">
        <v>3768</v>
      </c>
      <c r="G356" s="3" t="s">
        <v>2811</v>
      </c>
    </row>
    <row r="357" spans="1:7">
      <c r="A357" s="6">
        <v>42908</v>
      </c>
      <c r="B357" s="3" t="s">
        <v>3494</v>
      </c>
      <c r="C357" s="3" t="s">
        <v>21</v>
      </c>
      <c r="D357" s="8" t="str">
        <f>HYPERLINK("http://npthd.inbcu.com/ViewContent.aspx?filename=NPMR_NBC_2017-06-22_E.MP4$2122$2302","COMMERCIAL")</f>
        <v>COMMERCIAL</v>
      </c>
      <c r="E357" s="3" t="s">
        <v>22</v>
      </c>
      <c r="F357" s="3" t="s">
        <v>2811</v>
      </c>
      <c r="G357" s="3" t="s">
        <v>3769</v>
      </c>
    </row>
    <row r="358" spans="1:7">
      <c r="A358" s="6">
        <v>42908</v>
      </c>
      <c r="B358" s="3" t="s">
        <v>3494</v>
      </c>
      <c r="C358" s="3" t="s">
        <v>14</v>
      </c>
      <c r="D358" s="8" t="str">
        <f>HYPERLINK("http://npthd.inbcu.com/ViewContent.aspx?filename=NPMR_NBC_2017-06-22_E.MP4$2302$2317","World of Dance")</f>
        <v>World of Dance</v>
      </c>
      <c r="E358" s="3" t="s">
        <v>30</v>
      </c>
      <c r="F358" s="3" t="s">
        <v>3769</v>
      </c>
      <c r="G358" s="3" t="s">
        <v>3127</v>
      </c>
    </row>
    <row r="359" spans="1:7">
      <c r="A359" s="6">
        <v>42908</v>
      </c>
      <c r="B359" s="3" t="s">
        <v>3494</v>
      </c>
      <c r="C359" s="3" t="s">
        <v>18</v>
      </c>
      <c r="D359" s="8" t="str">
        <f>HYPERLINK("http://npthd.inbcu.com/ViewContent.aspx?filename=NPMR_NBC_2017-06-22_E.MP4$2317$2660","HOLLYWOOD GAME NIGHT: veep vs. the walking dead")</f>
        <v>HOLLYWOOD GAME NIGHT: veep vs. the walking dead</v>
      </c>
      <c r="E359" s="3" t="s">
        <v>1170</v>
      </c>
      <c r="F359" s="3" t="s">
        <v>3127</v>
      </c>
      <c r="G359" s="3" t="s">
        <v>2705</v>
      </c>
    </row>
    <row r="360" spans="1:7">
      <c r="A360" s="6">
        <v>42908</v>
      </c>
      <c r="B360" s="3" t="s">
        <v>3494</v>
      </c>
      <c r="C360" s="3" t="s">
        <v>21</v>
      </c>
      <c r="D360" s="8" t="str">
        <f>HYPERLINK("http://npthd.inbcu.com/ViewContent.aspx?filename=NPMR_NBC_2017-06-22_E.MP4$2660$2780","COMMERCIAL")</f>
        <v>COMMERCIAL</v>
      </c>
      <c r="E360" s="3" t="s">
        <v>43</v>
      </c>
      <c r="F360" s="3" t="s">
        <v>2705</v>
      </c>
      <c r="G360" s="3" t="s">
        <v>2006</v>
      </c>
    </row>
    <row r="361" spans="1:7">
      <c r="A361" s="6">
        <v>42908</v>
      </c>
      <c r="B361" s="3" t="s">
        <v>3494</v>
      </c>
      <c r="C361" s="3" t="s">
        <v>14</v>
      </c>
      <c r="D361" s="8" t="str">
        <f>HYPERLINK("http://npthd.inbcu.com/ViewContent.aspx?filename=NPMR_NBC_2017-06-22_E.MP4$2780$2785","Midnight Texas")</f>
        <v>Midnight Texas</v>
      </c>
      <c r="E361" s="3" t="s">
        <v>54</v>
      </c>
      <c r="F361" s="3" t="s">
        <v>2006</v>
      </c>
      <c r="G361" s="3" t="s">
        <v>3770</v>
      </c>
    </row>
    <row r="362" spans="1:7">
      <c r="A362" s="6">
        <v>42908</v>
      </c>
      <c r="B362" s="3" t="s">
        <v>3494</v>
      </c>
      <c r="C362" s="3" t="s">
        <v>32</v>
      </c>
      <c r="D362" s="8" t="str">
        <f>HYPERLINK("http://npthd.inbcu.com/ViewContent.aspx?filename=NPMR_NBC_2017-06-22_E.MP4$2785$2875","LOCAL")</f>
        <v>LOCAL</v>
      </c>
      <c r="E362" s="3" t="s">
        <v>46</v>
      </c>
      <c r="F362" s="3" t="s">
        <v>3770</v>
      </c>
      <c r="G362" s="3" t="s">
        <v>3771</v>
      </c>
    </row>
    <row r="363" spans="1:7">
      <c r="A363" s="6">
        <v>42908</v>
      </c>
      <c r="B363" s="3" t="s">
        <v>3494</v>
      </c>
      <c r="C363" s="3" t="s">
        <v>14</v>
      </c>
      <c r="D363" s="8" t="str">
        <f>HYPERLINK("http://npthd.inbcu.com/ViewContent.aspx?filename=NPMR_NBC_2017-06-22_E.MP4$2875$2890","Despicable Me")</f>
        <v>Despicable Me</v>
      </c>
      <c r="E363" s="3" t="s">
        <v>30</v>
      </c>
      <c r="F363" s="3" t="s">
        <v>3771</v>
      </c>
      <c r="G363" s="3" t="s">
        <v>3772</v>
      </c>
    </row>
    <row r="364" spans="1:7">
      <c r="A364" s="6">
        <v>42908</v>
      </c>
      <c r="B364" s="3" t="s">
        <v>3494</v>
      </c>
      <c r="C364" s="3" t="s">
        <v>18</v>
      </c>
      <c r="D364" s="8" t="str">
        <f>HYPERLINK("http://npthd.inbcu.com/ViewContent.aspx?filename=NPMR_NBC_2017-06-22_E.MP4$2890$3252","HOLLYWOOD GAME NIGHT: veep vs. the walking dead")</f>
        <v>HOLLYWOOD GAME NIGHT: veep vs. the walking dead</v>
      </c>
      <c r="E364" s="3" t="s">
        <v>48</v>
      </c>
      <c r="F364" s="3" t="s">
        <v>3772</v>
      </c>
      <c r="G364" s="3" t="s">
        <v>3773</v>
      </c>
    </row>
    <row r="365" spans="1:7">
      <c r="A365" s="6">
        <v>42908</v>
      </c>
      <c r="B365" s="3" t="s">
        <v>3494</v>
      </c>
      <c r="C365" s="3" t="s">
        <v>21</v>
      </c>
      <c r="D365" s="8" t="str">
        <f>HYPERLINK("http://npthd.inbcu.com/ViewContent.aspx?filename=NPMR_NBC_2017-06-22_E.MP4$3252$3433","COMMERCIAL")</f>
        <v>COMMERCIAL</v>
      </c>
      <c r="E365" s="3" t="s">
        <v>108</v>
      </c>
      <c r="F365" s="3" t="s">
        <v>3773</v>
      </c>
      <c r="G365" s="3" t="s">
        <v>3774</v>
      </c>
    </row>
    <row r="366" spans="1:7">
      <c r="A366" s="6">
        <v>42908</v>
      </c>
      <c r="B366" s="3" t="s">
        <v>3494</v>
      </c>
      <c r="C366" s="3" t="s">
        <v>14</v>
      </c>
      <c r="D366" s="8" t="str">
        <f>HYPERLINK("http://npthd.inbcu.com/ViewContent.aspx?filename=NPMR_NBC_2017-06-22_E.MP4$3433$3463","Wall, The")</f>
        <v>Wall, The</v>
      </c>
      <c r="E366" s="3" t="s">
        <v>38</v>
      </c>
      <c r="F366" s="3" t="s">
        <v>3774</v>
      </c>
      <c r="G366" s="3" t="s">
        <v>3775</v>
      </c>
    </row>
    <row r="367" spans="1:7">
      <c r="A367" s="6">
        <v>42908</v>
      </c>
      <c r="B367" s="3" t="s">
        <v>3494</v>
      </c>
      <c r="C367" s="3" t="s">
        <v>18</v>
      </c>
      <c r="D367" s="8" t="str">
        <f>HYPERLINK("http://npthd.inbcu.com/ViewContent.aspx?filename=NPMR_NBC_2017-06-22_E.MP4$3463$3665","HOLLYWOOD GAME NIGHT: veep vs. the walking dead")</f>
        <v>HOLLYWOOD GAME NIGHT: veep vs. the walking dead</v>
      </c>
      <c r="E367" s="3" t="s">
        <v>3776</v>
      </c>
      <c r="F367" s="3" t="s">
        <v>3775</v>
      </c>
      <c r="G367" s="3" t="s">
        <v>1782</v>
      </c>
    </row>
    <row r="368" spans="1:7">
      <c r="A368" s="6">
        <v>42908</v>
      </c>
      <c r="B368" s="3" t="s">
        <v>3494</v>
      </c>
      <c r="C368" s="3" t="s">
        <v>14</v>
      </c>
      <c r="D368" s="8" t="str">
        <f>HYPERLINK("http://npthd.inbcu.com/ViewContent.aspx?filename=NPMR_NBC_2017-06-22_E.MP4$3665$3680","Hollywood Game Night")</f>
        <v>Hollywood Game Night</v>
      </c>
      <c r="E368" s="3" t="s">
        <v>30</v>
      </c>
      <c r="F368" s="3" t="s">
        <v>1782</v>
      </c>
      <c r="G368" s="3" t="s">
        <v>2144</v>
      </c>
    </row>
    <row r="369" spans="1:7">
      <c r="A369" s="6">
        <v>42908</v>
      </c>
      <c r="B369" s="3" t="s">
        <v>3494</v>
      </c>
      <c r="C369" s="3" t="s">
        <v>14</v>
      </c>
      <c r="D369" s="8" t="str">
        <f>HYPERLINK("http://npthd.inbcu.com/ViewContent.aspx?filename=NPMR_NBC_2017-06-22_E.MP4$3680$3695","Wall, The")</f>
        <v>Wall, The</v>
      </c>
      <c r="E369" s="3" t="s">
        <v>30</v>
      </c>
      <c r="F369" s="3" t="s">
        <v>2144</v>
      </c>
      <c r="G369" s="3" t="s">
        <v>3673</v>
      </c>
    </row>
    <row r="370" spans="1:7">
      <c r="A370" s="6">
        <v>42908</v>
      </c>
      <c r="B370" s="3" t="s">
        <v>3494</v>
      </c>
      <c r="C370" s="3" t="s">
        <v>18</v>
      </c>
      <c r="D370" s="8" t="str">
        <f>HYPERLINK("http://npthd.inbcu.com/ViewContent.aspx?filename=NPMR_NBC_2017-06-22_E.MP4$3695$3702","HOLLYWOOD GAME NIGHT: veep vs. the walking dead")</f>
        <v>HOLLYWOOD GAME NIGHT: veep vs. the walking dead</v>
      </c>
      <c r="E370" s="3" t="s">
        <v>567</v>
      </c>
      <c r="F370" s="3" t="s">
        <v>3673</v>
      </c>
      <c r="G370" s="3" t="s">
        <v>242</v>
      </c>
    </row>
    <row r="371" spans="1:7">
      <c r="A371" s="6">
        <v>42908</v>
      </c>
      <c r="B371" s="3" t="s">
        <v>3494</v>
      </c>
      <c r="C371" s="3" t="s">
        <v>18</v>
      </c>
      <c r="D371" s="8" t="str">
        <f>HYPERLINK("http://npthd.inbcu.com/ViewContent.aspx?filename=NPMR_NBC_2017-06-22_E.MP4$3702$4230","THE WALL: milton and aaryn")</f>
        <v>THE WALL: milton and aaryn</v>
      </c>
      <c r="E371" s="3" t="s">
        <v>532</v>
      </c>
      <c r="F371" s="3" t="s">
        <v>242</v>
      </c>
      <c r="G371" s="3" t="s">
        <v>3777</v>
      </c>
    </row>
    <row r="372" spans="1:7">
      <c r="A372" s="6">
        <v>42908</v>
      </c>
      <c r="B372" s="3" t="s">
        <v>3494</v>
      </c>
      <c r="C372" s="3" t="s">
        <v>21</v>
      </c>
      <c r="D372" s="8" t="str">
        <f>HYPERLINK("http://npthd.inbcu.com/ViewContent.aspx?filename=NPMR_NBC_2017-06-22_E.MP4$4230$4380","COMMERCIAL")</f>
        <v>COMMERCIAL</v>
      </c>
      <c r="E372" s="3" t="s">
        <v>28</v>
      </c>
      <c r="F372" s="3" t="s">
        <v>3777</v>
      </c>
      <c r="G372" s="3" t="s">
        <v>3514</v>
      </c>
    </row>
    <row r="373" spans="1:7">
      <c r="A373" s="6">
        <v>42908</v>
      </c>
      <c r="B373" s="3" t="s">
        <v>3494</v>
      </c>
      <c r="C373" s="3" t="s">
        <v>14</v>
      </c>
      <c r="D373" s="8" t="str">
        <f>HYPERLINK("http://npthd.inbcu.com/ViewContent.aspx?filename=NPMR_NBC_2017-06-22_E.MP4$4380$4410","Night Shift, The")</f>
        <v>Night Shift, The</v>
      </c>
      <c r="E373" s="3" t="s">
        <v>38</v>
      </c>
      <c r="F373" s="3" t="s">
        <v>3514</v>
      </c>
      <c r="G373" s="3" t="s">
        <v>3515</v>
      </c>
    </row>
    <row r="374" spans="1:7">
      <c r="A374" s="6">
        <v>42908</v>
      </c>
      <c r="B374" s="3" t="s">
        <v>3494</v>
      </c>
      <c r="C374" s="3" t="s">
        <v>18</v>
      </c>
      <c r="D374" s="8" t="str">
        <f>HYPERLINK("http://npthd.inbcu.com/ViewContent.aspx?filename=NPMR_NBC_2017-06-22_E.MP4$4410$5105","THE WALL: milton and aaryn")</f>
        <v>THE WALL: milton and aaryn</v>
      </c>
      <c r="E374" s="3" t="s">
        <v>3778</v>
      </c>
      <c r="F374" s="3" t="s">
        <v>3515</v>
      </c>
      <c r="G374" s="3" t="s">
        <v>2018</v>
      </c>
    </row>
    <row r="375" spans="1:7">
      <c r="A375" s="6">
        <v>42908</v>
      </c>
      <c r="B375" s="3" t="s">
        <v>3494</v>
      </c>
      <c r="C375" s="3" t="s">
        <v>21</v>
      </c>
      <c r="D375" s="8" t="str">
        <f>HYPERLINK("http://npthd.inbcu.com/ViewContent.aspx?filename=NPMR_NBC_2017-06-22_E.MP4$5105$5195","COMMERCIAL")</f>
        <v>COMMERCIAL</v>
      </c>
      <c r="E375" s="3" t="s">
        <v>46</v>
      </c>
      <c r="F375" s="3" t="s">
        <v>2018</v>
      </c>
      <c r="G375" s="3" t="s">
        <v>3779</v>
      </c>
    </row>
    <row r="376" spans="1:7">
      <c r="A376" s="6">
        <v>42908</v>
      </c>
      <c r="B376" s="3" t="s">
        <v>3494</v>
      </c>
      <c r="C376" s="3" t="s">
        <v>14</v>
      </c>
      <c r="D376" s="8" t="str">
        <f>HYPERLINK("http://npthd.inbcu.com/ViewContent.aspx?filename=NPMR_NBC_2017-06-22_E.MP4$5195$5210","Midnight Texas")</f>
        <v>Midnight Texas</v>
      </c>
      <c r="E376" s="3" t="s">
        <v>30</v>
      </c>
      <c r="F376" s="3" t="s">
        <v>3779</v>
      </c>
      <c r="G376" s="3" t="s">
        <v>3780</v>
      </c>
    </row>
    <row r="377" spans="1:7">
      <c r="A377" s="6">
        <v>42908</v>
      </c>
      <c r="B377" s="3" t="s">
        <v>3494</v>
      </c>
      <c r="C377" s="3" t="s">
        <v>32</v>
      </c>
      <c r="D377" s="8" t="str">
        <f>HYPERLINK("http://npthd.inbcu.com/ViewContent.aspx?filename=NPMR_NBC_2017-06-22_E.MP4$5210$5304","LOCAL")</f>
        <v>LOCAL</v>
      </c>
      <c r="E377" s="3" t="s">
        <v>1917</v>
      </c>
      <c r="F377" s="3" t="s">
        <v>3780</v>
      </c>
      <c r="G377" s="3" t="s">
        <v>3781</v>
      </c>
    </row>
    <row r="378" spans="1:7">
      <c r="A378" s="6">
        <v>42908</v>
      </c>
      <c r="B378" s="3" t="s">
        <v>3494</v>
      </c>
      <c r="C378" s="3" t="s">
        <v>14</v>
      </c>
      <c r="D378" s="8" t="str">
        <f>HYPERLINK("http://npthd.inbcu.com/ViewContent.aspx?filename=NPMR_NBC_2017-06-22_E.MP4$5304$5319","Today")</f>
        <v>Today</v>
      </c>
      <c r="E378" s="3" t="s">
        <v>30</v>
      </c>
      <c r="F378" s="3" t="s">
        <v>3781</v>
      </c>
      <c r="G378" s="3" t="s">
        <v>3782</v>
      </c>
    </row>
    <row r="379" spans="1:7">
      <c r="A379" s="6">
        <v>42908</v>
      </c>
      <c r="B379" s="3" t="s">
        <v>3494</v>
      </c>
      <c r="C379" s="3" t="s">
        <v>18</v>
      </c>
      <c r="D379" s="8" t="str">
        <f>HYPERLINK("http://npthd.inbcu.com/ViewContent.aspx?filename=NPMR_NBC_2017-06-22_E.MP4$5319$5710","THE WALL: milton and aaryn")</f>
        <v>THE WALL: milton and aaryn</v>
      </c>
      <c r="E379" s="3" t="s">
        <v>1400</v>
      </c>
      <c r="F379" s="3" t="s">
        <v>3782</v>
      </c>
      <c r="G379" s="3" t="s">
        <v>3783</v>
      </c>
    </row>
    <row r="380" spans="1:7">
      <c r="A380" s="6">
        <v>42908</v>
      </c>
      <c r="B380" s="3" t="s">
        <v>3494</v>
      </c>
      <c r="C380" s="3" t="s">
        <v>14</v>
      </c>
      <c r="D380" s="8" t="str">
        <f>HYPERLINK("http://npthd.inbcu.com/ViewContent.aspx?filename=NPMR_NBC_2017-06-22_E.MP4$5710$5723","American Ninja Warrior")</f>
        <v>American Ninja Warrior</v>
      </c>
      <c r="E380" s="3" t="s">
        <v>851</v>
      </c>
      <c r="F380" s="3" t="s">
        <v>3783</v>
      </c>
      <c r="G380" s="3" t="s">
        <v>3784</v>
      </c>
    </row>
    <row r="381" spans="1:7">
      <c r="A381" s="6">
        <v>42908</v>
      </c>
      <c r="B381" s="3" t="s">
        <v>3494</v>
      </c>
      <c r="C381" s="3" t="s">
        <v>14</v>
      </c>
      <c r="D381" s="8" t="str">
        <f>HYPERLINK("http://npthd.inbcu.com/ViewContent.aspx?filename=NPMR_NBC_2017-06-22_E.MP4$5723$5726","Daytona 500")</f>
        <v>Daytona 500</v>
      </c>
      <c r="E381" s="3" t="s">
        <v>393</v>
      </c>
      <c r="F381" s="3" t="s">
        <v>3784</v>
      </c>
      <c r="G381" s="3" t="s">
        <v>3520</v>
      </c>
    </row>
    <row r="382" spans="1:7">
      <c r="A382" s="6">
        <v>42908</v>
      </c>
      <c r="B382" s="3" t="s">
        <v>3494</v>
      </c>
      <c r="C382" s="3" t="s">
        <v>32</v>
      </c>
      <c r="D382" s="8" t="str">
        <f>HYPERLINK("http://npthd.inbcu.com/ViewContent.aspx?filename=NPMR_NBC_2017-06-22_E.MP4$5726$5906","LOCAL")</f>
        <v>LOCAL</v>
      </c>
      <c r="E382" s="3" t="s">
        <v>22</v>
      </c>
      <c r="F382" s="3" t="s">
        <v>3520</v>
      </c>
      <c r="G382" s="3" t="s">
        <v>3521</v>
      </c>
    </row>
    <row r="383" spans="1:7">
      <c r="A383" s="6">
        <v>42908</v>
      </c>
      <c r="B383" s="3" t="s">
        <v>3494</v>
      </c>
      <c r="C383" s="3" t="s">
        <v>14</v>
      </c>
      <c r="D383" s="8" t="str">
        <f>HYPERLINK("http://npthd.inbcu.com/ViewContent.aspx?filename=NPMR_NBC_2017-06-22_E.MP4$5906$5921","Spartan Race")</f>
        <v>Spartan Race</v>
      </c>
      <c r="E383" s="3" t="s">
        <v>30</v>
      </c>
      <c r="F383" s="3" t="s">
        <v>3521</v>
      </c>
      <c r="G383" s="3" t="s">
        <v>3522</v>
      </c>
    </row>
    <row r="384" spans="1:7">
      <c r="A384" s="6">
        <v>42908</v>
      </c>
      <c r="B384" s="3" t="s">
        <v>3494</v>
      </c>
      <c r="C384" s="3" t="s">
        <v>18</v>
      </c>
      <c r="D384" s="8" t="str">
        <f>HYPERLINK("http://npthd.inbcu.com/ViewContent.aspx?filename=NPMR_NBC_2017-06-22_E.MP4$5921$6381","THE WALL: milton and aaryn")</f>
        <v>THE WALL: milton and aaryn</v>
      </c>
      <c r="E384" s="3" t="s">
        <v>3602</v>
      </c>
      <c r="F384" s="3" t="s">
        <v>3522</v>
      </c>
      <c r="G384" s="3" t="s">
        <v>3785</v>
      </c>
    </row>
    <row r="385" spans="1:7">
      <c r="A385" s="6">
        <v>42908</v>
      </c>
      <c r="B385" s="3" t="s">
        <v>3494</v>
      </c>
      <c r="C385" s="3" t="s">
        <v>21</v>
      </c>
      <c r="D385" s="8" t="str">
        <f>HYPERLINK("http://npthd.inbcu.com/ViewContent.aspx?filename=NPMR_NBC_2017-06-22_E.MP4$6381$6500","COMMERCIAL")</f>
        <v>COMMERCIAL</v>
      </c>
      <c r="E385" s="3" t="s">
        <v>119</v>
      </c>
      <c r="F385" s="3" t="s">
        <v>3785</v>
      </c>
      <c r="G385" s="3" t="s">
        <v>2721</v>
      </c>
    </row>
    <row r="386" spans="1:7">
      <c r="A386" s="6">
        <v>42908</v>
      </c>
      <c r="B386" s="3" t="s">
        <v>3494</v>
      </c>
      <c r="C386" s="3" t="s">
        <v>14</v>
      </c>
      <c r="D386" s="8" t="str">
        <f>HYPERLINK("http://npthd.inbcu.com/ViewContent.aspx?filename=NPMR_NBC_2017-06-22_E.MP4$6500$6506","World of Dance")</f>
        <v>World of Dance</v>
      </c>
      <c r="E386" s="3" t="s">
        <v>15</v>
      </c>
      <c r="F386" s="3" t="s">
        <v>2721</v>
      </c>
      <c r="G386" s="3" t="s">
        <v>3786</v>
      </c>
    </row>
    <row r="387" spans="1:7">
      <c r="A387" s="6">
        <v>42908</v>
      </c>
      <c r="B387" s="3" t="s">
        <v>3494</v>
      </c>
      <c r="C387" s="3" t="s">
        <v>32</v>
      </c>
      <c r="D387" s="8" t="str">
        <f>HYPERLINK("http://npthd.inbcu.com/ViewContent.aspx?filename=NPMR_NBC_2017-06-22_E.MP4$6506$6596","LOCAL")</f>
        <v>LOCAL</v>
      </c>
      <c r="E387" s="3" t="s">
        <v>46</v>
      </c>
      <c r="F387" s="3" t="s">
        <v>3786</v>
      </c>
      <c r="G387" s="3" t="s">
        <v>3033</v>
      </c>
    </row>
    <row r="388" spans="1:7">
      <c r="A388" s="6">
        <v>42908</v>
      </c>
      <c r="B388" s="3" t="s">
        <v>3494</v>
      </c>
      <c r="C388" s="3" t="s">
        <v>14</v>
      </c>
      <c r="D388" s="8" t="str">
        <f>HYPERLINK("http://npthd.inbcu.com/ViewContent.aspx?filename=NPMR_NBC_2017-06-22_E.MP4$6596$6606","Tonight Show starring Jimmy Fallon, The")</f>
        <v>Tonight Show starring Jimmy Fallon, The</v>
      </c>
      <c r="E388" s="3" t="s">
        <v>197</v>
      </c>
      <c r="F388" s="3" t="s">
        <v>3033</v>
      </c>
      <c r="G388" s="3" t="s">
        <v>3787</v>
      </c>
    </row>
    <row r="389" spans="1:7">
      <c r="A389" s="6">
        <v>42908</v>
      </c>
      <c r="B389" s="3" t="s">
        <v>3494</v>
      </c>
      <c r="C389" s="3" t="s">
        <v>14</v>
      </c>
      <c r="D389" s="8" t="str">
        <f>HYPERLINK("http://npthd.inbcu.com/ViewContent.aspx?filename=NPMR_NBC_2017-06-22_E.MP4$6606$6611","Midnight Texas")</f>
        <v>Midnight Texas</v>
      </c>
      <c r="E389" s="3" t="s">
        <v>54</v>
      </c>
      <c r="F389" s="3" t="s">
        <v>3787</v>
      </c>
      <c r="G389" s="3" t="s">
        <v>1442</v>
      </c>
    </row>
    <row r="390" spans="1:7">
      <c r="A390" s="6">
        <v>42908</v>
      </c>
      <c r="B390" s="3" t="s">
        <v>3494</v>
      </c>
      <c r="C390" s="3" t="s">
        <v>18</v>
      </c>
      <c r="D390" s="8" t="str">
        <f>HYPERLINK("http://npthd.inbcu.com/ViewContent.aspx?filename=NPMR_NBC_2017-06-22_E.MP4$6611$6845","THE WALL: milton and aaryn")</f>
        <v>THE WALL: milton and aaryn</v>
      </c>
      <c r="E390" s="3" t="s">
        <v>1419</v>
      </c>
      <c r="F390" s="3" t="s">
        <v>1442</v>
      </c>
      <c r="G390" s="3" t="s">
        <v>3788</v>
      </c>
    </row>
    <row r="391" spans="1:7">
      <c r="A391" s="6">
        <v>42908</v>
      </c>
      <c r="B391" s="3" t="s">
        <v>3494</v>
      </c>
      <c r="C391" s="3" t="s">
        <v>21</v>
      </c>
      <c r="D391" s="8" t="str">
        <f>HYPERLINK("http://npthd.inbcu.com/ViewContent.aspx?filename=NPMR_NBC_2017-06-22_E.MP4$6845$7026","COMMERCIAL")</f>
        <v>COMMERCIAL</v>
      </c>
      <c r="E391" s="3" t="s">
        <v>108</v>
      </c>
      <c r="F391" s="3" t="s">
        <v>3788</v>
      </c>
      <c r="G391" s="3" t="s">
        <v>3789</v>
      </c>
    </row>
    <row r="392" spans="1:7">
      <c r="A392" s="6">
        <v>42908</v>
      </c>
      <c r="B392" s="3" t="s">
        <v>3494</v>
      </c>
      <c r="C392" s="3" t="s">
        <v>14</v>
      </c>
      <c r="D392" s="8" t="str">
        <f>HYPERLINK("http://npthd.inbcu.com/ViewContent.aspx?filename=NPMR_NBC_2017-06-22_E.MP4$7026$7041","Despicable Me 3")</f>
        <v>Despicable Me 3</v>
      </c>
      <c r="E392" s="3" t="s">
        <v>30</v>
      </c>
      <c r="F392" s="3" t="s">
        <v>3789</v>
      </c>
      <c r="G392" s="3" t="s">
        <v>1078</v>
      </c>
    </row>
    <row r="393" spans="1:7">
      <c r="A393" s="6">
        <v>42908</v>
      </c>
      <c r="B393" s="3" t="s">
        <v>3494</v>
      </c>
      <c r="C393" s="3" t="s">
        <v>14</v>
      </c>
      <c r="D393" s="8" t="str">
        <f>HYPERLINK("http://npthd.inbcu.com/ViewContent.aspx?filename=NPMR_NBC_2017-06-22_E.MP4$7041$7056","Night Shift, The")</f>
        <v>Night Shift, The</v>
      </c>
      <c r="E393" s="3" t="s">
        <v>30</v>
      </c>
      <c r="F393" s="3" t="s">
        <v>1078</v>
      </c>
      <c r="G393" s="3" t="s">
        <v>3790</v>
      </c>
    </row>
    <row r="394" spans="1:7">
      <c r="A394" s="6">
        <v>42908</v>
      </c>
      <c r="B394" s="3" t="s">
        <v>3494</v>
      </c>
      <c r="C394" s="3" t="s">
        <v>18</v>
      </c>
      <c r="D394" s="8" t="str">
        <f>HYPERLINK("http://npthd.inbcu.com/ViewContent.aspx?filename=NPMR_NBC_2017-06-22_E.MP4$7056$7267","THE WALL: milton and aaryn")</f>
        <v>THE WALL: milton and aaryn</v>
      </c>
      <c r="E394" s="3" t="s">
        <v>334</v>
      </c>
      <c r="F394" s="3" t="s">
        <v>3790</v>
      </c>
      <c r="G394" s="3" t="s">
        <v>749</v>
      </c>
    </row>
    <row r="395" spans="1:7">
      <c r="A395" s="6">
        <v>42908</v>
      </c>
      <c r="B395" s="3" t="s">
        <v>3494</v>
      </c>
      <c r="C395" s="3" t="s">
        <v>14</v>
      </c>
      <c r="D395" s="8" t="str">
        <f>HYPERLINK("http://npthd.inbcu.com/ViewContent.aspx?filename=NPMR_NBC_2017-06-22_E.MP4$7267$7282","Wall, The")</f>
        <v>Wall, The</v>
      </c>
      <c r="E395" s="3" t="s">
        <v>30</v>
      </c>
      <c r="F395" s="3" t="s">
        <v>749</v>
      </c>
      <c r="G395" s="3" t="s">
        <v>3791</v>
      </c>
    </row>
    <row r="396" spans="1:7">
      <c r="A396" s="6">
        <v>42908</v>
      </c>
      <c r="B396" s="3" t="s">
        <v>3494</v>
      </c>
      <c r="C396" s="3" t="s">
        <v>14</v>
      </c>
      <c r="D396" s="8" t="str">
        <f>HYPERLINK("http://npthd.inbcu.com/ViewContent.aspx?filename=NPMR_NBC_2017-06-22_E.MP4$7282$7297","Night Shift, The")</f>
        <v>Night Shift, The</v>
      </c>
      <c r="E396" s="3" t="s">
        <v>30</v>
      </c>
      <c r="F396" s="3" t="s">
        <v>3791</v>
      </c>
      <c r="G396" s="3" t="s">
        <v>750</v>
      </c>
    </row>
    <row r="397" spans="1:7">
      <c r="A397" s="6">
        <v>42908</v>
      </c>
      <c r="B397" s="3" t="s">
        <v>3494</v>
      </c>
      <c r="C397" s="3" t="s">
        <v>18</v>
      </c>
      <c r="D397" s="8" t="str">
        <f>HYPERLINK("http://npthd.inbcu.com/ViewContent.aspx?filename=NPMR_NBC_2017-06-22_E.MP4$7297$7303","THE WALL: milton and aaryn")</f>
        <v>THE WALL: milton and aaryn</v>
      </c>
      <c r="E397" s="3" t="s">
        <v>15</v>
      </c>
      <c r="F397" s="3" t="s">
        <v>750</v>
      </c>
      <c r="G397" s="3" t="s">
        <v>87</v>
      </c>
    </row>
    <row r="398" spans="1:7">
      <c r="A398" s="6">
        <v>42908</v>
      </c>
      <c r="B398" s="3" t="s">
        <v>3494</v>
      </c>
      <c r="C398" s="3" t="s">
        <v>18</v>
      </c>
      <c r="D398" s="8" t="str">
        <f>HYPERLINK("http://npthd.inbcu.com/ViewContent.aspx?filename=NPMR_NBC_2017-06-22_E.MP4$7303$7671","THE NIGHT SHIFT: recoil")</f>
        <v>THE NIGHT SHIFT: recoil</v>
      </c>
      <c r="E398" s="3" t="s">
        <v>1229</v>
      </c>
      <c r="F398" s="3" t="s">
        <v>87</v>
      </c>
      <c r="G398" s="3" t="s">
        <v>3792</v>
      </c>
    </row>
    <row r="399" spans="1:7">
      <c r="A399" s="6">
        <v>42908</v>
      </c>
      <c r="B399" s="3" t="s">
        <v>3494</v>
      </c>
      <c r="C399" s="3" t="s">
        <v>21</v>
      </c>
      <c r="D399" s="8" t="str">
        <f>HYPERLINK("http://npthd.inbcu.com/ViewContent.aspx?filename=NPMR_NBC_2017-06-22_E.MP4$7671$7822","COMMERCIAL")</f>
        <v>COMMERCIAL</v>
      </c>
      <c r="E399" s="3" t="s">
        <v>91</v>
      </c>
      <c r="F399" s="3" t="s">
        <v>3792</v>
      </c>
      <c r="G399" s="3" t="s">
        <v>3793</v>
      </c>
    </row>
    <row r="400" spans="1:7">
      <c r="A400" s="6">
        <v>42908</v>
      </c>
      <c r="B400" s="3" t="s">
        <v>3494</v>
      </c>
      <c r="C400" s="3" t="s">
        <v>14</v>
      </c>
      <c r="D400" s="8" t="str">
        <f>HYPERLINK("http://npthd.inbcu.com/ViewContent.aspx?filename=NPMR_NBC_2017-06-22_E.MP4$7822$7837","Dateline NBC")</f>
        <v>Dateline NBC</v>
      </c>
      <c r="E400" s="3" t="s">
        <v>30</v>
      </c>
      <c r="F400" s="3" t="s">
        <v>3793</v>
      </c>
      <c r="G400" s="3" t="s">
        <v>2481</v>
      </c>
    </row>
    <row r="401" spans="1:7">
      <c r="A401" s="6">
        <v>42908</v>
      </c>
      <c r="B401" s="3" t="s">
        <v>3494</v>
      </c>
      <c r="C401" s="3" t="s">
        <v>32</v>
      </c>
      <c r="D401" s="8" t="str">
        <f>HYPERLINK("http://npthd.inbcu.com/ViewContent.aspx?filename=NPMR_NBC_2017-06-22_E.MP4$7837$7868","LOCAL")</f>
        <v>LOCAL</v>
      </c>
      <c r="E401" s="3" t="s">
        <v>98</v>
      </c>
      <c r="F401" s="3" t="s">
        <v>2481</v>
      </c>
      <c r="G401" s="3" t="s">
        <v>1450</v>
      </c>
    </row>
    <row r="402" spans="1:7">
      <c r="A402" s="6">
        <v>42908</v>
      </c>
      <c r="B402" s="3" t="s">
        <v>3494</v>
      </c>
      <c r="C402" s="3" t="s">
        <v>18</v>
      </c>
      <c r="D402" s="8" t="str">
        <f>HYPERLINK("http://npthd.inbcu.com/ViewContent.aspx?filename=NPMR_NBC_2017-06-22_E.MP4$7868$8352","THE NIGHT SHIFT: recoil")</f>
        <v>THE NIGHT SHIFT: recoil</v>
      </c>
      <c r="E402" s="3" t="s">
        <v>73</v>
      </c>
      <c r="F402" s="3" t="s">
        <v>1450</v>
      </c>
      <c r="G402" s="3" t="s">
        <v>3536</v>
      </c>
    </row>
    <row r="403" spans="1:7">
      <c r="A403" s="6">
        <v>42908</v>
      </c>
      <c r="B403" s="3" t="s">
        <v>3494</v>
      </c>
      <c r="C403" s="3" t="s">
        <v>21</v>
      </c>
      <c r="D403" s="8" t="str">
        <f>HYPERLINK("http://npthd.inbcu.com/ViewContent.aspx?filename=NPMR_NBC_2017-06-22_E.MP4$8352$8504","COMMERCIAL")</f>
        <v>COMMERCIAL</v>
      </c>
      <c r="E403" s="3" t="s">
        <v>128</v>
      </c>
      <c r="F403" s="3" t="s">
        <v>3536</v>
      </c>
      <c r="G403" s="3" t="s">
        <v>3794</v>
      </c>
    </row>
    <row r="404" spans="1:7">
      <c r="A404" s="6">
        <v>42908</v>
      </c>
      <c r="B404" s="3" t="s">
        <v>3494</v>
      </c>
      <c r="C404" s="3" t="s">
        <v>14</v>
      </c>
      <c r="D404" s="8" t="str">
        <f>HYPERLINK("http://npthd.inbcu.com/ViewContent.aspx?filename=NPMR_NBC_2017-06-22_E.MP4$8504$8534","Midnight Texas")</f>
        <v>Midnight Texas</v>
      </c>
      <c r="E404" s="3" t="s">
        <v>38</v>
      </c>
      <c r="F404" s="3" t="s">
        <v>3794</v>
      </c>
      <c r="G404" s="3" t="s">
        <v>3795</v>
      </c>
    </row>
    <row r="405" spans="1:7">
      <c r="A405" s="6">
        <v>42908</v>
      </c>
      <c r="B405" s="3" t="s">
        <v>3494</v>
      </c>
      <c r="C405" s="3" t="s">
        <v>18</v>
      </c>
      <c r="D405" s="8" t="str">
        <f>HYPERLINK("http://npthd.inbcu.com/ViewContent.aspx?filename=NPMR_NBC_2017-06-22_E.MP4$8534$9012","THE NIGHT SHIFT: recoil")</f>
        <v>THE NIGHT SHIFT: recoil</v>
      </c>
      <c r="E405" s="3" t="s">
        <v>908</v>
      </c>
      <c r="F405" s="3" t="s">
        <v>3795</v>
      </c>
      <c r="G405" s="3" t="s">
        <v>3796</v>
      </c>
    </row>
    <row r="406" spans="1:7">
      <c r="A406" s="6">
        <v>42908</v>
      </c>
      <c r="B406" s="3" t="s">
        <v>3494</v>
      </c>
      <c r="C406" s="3" t="s">
        <v>21</v>
      </c>
      <c r="D406" s="8" t="str">
        <f>HYPERLINK("http://npthd.inbcu.com/ViewContent.aspx?filename=NPMR_NBC_2017-06-22_E.MP4$9012$9102","COMMERCIAL")</f>
        <v>COMMERCIAL</v>
      </c>
      <c r="E406" s="3" t="s">
        <v>46</v>
      </c>
      <c r="F406" s="3" t="s">
        <v>3796</v>
      </c>
      <c r="G406" s="3" t="s">
        <v>586</v>
      </c>
    </row>
    <row r="407" spans="1:7">
      <c r="A407" s="6">
        <v>42908</v>
      </c>
      <c r="B407" s="3" t="s">
        <v>3494</v>
      </c>
      <c r="C407" s="3" t="s">
        <v>14</v>
      </c>
      <c r="D407" s="8" t="str">
        <f>HYPERLINK("http://npthd.inbcu.com/ViewContent.aspx?filename=NPMR_NBC_2017-06-22_E.MP4$9102$9107","Late Night with Seth Meyers")</f>
        <v>Late Night with Seth Meyers</v>
      </c>
      <c r="E407" s="3" t="s">
        <v>54</v>
      </c>
      <c r="F407" s="3" t="s">
        <v>586</v>
      </c>
      <c r="G407" s="3" t="s">
        <v>587</v>
      </c>
    </row>
    <row r="408" spans="1:7">
      <c r="A408" s="6">
        <v>42908</v>
      </c>
      <c r="B408" s="3" t="s">
        <v>3494</v>
      </c>
      <c r="C408" s="3" t="s">
        <v>32</v>
      </c>
      <c r="D408" s="8" t="str">
        <f>HYPERLINK("http://npthd.inbcu.com/ViewContent.aspx?filename=NPMR_NBC_2017-06-22_E.MP4$9107$9242","LOCAL")</f>
        <v>LOCAL</v>
      </c>
      <c r="E408" s="3" t="s">
        <v>459</v>
      </c>
      <c r="F408" s="3" t="s">
        <v>587</v>
      </c>
      <c r="G408" s="3" t="s">
        <v>3797</v>
      </c>
    </row>
    <row r="409" spans="1:7">
      <c r="A409" s="6">
        <v>42908</v>
      </c>
      <c r="B409" s="3" t="s">
        <v>3494</v>
      </c>
      <c r="C409" s="3" t="s">
        <v>14</v>
      </c>
      <c r="D409" s="8" t="str">
        <f>HYPERLINK("http://npthd.inbcu.com/ViewContent.aspx?filename=NPMR_NBC_2017-06-22_E.MP4$9242$9256","American Ninja Warrior")</f>
        <v>American Ninja Warrior</v>
      </c>
      <c r="E409" s="3" t="s">
        <v>342</v>
      </c>
      <c r="F409" s="3" t="s">
        <v>3797</v>
      </c>
      <c r="G409" s="3" t="s">
        <v>3798</v>
      </c>
    </row>
    <row r="410" spans="1:7">
      <c r="A410" s="6">
        <v>42908</v>
      </c>
      <c r="B410" s="3" t="s">
        <v>3494</v>
      </c>
      <c r="C410" s="3" t="s">
        <v>18</v>
      </c>
      <c r="D410" s="8" t="str">
        <f>HYPERLINK("http://npthd.inbcu.com/ViewContent.aspx?filename=NPMR_NBC_2017-06-22_E.MP4$9256$9598","THE NIGHT SHIFT: recoil")</f>
        <v>THE NIGHT SHIFT: recoil</v>
      </c>
      <c r="E410" s="3" t="s">
        <v>273</v>
      </c>
      <c r="F410" s="3" t="s">
        <v>3798</v>
      </c>
      <c r="G410" s="3" t="s">
        <v>3799</v>
      </c>
    </row>
    <row r="411" spans="1:7">
      <c r="A411" s="6">
        <v>42908</v>
      </c>
      <c r="B411" s="3" t="s">
        <v>3494</v>
      </c>
      <c r="C411" s="3" t="s">
        <v>21</v>
      </c>
      <c r="D411" s="8" t="str">
        <f>HYPERLINK("http://npthd.inbcu.com/ViewContent.aspx?filename=NPMR_NBC_2017-06-22_E.MP4$9598$9778","COMMERCIAL")</f>
        <v>COMMERCIAL</v>
      </c>
      <c r="E411" s="3" t="s">
        <v>22</v>
      </c>
      <c r="F411" s="3" t="s">
        <v>3799</v>
      </c>
      <c r="G411" s="3" t="s">
        <v>409</v>
      </c>
    </row>
    <row r="412" spans="1:7">
      <c r="A412" s="6">
        <v>42908</v>
      </c>
      <c r="B412" s="3" t="s">
        <v>3494</v>
      </c>
      <c r="C412" s="3" t="s">
        <v>14</v>
      </c>
      <c r="D412" s="8" t="str">
        <f>HYPERLINK("http://npthd.inbcu.com/ViewContent.aspx?filename=NPMR_NBC_2017-06-22_E.MP4$9778$9793","Sunday Night with Megyn Kelly")</f>
        <v>Sunday Night with Megyn Kelly</v>
      </c>
      <c r="E412" s="3" t="s">
        <v>30</v>
      </c>
      <c r="F412" s="3" t="s">
        <v>409</v>
      </c>
      <c r="G412" s="3" t="s">
        <v>3800</v>
      </c>
    </row>
    <row r="413" spans="1:7">
      <c r="A413" s="6">
        <v>42908</v>
      </c>
      <c r="B413" s="3" t="s">
        <v>3494</v>
      </c>
      <c r="C413" s="3" t="s">
        <v>14</v>
      </c>
      <c r="D413" s="8" t="str">
        <f>HYPERLINK("http://npthd.inbcu.com/ViewContent.aspx?filename=NPMR_NBC_2017-06-22_E.MP4$9793$9808","Americas Got Talent")</f>
        <v>Americas Got Talent</v>
      </c>
      <c r="E413" s="3" t="s">
        <v>30</v>
      </c>
      <c r="F413" s="3" t="s">
        <v>3800</v>
      </c>
      <c r="G413" s="3" t="s">
        <v>3801</v>
      </c>
    </row>
    <row r="414" spans="1:7">
      <c r="A414" s="6">
        <v>42908</v>
      </c>
      <c r="B414" s="3" t="s">
        <v>3494</v>
      </c>
      <c r="C414" s="3" t="s">
        <v>18</v>
      </c>
      <c r="D414" s="8" t="str">
        <f>HYPERLINK("http://npthd.inbcu.com/ViewContent.aspx?filename=NPMR_NBC_2017-06-22_E.MP4$9808$10183","THE NIGHT SHIFT: recoil")</f>
        <v>THE NIGHT SHIFT: recoil</v>
      </c>
      <c r="E414" s="3" t="s">
        <v>3802</v>
      </c>
      <c r="F414" s="3" t="s">
        <v>3801</v>
      </c>
      <c r="G414" s="3" t="s">
        <v>3803</v>
      </c>
    </row>
    <row r="415" spans="1:7">
      <c r="A415" s="6">
        <v>42908</v>
      </c>
      <c r="B415" s="3" t="s">
        <v>3494</v>
      </c>
      <c r="C415" s="3" t="s">
        <v>21</v>
      </c>
      <c r="D415" s="8" t="str">
        <f>HYPERLINK("http://npthd.inbcu.com/ViewContent.aspx?filename=NPMR_NBC_2017-06-22_E.MP4$10183$10364","COMMERCIAL")</f>
        <v>COMMERCIAL</v>
      </c>
      <c r="E415" s="3" t="s">
        <v>108</v>
      </c>
      <c r="F415" s="3" t="s">
        <v>3803</v>
      </c>
      <c r="G415" s="3" t="s">
        <v>3046</v>
      </c>
    </row>
    <row r="416" spans="1:7">
      <c r="A416" s="6">
        <v>42908</v>
      </c>
      <c r="B416" s="3" t="s">
        <v>3494</v>
      </c>
      <c r="C416" s="3" t="s">
        <v>32</v>
      </c>
      <c r="D416" s="8" t="str">
        <f>HYPERLINK("http://npthd.inbcu.com/ViewContent.aspx?filename=NPMR_NBC_2017-06-22_E.MP4$10364$10379","LOCAL")</f>
        <v>LOCAL</v>
      </c>
      <c r="E416" s="3" t="s">
        <v>30</v>
      </c>
      <c r="F416" s="3" t="s">
        <v>3046</v>
      </c>
      <c r="G416" s="3" t="s">
        <v>3048</v>
      </c>
    </row>
    <row r="417" spans="1:7">
      <c r="A417" s="6">
        <v>42908</v>
      </c>
      <c r="B417" s="3" t="s">
        <v>3494</v>
      </c>
      <c r="C417" s="3" t="s">
        <v>14</v>
      </c>
      <c r="D417" s="8" t="str">
        <f>HYPERLINK("http://npthd.inbcu.com/ViewContent.aspx?filename=NPMR_NBC_2017-06-22_E.MP4$10379$10389","Tonight Show starring Jimmy Fallon, The")</f>
        <v>Tonight Show starring Jimmy Fallon, The</v>
      </c>
      <c r="E417" s="3" t="s">
        <v>197</v>
      </c>
      <c r="F417" s="3" t="s">
        <v>3048</v>
      </c>
      <c r="G417" s="3" t="s">
        <v>3804</v>
      </c>
    </row>
    <row r="418" spans="1:7">
      <c r="A418" s="6">
        <v>42908</v>
      </c>
      <c r="B418" s="3" t="s">
        <v>3494</v>
      </c>
      <c r="C418" s="3" t="s">
        <v>14</v>
      </c>
      <c r="D418" s="8" t="str">
        <f>HYPERLINK("http://npthd.inbcu.com/ViewContent.aspx?filename=NPMR_NBC_2017-06-22_E.MP4$10389$10394","World of Dance")</f>
        <v>World of Dance</v>
      </c>
      <c r="E418" s="3" t="s">
        <v>54</v>
      </c>
      <c r="F418" s="3" t="s">
        <v>3804</v>
      </c>
      <c r="G418" s="3" t="s">
        <v>1992</v>
      </c>
    </row>
    <row r="419" spans="1:7">
      <c r="A419" s="6">
        <v>42908</v>
      </c>
      <c r="B419" s="3" t="s">
        <v>3494</v>
      </c>
      <c r="C419" s="3" t="s">
        <v>18</v>
      </c>
      <c r="D419" s="8" t="str">
        <f>HYPERLINK("http://npthd.inbcu.com/ViewContent.aspx?filename=NPMR_NBC_2017-06-22_E.MP4$10394$10838","THE NIGHT SHIFT: recoil")</f>
        <v>THE NIGHT SHIFT: recoil</v>
      </c>
      <c r="E419" s="3" t="s">
        <v>244</v>
      </c>
      <c r="F419" s="3" t="s">
        <v>1992</v>
      </c>
      <c r="G419" s="3" t="s">
        <v>3805</v>
      </c>
    </row>
    <row r="420" spans="1:7">
      <c r="A420" s="6">
        <v>42908</v>
      </c>
      <c r="B420" s="3" t="s">
        <v>3494</v>
      </c>
      <c r="C420" s="3" t="s">
        <v>14</v>
      </c>
      <c r="D420" s="8" t="str">
        <f>HYPERLINK("http://npthd.inbcu.com/ViewContent.aspx?filename=NPMR_NBC_2017-06-22_E.MP4$10838$10853","Night Shift, The")</f>
        <v>Night Shift, The</v>
      </c>
      <c r="E420" s="3" t="s">
        <v>30</v>
      </c>
      <c r="F420" s="3" t="s">
        <v>3805</v>
      </c>
      <c r="G420" s="3" t="s">
        <v>2238</v>
      </c>
    </row>
    <row r="421" spans="1:7">
      <c r="A421" s="6">
        <v>42908</v>
      </c>
      <c r="B421" s="3" t="s">
        <v>3494</v>
      </c>
      <c r="C421" s="3" t="s">
        <v>14</v>
      </c>
      <c r="D421" s="8" t="str">
        <f>HYPERLINK("http://npthd.inbcu.com/ViewContent.aspx?filename=NPMR_NBC_2017-06-22_E.MP4$10853$10868","Midnight Texas")</f>
        <v>Midnight Texas</v>
      </c>
      <c r="E421" s="3" t="s">
        <v>30</v>
      </c>
      <c r="F421" s="3" t="s">
        <v>2238</v>
      </c>
      <c r="G421" s="3" t="s">
        <v>3604</v>
      </c>
    </row>
    <row r="422" spans="1:7">
      <c r="A422" s="6">
        <v>42908</v>
      </c>
      <c r="B422" s="3" t="s">
        <v>3494</v>
      </c>
      <c r="C422" s="3" t="s">
        <v>18</v>
      </c>
      <c r="D422" s="8" t="str">
        <f>HYPERLINK("http://npthd.inbcu.com/ViewContent.aspx?filename=NPMR_NBC_2017-06-22_E.MP4$10868$10872","THE NIGHT SHIFT: recoil")</f>
        <v>THE NIGHT SHIFT: recoil</v>
      </c>
      <c r="E422" s="3" t="s">
        <v>84</v>
      </c>
      <c r="F422" s="3" t="s">
        <v>3604</v>
      </c>
      <c r="G422" s="3" t="s">
        <v>3554</v>
      </c>
    </row>
    <row r="423" spans="1:7">
      <c r="A423" s="6">
        <v>42908</v>
      </c>
      <c r="B423" s="3" t="s">
        <v>3494</v>
      </c>
      <c r="C423" s="3" t="s">
        <v>32</v>
      </c>
      <c r="D423" s="8" t="str">
        <f>HYPERLINK("http://npthd.inbcu.com/ViewContent.aspx?filename=NPMR_NBC_2017-06-22_E.MP4$10872$10902","LOCAL")</f>
        <v>LOCAL</v>
      </c>
      <c r="E423" s="3" t="s">
        <v>38</v>
      </c>
      <c r="F423" s="3" t="s">
        <v>3554</v>
      </c>
      <c r="G423" s="3" t="s">
        <v>124</v>
      </c>
    </row>
    <row r="424" spans="1:7">
      <c r="A424" s="6">
        <v>42909</v>
      </c>
      <c r="B424" s="3" t="s">
        <v>3494</v>
      </c>
      <c r="C424" s="3" t="s">
        <v>18</v>
      </c>
      <c r="D424" s="8" t="str">
        <f>HYPERLINK("http://npthd.inbcu.com/ViewContent.aspx?filename=NPMR_NBC_2017-06-23_E.MP4$100$670","AMERICAS GOT TALENT: auditions 4")</f>
        <v>AMERICAS GOT TALENT: auditions 4</v>
      </c>
      <c r="E424" s="3" t="s">
        <v>3283</v>
      </c>
      <c r="F424" s="3" t="s">
        <v>16</v>
      </c>
      <c r="G424" s="3" t="s">
        <v>1106</v>
      </c>
    </row>
    <row r="425" spans="1:7">
      <c r="A425" s="6">
        <v>42909</v>
      </c>
      <c r="B425" s="3" t="s">
        <v>3494</v>
      </c>
      <c r="C425" s="3" t="s">
        <v>21</v>
      </c>
      <c r="D425" s="8" t="str">
        <f>HYPERLINK("http://npthd.inbcu.com/ViewContent.aspx?filename=NPMR_NBC_2017-06-23_E.MP4$670$851","COMMERCIAL")</f>
        <v>COMMERCIAL</v>
      </c>
      <c r="E425" s="3" t="s">
        <v>108</v>
      </c>
      <c r="F425" s="3" t="s">
        <v>1106</v>
      </c>
      <c r="G425" s="3" t="s">
        <v>1941</v>
      </c>
    </row>
    <row r="426" spans="1:7">
      <c r="A426" s="6">
        <v>42909</v>
      </c>
      <c r="B426" s="3" t="s">
        <v>3494</v>
      </c>
      <c r="C426" s="3" t="s">
        <v>14</v>
      </c>
      <c r="D426" s="8" t="str">
        <f>HYPERLINK("http://npthd.inbcu.com/ViewContent.aspx?filename=NPMR_NBC_2017-06-23_E.MP4$851$866","Despicable Me 3")</f>
        <v>Despicable Me 3</v>
      </c>
      <c r="E426" s="3" t="s">
        <v>30</v>
      </c>
      <c r="F426" s="3" t="s">
        <v>1941</v>
      </c>
      <c r="G426" s="3" t="s">
        <v>3806</v>
      </c>
    </row>
    <row r="427" spans="1:7">
      <c r="A427" s="6">
        <v>42909</v>
      </c>
      <c r="B427" s="3" t="s">
        <v>3494</v>
      </c>
      <c r="C427" s="3" t="s">
        <v>18</v>
      </c>
      <c r="D427" s="8" t="str">
        <f>HYPERLINK("http://npthd.inbcu.com/ViewContent.aspx?filename=NPMR_NBC_2017-06-23_E.MP4$866$1310","AMERICAS GOT TALENT: auditions 4")</f>
        <v>AMERICAS GOT TALENT: auditions 4</v>
      </c>
      <c r="E427" s="3" t="s">
        <v>244</v>
      </c>
      <c r="F427" s="3" t="s">
        <v>3806</v>
      </c>
      <c r="G427" s="3" t="s">
        <v>3807</v>
      </c>
    </row>
    <row r="428" spans="1:7">
      <c r="A428" s="6">
        <v>42909</v>
      </c>
      <c r="B428" s="3" t="s">
        <v>3494</v>
      </c>
      <c r="C428" s="3" t="s">
        <v>21</v>
      </c>
      <c r="D428" s="8" t="str">
        <f>HYPERLINK("http://npthd.inbcu.com/ViewContent.aspx?filename=NPMR_NBC_2017-06-23_E.MP4$1310$1400","COMMERCIAL")</f>
        <v>COMMERCIAL</v>
      </c>
      <c r="E428" s="3" t="s">
        <v>46</v>
      </c>
      <c r="F428" s="3" t="s">
        <v>3807</v>
      </c>
      <c r="G428" s="3" t="s">
        <v>3808</v>
      </c>
    </row>
    <row r="429" spans="1:7">
      <c r="A429" s="6">
        <v>42909</v>
      </c>
      <c r="B429" s="3" t="s">
        <v>3494</v>
      </c>
      <c r="C429" s="3" t="s">
        <v>14</v>
      </c>
      <c r="D429" s="8" t="str">
        <f>HYPERLINK("http://npthd.inbcu.com/ViewContent.aspx?filename=NPMR_NBC_2017-06-23_E.MP4$1400$1415","NFL Network")</f>
        <v>NFL Network</v>
      </c>
      <c r="E429" s="3" t="s">
        <v>30</v>
      </c>
      <c r="F429" s="3" t="s">
        <v>3808</v>
      </c>
      <c r="G429" s="3" t="s">
        <v>3809</v>
      </c>
    </row>
    <row r="430" spans="1:7">
      <c r="A430" s="6">
        <v>42909</v>
      </c>
      <c r="B430" s="3" t="s">
        <v>3494</v>
      </c>
      <c r="C430" s="3" t="s">
        <v>32</v>
      </c>
      <c r="D430" s="8" t="str">
        <f>HYPERLINK("http://npthd.inbcu.com/ViewContent.aspx?filename=NPMR_NBC_2017-06-23_E.MP4$1415$1479","LOCAL")</f>
        <v>LOCAL</v>
      </c>
      <c r="E430" s="3" t="s">
        <v>1902</v>
      </c>
      <c r="F430" s="3" t="s">
        <v>3809</v>
      </c>
      <c r="G430" s="3" t="s">
        <v>3810</v>
      </c>
    </row>
    <row r="431" spans="1:7">
      <c r="A431" s="6">
        <v>42909</v>
      </c>
      <c r="B431" s="3" t="s">
        <v>3494</v>
      </c>
      <c r="C431" s="3" t="s">
        <v>14</v>
      </c>
      <c r="D431" s="8" t="str">
        <f>HYPERLINK("http://npthd.inbcu.com/ViewContent.aspx?filename=NPMR_NBC_2017-06-23_E.MP4$1479$1494","Midnight Texas")</f>
        <v>Midnight Texas</v>
      </c>
      <c r="E431" s="3" t="s">
        <v>30</v>
      </c>
      <c r="F431" s="3" t="s">
        <v>3810</v>
      </c>
      <c r="G431" s="3" t="s">
        <v>970</v>
      </c>
    </row>
    <row r="432" spans="1:7">
      <c r="A432" s="6">
        <v>42909</v>
      </c>
      <c r="B432" s="3" t="s">
        <v>3494</v>
      </c>
      <c r="C432" s="3" t="s">
        <v>18</v>
      </c>
      <c r="D432" s="8" t="str">
        <f>HYPERLINK("http://npthd.inbcu.com/ViewContent.aspx?filename=NPMR_NBC_2017-06-23_E.MP4$1494$1912","AMERICAS GOT TALENT: auditions 4")</f>
        <v>AMERICAS GOT TALENT: auditions 4</v>
      </c>
      <c r="E432" s="3" t="s">
        <v>1743</v>
      </c>
      <c r="F432" s="3" t="s">
        <v>970</v>
      </c>
      <c r="G432" s="3" t="s">
        <v>2511</v>
      </c>
    </row>
    <row r="433" spans="1:7">
      <c r="A433" s="6">
        <v>42909</v>
      </c>
      <c r="B433" s="3" t="s">
        <v>3494</v>
      </c>
      <c r="C433" s="3" t="s">
        <v>14</v>
      </c>
      <c r="D433" s="8" t="str">
        <f>HYPERLINK("http://npthd.inbcu.com/ViewContent.aspx?filename=NPMR_NBC_2017-06-23_E.MP4$1912$1928","Sunday Night with Megyn Kelly")</f>
        <v>Sunday Night with Megyn Kelly</v>
      </c>
      <c r="E433" s="3" t="s">
        <v>64</v>
      </c>
      <c r="F433" s="3" t="s">
        <v>2511</v>
      </c>
      <c r="G433" s="3" t="s">
        <v>3564</v>
      </c>
    </row>
    <row r="434" spans="1:7">
      <c r="A434" s="6">
        <v>42909</v>
      </c>
      <c r="B434" s="3" t="s">
        <v>3494</v>
      </c>
      <c r="C434" s="3" t="s">
        <v>21</v>
      </c>
      <c r="D434" s="8" t="str">
        <f>HYPERLINK("http://npthd.inbcu.com/ViewContent.aspx?filename=NPMR_NBC_2017-06-23_E.MP4$1928$2108","COMMERCIAL")</f>
        <v>COMMERCIAL</v>
      </c>
      <c r="E434" s="3" t="s">
        <v>22</v>
      </c>
      <c r="F434" s="3" t="s">
        <v>3564</v>
      </c>
      <c r="G434" s="3" t="s">
        <v>3811</v>
      </c>
    </row>
    <row r="435" spans="1:7">
      <c r="A435" s="6">
        <v>42909</v>
      </c>
      <c r="B435" s="3" t="s">
        <v>3494</v>
      </c>
      <c r="C435" s="3" t="s">
        <v>14</v>
      </c>
      <c r="D435" s="8" t="str">
        <f>HYPERLINK("http://npthd.inbcu.com/ViewContent.aspx?filename=NPMR_NBC_2017-06-23_E.MP4$2108$2138","American Ninja Warrior")</f>
        <v>American Ninja Warrior</v>
      </c>
      <c r="E435" s="3" t="s">
        <v>38</v>
      </c>
      <c r="F435" s="3" t="s">
        <v>3811</v>
      </c>
      <c r="G435" s="3" t="s">
        <v>3812</v>
      </c>
    </row>
    <row r="436" spans="1:7">
      <c r="A436" s="6">
        <v>42909</v>
      </c>
      <c r="B436" s="3" t="s">
        <v>3494</v>
      </c>
      <c r="C436" s="3" t="s">
        <v>18</v>
      </c>
      <c r="D436" s="8" t="str">
        <f>HYPERLINK("http://npthd.inbcu.com/ViewContent.aspx?filename=NPMR_NBC_2017-06-23_E.MP4$2138$2528","AMERICAS GOT TALENT: auditions 4")</f>
        <v>AMERICAS GOT TALENT: auditions 4</v>
      </c>
      <c r="E436" s="3" t="s">
        <v>1382</v>
      </c>
      <c r="F436" s="3" t="s">
        <v>3812</v>
      </c>
      <c r="G436" s="3" t="s">
        <v>3813</v>
      </c>
    </row>
    <row r="437" spans="1:7">
      <c r="A437" s="6">
        <v>42909</v>
      </c>
      <c r="B437" s="3" t="s">
        <v>3494</v>
      </c>
      <c r="C437" s="3" t="s">
        <v>21</v>
      </c>
      <c r="D437" s="8" t="str">
        <f>HYPERLINK("http://npthd.inbcu.com/ViewContent.aspx?filename=NPMR_NBC_2017-06-23_E.MP4$2528$2619","COMMERCIAL")</f>
        <v>COMMERCIAL</v>
      </c>
      <c r="E437" s="3" t="s">
        <v>77</v>
      </c>
      <c r="F437" s="3" t="s">
        <v>3813</v>
      </c>
      <c r="G437" s="3" t="s">
        <v>233</v>
      </c>
    </row>
    <row r="438" spans="1:7">
      <c r="A438" s="6">
        <v>42909</v>
      </c>
      <c r="B438" s="3" t="s">
        <v>3494</v>
      </c>
      <c r="C438" s="3" t="s">
        <v>14</v>
      </c>
      <c r="D438" s="8" t="str">
        <f>HYPERLINK("http://npthd.inbcu.com/ViewContent.aspx?filename=NPMR_NBC_2017-06-23_E.MP4$2619$2633","World of Dance")</f>
        <v>World of Dance</v>
      </c>
      <c r="E438" s="3" t="s">
        <v>342</v>
      </c>
      <c r="F438" s="3" t="s">
        <v>233</v>
      </c>
      <c r="G438" s="3" t="s">
        <v>3814</v>
      </c>
    </row>
    <row r="439" spans="1:7">
      <c r="A439" s="6">
        <v>42909</v>
      </c>
      <c r="B439" s="3" t="s">
        <v>3494</v>
      </c>
      <c r="C439" s="3" t="s">
        <v>32</v>
      </c>
      <c r="D439" s="8" t="str">
        <f>HYPERLINK("http://npthd.inbcu.com/ViewContent.aspx?filename=NPMR_NBC_2017-06-23_E.MP4$2633$2721","LOCAL")</f>
        <v>LOCAL</v>
      </c>
      <c r="E439" s="3" t="s">
        <v>3318</v>
      </c>
      <c r="F439" s="3" t="s">
        <v>3814</v>
      </c>
      <c r="G439" s="3" t="s">
        <v>3815</v>
      </c>
    </row>
    <row r="440" spans="1:7">
      <c r="A440" s="6">
        <v>42909</v>
      </c>
      <c r="B440" s="3" t="s">
        <v>3494</v>
      </c>
      <c r="C440" s="3" t="s">
        <v>14</v>
      </c>
      <c r="D440" s="8" t="str">
        <f>HYPERLINK("http://npthd.inbcu.com/ViewContent.aspx?filename=NPMR_NBC_2017-06-23_E.MP4$2721$2754","Little Big Shots: Forever Young")</f>
        <v>Little Big Shots: Forever Young</v>
      </c>
      <c r="E440" s="3" t="s">
        <v>2667</v>
      </c>
      <c r="F440" s="3" t="s">
        <v>3815</v>
      </c>
      <c r="G440" s="3" t="s">
        <v>147</v>
      </c>
    </row>
    <row r="441" spans="1:7">
      <c r="A441" s="6">
        <v>42909</v>
      </c>
      <c r="B441" s="3" t="s">
        <v>3494</v>
      </c>
      <c r="C441" s="3" t="s">
        <v>18</v>
      </c>
      <c r="D441" s="8" t="str">
        <f>HYPERLINK("http://npthd.inbcu.com/ViewContent.aspx?filename=NPMR_NBC_2017-06-23_E.MP4$2754$3179","AMERICAS GOT TALENT: auditions 4")</f>
        <v>AMERICAS GOT TALENT: auditions 4</v>
      </c>
      <c r="E441" s="3" t="s">
        <v>621</v>
      </c>
      <c r="F441" s="3" t="s">
        <v>147</v>
      </c>
      <c r="G441" s="3" t="s">
        <v>3816</v>
      </c>
    </row>
    <row r="442" spans="1:7">
      <c r="A442" s="6">
        <v>42909</v>
      </c>
      <c r="B442" s="3" t="s">
        <v>3494</v>
      </c>
      <c r="C442" s="3" t="s">
        <v>21</v>
      </c>
      <c r="D442" s="8" t="str">
        <f>HYPERLINK("http://npthd.inbcu.com/ViewContent.aspx?filename=NPMR_NBC_2017-06-23_E.MP4$3179$3360","COMMERCIAL")</f>
        <v>COMMERCIAL</v>
      </c>
      <c r="E442" s="3" t="s">
        <v>108</v>
      </c>
      <c r="F442" s="3" t="s">
        <v>3816</v>
      </c>
      <c r="G442" s="3" t="s">
        <v>3817</v>
      </c>
    </row>
    <row r="443" spans="1:7">
      <c r="A443" s="6">
        <v>42909</v>
      </c>
      <c r="B443" s="3" t="s">
        <v>3494</v>
      </c>
      <c r="C443" s="3" t="s">
        <v>14</v>
      </c>
      <c r="D443" s="8" t="str">
        <f>HYPERLINK("http://npthd.inbcu.com/ViewContent.aspx?filename=NPMR_NBC_2017-06-23_E.MP4$3360$3375","Despicable Me 3")</f>
        <v>Despicable Me 3</v>
      </c>
      <c r="E443" s="3" t="s">
        <v>30</v>
      </c>
      <c r="F443" s="3" t="s">
        <v>3817</v>
      </c>
      <c r="G443" s="3" t="s">
        <v>3251</v>
      </c>
    </row>
    <row r="444" spans="1:7">
      <c r="A444" s="6">
        <v>42909</v>
      </c>
      <c r="B444" s="3" t="s">
        <v>3494</v>
      </c>
      <c r="C444" s="3" t="s">
        <v>1618</v>
      </c>
      <c r="D444" s="8" t="str">
        <f>HYPERLINK("http://npthd.inbcu.com/ViewContent.aspx?filename=NPMR_NBC_2017-06-23_E.MP4$3375$3405","PSA")</f>
        <v>PSA</v>
      </c>
      <c r="E444" s="3" t="s">
        <v>38</v>
      </c>
      <c r="F444" s="3" t="s">
        <v>3251</v>
      </c>
      <c r="G444" s="3" t="s">
        <v>3818</v>
      </c>
    </row>
    <row r="445" spans="1:7">
      <c r="A445" s="6">
        <v>42909</v>
      </c>
      <c r="B445" s="3" t="s">
        <v>3494</v>
      </c>
      <c r="C445" s="3" t="s">
        <v>18</v>
      </c>
      <c r="D445" s="8" t="str">
        <f>HYPERLINK("http://npthd.inbcu.com/ViewContent.aspx?filename=NPMR_NBC_2017-06-23_E.MP4$3405$3847","AMERICAS GOT TALENT: auditions 4")</f>
        <v>AMERICAS GOT TALENT: auditions 4</v>
      </c>
      <c r="E445" s="3" t="s">
        <v>950</v>
      </c>
      <c r="F445" s="3" t="s">
        <v>3818</v>
      </c>
      <c r="G445" s="3" t="s">
        <v>3819</v>
      </c>
    </row>
    <row r="446" spans="1:7">
      <c r="A446" s="6">
        <v>42909</v>
      </c>
      <c r="B446" s="3" t="s">
        <v>3494</v>
      </c>
      <c r="C446" s="3" t="s">
        <v>21</v>
      </c>
      <c r="D446" s="8" t="str">
        <f>HYPERLINK("http://npthd.inbcu.com/ViewContent.aspx?filename=NPMR_NBC_2017-06-23_E.MP4$3847$4028","COMMERCIAL")</f>
        <v>COMMERCIAL</v>
      </c>
      <c r="E446" s="3" t="s">
        <v>108</v>
      </c>
      <c r="F446" s="3" t="s">
        <v>3819</v>
      </c>
      <c r="G446" s="3" t="s">
        <v>3820</v>
      </c>
    </row>
    <row r="447" spans="1:7">
      <c r="A447" s="6">
        <v>42909</v>
      </c>
      <c r="B447" s="3" t="s">
        <v>3494</v>
      </c>
      <c r="C447" s="3" t="s">
        <v>14</v>
      </c>
      <c r="D447" s="8" t="str">
        <f>HYPERLINK("http://npthd.inbcu.com/ViewContent.aspx?filename=NPMR_NBC_2017-06-23_E.MP4$4028$4043","American Ninja Warrior")</f>
        <v>American Ninja Warrior</v>
      </c>
      <c r="E447" s="3" t="s">
        <v>30</v>
      </c>
      <c r="F447" s="3" t="s">
        <v>3820</v>
      </c>
      <c r="G447" s="3" t="s">
        <v>3821</v>
      </c>
    </row>
    <row r="448" spans="1:7">
      <c r="A448" s="6">
        <v>42909</v>
      </c>
      <c r="B448" s="3" t="s">
        <v>3494</v>
      </c>
      <c r="C448" s="3" t="s">
        <v>18</v>
      </c>
      <c r="D448" s="8" t="str">
        <f>HYPERLINK("http://npthd.inbcu.com/ViewContent.aspx?filename=NPMR_NBC_2017-06-23_E.MP4$4043$4425","AMERICAS GOT TALENT: auditions 4")</f>
        <v>AMERICAS GOT TALENT: auditions 4</v>
      </c>
      <c r="E448" s="3" t="s">
        <v>3822</v>
      </c>
      <c r="F448" s="3" t="s">
        <v>3821</v>
      </c>
      <c r="G448" s="3" t="s">
        <v>2528</v>
      </c>
    </row>
    <row r="449" spans="1:7">
      <c r="A449" s="6">
        <v>42909</v>
      </c>
      <c r="B449" s="3" t="s">
        <v>3494</v>
      </c>
      <c r="C449" s="3" t="s">
        <v>21</v>
      </c>
      <c r="D449" s="8" t="str">
        <f>HYPERLINK("http://npthd.inbcu.com/ViewContent.aspx?filename=NPMR_NBC_2017-06-23_E.MP4$4425$4516","COMMERCIAL")</f>
        <v>COMMERCIAL</v>
      </c>
      <c r="E449" s="3" t="s">
        <v>77</v>
      </c>
      <c r="F449" s="3" t="s">
        <v>2528</v>
      </c>
      <c r="G449" s="3" t="s">
        <v>3823</v>
      </c>
    </row>
    <row r="450" spans="1:7">
      <c r="A450" s="6">
        <v>42909</v>
      </c>
      <c r="B450" s="3" t="s">
        <v>3494</v>
      </c>
      <c r="C450" s="3" t="s">
        <v>14</v>
      </c>
      <c r="D450" s="8" t="str">
        <f>HYPERLINK("http://npthd.inbcu.com/ViewContent.aspx?filename=NPMR_NBC_2017-06-23_E.MP4$4516$4521","Despicable Me 3")</f>
        <v>Despicable Me 3</v>
      </c>
      <c r="E450" s="3" t="s">
        <v>54</v>
      </c>
      <c r="F450" s="3" t="s">
        <v>3823</v>
      </c>
      <c r="G450" s="3" t="s">
        <v>808</v>
      </c>
    </row>
    <row r="451" spans="1:7">
      <c r="A451" s="6">
        <v>42909</v>
      </c>
      <c r="B451" s="3" t="s">
        <v>3494</v>
      </c>
      <c r="C451" s="3" t="s">
        <v>14</v>
      </c>
      <c r="D451" s="8" t="str">
        <f>HYPERLINK("http://npthd.inbcu.com/ViewContent.aspx?filename=NPMR_NBC_2017-06-23_E.MP4$4521$4530","Tonight Show starring Jimmy Fallon, The")</f>
        <v>Tonight Show starring Jimmy Fallon, The</v>
      </c>
      <c r="E451" s="3" t="s">
        <v>2074</v>
      </c>
      <c r="F451" s="3" t="s">
        <v>808</v>
      </c>
      <c r="G451" s="3" t="s">
        <v>2349</v>
      </c>
    </row>
    <row r="452" spans="1:7">
      <c r="A452" s="6">
        <v>42909</v>
      </c>
      <c r="B452" s="3" t="s">
        <v>3494</v>
      </c>
      <c r="C452" s="3" t="s">
        <v>32</v>
      </c>
      <c r="D452" s="8" t="str">
        <f>HYPERLINK("http://npthd.inbcu.com/ViewContent.aspx?filename=NPMR_NBC_2017-06-23_E.MP4$4530$4624","LOCAL")</f>
        <v>LOCAL</v>
      </c>
      <c r="E452" s="3" t="s">
        <v>1917</v>
      </c>
      <c r="F452" s="3" t="s">
        <v>2349</v>
      </c>
      <c r="G452" s="3" t="s">
        <v>3824</v>
      </c>
    </row>
    <row r="453" spans="1:7">
      <c r="A453" s="6">
        <v>42909</v>
      </c>
      <c r="B453" s="3" t="s">
        <v>3494</v>
      </c>
      <c r="C453" s="3" t="s">
        <v>14</v>
      </c>
      <c r="D453" s="8" t="str">
        <f>HYPERLINK("http://npthd.inbcu.com/ViewContent.aspx?filename=NPMR_NBC_2017-06-23_E.MP4$4624$4655","NBC Thursday")</f>
        <v>NBC Thursday</v>
      </c>
      <c r="E453" s="3" t="s">
        <v>98</v>
      </c>
      <c r="F453" s="3" t="s">
        <v>3824</v>
      </c>
      <c r="G453" s="3" t="s">
        <v>3825</v>
      </c>
    </row>
    <row r="454" spans="1:7">
      <c r="A454" s="6">
        <v>42909</v>
      </c>
      <c r="B454" s="3" t="s">
        <v>3494</v>
      </c>
      <c r="C454" s="3" t="s">
        <v>18</v>
      </c>
      <c r="D454" s="8" t="str">
        <f>HYPERLINK("http://npthd.inbcu.com/ViewContent.aspx?filename=NPMR_NBC_2017-06-23_E.MP4$4655$5026","AMERICAS GOT TALENT: auditions 4")</f>
        <v>AMERICAS GOT TALENT: auditions 4</v>
      </c>
      <c r="E454" s="3" t="s">
        <v>1967</v>
      </c>
      <c r="F454" s="3" t="s">
        <v>3825</v>
      </c>
      <c r="G454" s="3" t="s">
        <v>3826</v>
      </c>
    </row>
    <row r="455" spans="1:7">
      <c r="A455" s="6">
        <v>42909</v>
      </c>
      <c r="B455" s="3" t="s">
        <v>3494</v>
      </c>
      <c r="C455" s="3" t="s">
        <v>21</v>
      </c>
      <c r="D455" s="8" t="str">
        <f>HYPERLINK("http://npthd.inbcu.com/ViewContent.aspx?filename=NPMR_NBC_2017-06-23_E.MP4$5026$5207","COMMERCIAL")</f>
        <v>COMMERCIAL</v>
      </c>
      <c r="E455" s="3" t="s">
        <v>108</v>
      </c>
      <c r="F455" s="3" t="s">
        <v>3826</v>
      </c>
      <c r="G455" s="3" t="s">
        <v>3827</v>
      </c>
    </row>
    <row r="456" spans="1:7">
      <c r="A456" s="6">
        <v>42909</v>
      </c>
      <c r="B456" s="3" t="s">
        <v>3494</v>
      </c>
      <c r="C456" s="3" t="s">
        <v>14</v>
      </c>
      <c r="D456" s="8" t="str">
        <f>HYPERLINK("http://npthd.inbcu.com/ViewContent.aspx?filename=NPMR_NBC_2017-06-23_E.MP4$5207$5222","World of Dance")</f>
        <v>World of Dance</v>
      </c>
      <c r="E456" s="3" t="s">
        <v>30</v>
      </c>
      <c r="F456" s="3" t="s">
        <v>3827</v>
      </c>
      <c r="G456" s="3" t="s">
        <v>3077</v>
      </c>
    </row>
    <row r="457" spans="1:7">
      <c r="A457" s="6">
        <v>42909</v>
      </c>
      <c r="B457" s="3" t="s">
        <v>3494</v>
      </c>
      <c r="C457" s="3" t="s">
        <v>18</v>
      </c>
      <c r="D457" s="8" t="str">
        <f>HYPERLINK("http://npthd.inbcu.com/ViewContent.aspx?filename=NPMR_NBC_2017-06-23_E.MP4$5222$5705","AMERICAS GOT TALENT: auditions 4")</f>
        <v>AMERICAS GOT TALENT: auditions 4</v>
      </c>
      <c r="E457" s="3" t="s">
        <v>1854</v>
      </c>
      <c r="F457" s="3" t="s">
        <v>3077</v>
      </c>
      <c r="G457" s="3" t="s">
        <v>3828</v>
      </c>
    </row>
    <row r="458" spans="1:7">
      <c r="A458" s="6">
        <v>42909</v>
      </c>
      <c r="B458" s="3" t="s">
        <v>3494</v>
      </c>
      <c r="C458" s="3" t="s">
        <v>21</v>
      </c>
      <c r="D458" s="8" t="str">
        <f>HYPERLINK("http://npthd.inbcu.com/ViewContent.aspx?filename=NPMR_NBC_2017-06-23_E.MP4$5705$5889","COMMERCIAL")</f>
        <v>COMMERCIAL</v>
      </c>
      <c r="E458" s="3" t="s">
        <v>420</v>
      </c>
      <c r="F458" s="3" t="s">
        <v>3828</v>
      </c>
      <c r="G458" s="3" t="s">
        <v>264</v>
      </c>
    </row>
    <row r="459" spans="1:7">
      <c r="A459" s="6">
        <v>42909</v>
      </c>
      <c r="B459" s="3" t="s">
        <v>3494</v>
      </c>
      <c r="C459" s="3" t="s">
        <v>32</v>
      </c>
      <c r="D459" s="8" t="str">
        <f>HYPERLINK("http://npthd.inbcu.com/ViewContent.aspx?filename=NPMR_NBC_2017-06-23_E.MP4$5889$5920","LOCAL")</f>
        <v>LOCAL</v>
      </c>
      <c r="E459" s="3" t="s">
        <v>98</v>
      </c>
      <c r="F459" s="3" t="s">
        <v>264</v>
      </c>
      <c r="G459" s="3" t="s">
        <v>3829</v>
      </c>
    </row>
    <row r="460" spans="1:7">
      <c r="A460" s="6">
        <v>42909</v>
      </c>
      <c r="B460" s="3" t="s">
        <v>3494</v>
      </c>
      <c r="C460" s="3" t="s">
        <v>14</v>
      </c>
      <c r="D460" s="8" t="str">
        <f>HYPERLINK("http://npthd.inbcu.com/ViewContent.aspx?filename=NPMR_NBC_2017-06-23_E.MP4$5920$5932","American Ninja Warrior")</f>
        <v>American Ninja Warrior</v>
      </c>
      <c r="E460" s="3" t="s">
        <v>2057</v>
      </c>
      <c r="F460" s="3" t="s">
        <v>3829</v>
      </c>
      <c r="G460" s="3" t="s">
        <v>3830</v>
      </c>
    </row>
    <row r="461" spans="1:7">
      <c r="A461" s="6">
        <v>42909</v>
      </c>
      <c r="B461" s="3" t="s">
        <v>3494</v>
      </c>
      <c r="C461" s="3" t="s">
        <v>14</v>
      </c>
      <c r="D461" s="8" t="str">
        <f>HYPERLINK("http://npthd.inbcu.com/ViewContent.aspx?filename=NPMR_NBC_2017-06-23_E.MP4$5932$5935","Daytona 500")</f>
        <v>Daytona 500</v>
      </c>
      <c r="E461" s="3" t="s">
        <v>393</v>
      </c>
      <c r="F461" s="3" t="s">
        <v>3830</v>
      </c>
      <c r="G461" s="3" t="s">
        <v>3831</v>
      </c>
    </row>
    <row r="462" spans="1:7">
      <c r="A462" s="6">
        <v>42909</v>
      </c>
      <c r="B462" s="3" t="s">
        <v>3494</v>
      </c>
      <c r="C462" s="3" t="s">
        <v>18</v>
      </c>
      <c r="D462" s="8" t="str">
        <f>HYPERLINK("http://npthd.inbcu.com/ViewContent.aspx?filename=NPMR_NBC_2017-06-23_E.MP4$5935$6422","AMERICAS GOT TALENT: auditions 4")</f>
        <v>AMERICAS GOT TALENT: auditions 4</v>
      </c>
      <c r="E462" s="3" t="s">
        <v>1733</v>
      </c>
      <c r="F462" s="3" t="s">
        <v>3831</v>
      </c>
      <c r="G462" s="3" t="s">
        <v>3832</v>
      </c>
    </row>
    <row r="463" spans="1:7">
      <c r="A463" s="6">
        <v>42909</v>
      </c>
      <c r="B463" s="3" t="s">
        <v>3494</v>
      </c>
      <c r="C463" s="3" t="s">
        <v>21</v>
      </c>
      <c r="D463" s="8" t="str">
        <f>HYPERLINK("http://npthd.inbcu.com/ViewContent.aspx?filename=NPMR_NBC_2017-06-23_E.MP4$6422$6603","COMMERCIAL")</f>
        <v>COMMERCIAL</v>
      </c>
      <c r="E463" s="3" t="s">
        <v>108</v>
      </c>
      <c r="F463" s="3" t="s">
        <v>3832</v>
      </c>
      <c r="G463" s="3" t="s">
        <v>3833</v>
      </c>
    </row>
    <row r="464" spans="1:7">
      <c r="A464" s="6">
        <v>42909</v>
      </c>
      <c r="B464" s="3" t="s">
        <v>3494</v>
      </c>
      <c r="C464" s="3" t="s">
        <v>14</v>
      </c>
      <c r="D464" s="8" t="str">
        <f>HYPERLINK("http://npthd.inbcu.com/ViewContent.aspx?filename=NPMR_NBC_2017-06-23_E.MP4$6603$6618","Dateline NBC")</f>
        <v>Dateline NBC</v>
      </c>
      <c r="E464" s="3" t="s">
        <v>30</v>
      </c>
      <c r="F464" s="3" t="s">
        <v>3833</v>
      </c>
      <c r="G464" s="3" t="s">
        <v>3834</v>
      </c>
    </row>
    <row r="465" spans="1:7">
      <c r="A465" s="6">
        <v>42909</v>
      </c>
      <c r="B465" s="3" t="s">
        <v>3494</v>
      </c>
      <c r="C465" s="3" t="s">
        <v>18</v>
      </c>
      <c r="D465" s="8" t="str">
        <f>HYPERLINK("http://npthd.inbcu.com/ViewContent.aspx?filename=NPMR_NBC_2017-06-23_E.MP4$6618$7301","AMERICAS GOT TALENT: auditions 4")</f>
        <v>AMERICAS GOT TALENT: auditions 4</v>
      </c>
      <c r="E465" s="3" t="s">
        <v>3835</v>
      </c>
      <c r="F465" s="3" t="s">
        <v>3834</v>
      </c>
      <c r="G465" s="3" t="s">
        <v>87</v>
      </c>
    </row>
    <row r="466" spans="1:7">
      <c r="A466" s="6">
        <v>42909</v>
      </c>
      <c r="B466" s="3" t="s">
        <v>3494</v>
      </c>
      <c r="C466" s="3" t="s">
        <v>18</v>
      </c>
      <c r="D466" s="8" t="str">
        <f>HYPERLINK("http://npthd.inbcu.com/ViewContent.aspx?filename=NPMR_NBC_2017-06-23_E.MP4$7301$7763","DATELINE NBC: fr2640")</f>
        <v>DATELINE NBC: fr2640</v>
      </c>
      <c r="E466" s="3" t="s">
        <v>1526</v>
      </c>
      <c r="F466" s="3" t="s">
        <v>87</v>
      </c>
      <c r="G466" s="3" t="s">
        <v>3836</v>
      </c>
    </row>
    <row r="467" spans="1:7">
      <c r="A467" s="6">
        <v>42909</v>
      </c>
      <c r="B467" s="3" t="s">
        <v>3494</v>
      </c>
      <c r="C467" s="3" t="s">
        <v>21</v>
      </c>
      <c r="D467" s="8" t="str">
        <f>HYPERLINK("http://npthd.inbcu.com/ViewContent.aspx?filename=NPMR_NBC_2017-06-23_E.MP4$7763$7883","COMMERCIAL")</f>
        <v>COMMERCIAL</v>
      </c>
      <c r="E467" s="3" t="s">
        <v>43</v>
      </c>
      <c r="F467" s="3" t="s">
        <v>3836</v>
      </c>
      <c r="G467" s="3" t="s">
        <v>3837</v>
      </c>
    </row>
    <row r="468" spans="1:7">
      <c r="A468" s="6">
        <v>42909</v>
      </c>
      <c r="B468" s="3" t="s">
        <v>3494</v>
      </c>
      <c r="C468" s="3" t="s">
        <v>14</v>
      </c>
      <c r="D468" s="8" t="str">
        <f>HYPERLINK("http://npthd.inbcu.com/ViewContent.aspx?filename=NPMR_NBC_2017-06-23_E.MP4$7883$7898","Today")</f>
        <v>Today</v>
      </c>
      <c r="E468" s="3" t="s">
        <v>30</v>
      </c>
      <c r="F468" s="3" t="s">
        <v>3837</v>
      </c>
      <c r="G468" s="3" t="s">
        <v>3838</v>
      </c>
    </row>
    <row r="469" spans="1:7">
      <c r="A469" s="6">
        <v>42909</v>
      </c>
      <c r="B469" s="3" t="s">
        <v>3494</v>
      </c>
      <c r="C469" s="3" t="s">
        <v>32</v>
      </c>
      <c r="D469" s="8" t="str">
        <f>HYPERLINK("http://npthd.inbcu.com/ViewContent.aspx?filename=NPMR_NBC_2017-06-23_E.MP4$7898$7959","LOCAL")</f>
        <v>LOCAL</v>
      </c>
      <c r="E469" s="3" t="s">
        <v>33</v>
      </c>
      <c r="F469" s="3" t="s">
        <v>3838</v>
      </c>
      <c r="G469" s="3" t="s">
        <v>752</v>
      </c>
    </row>
    <row r="470" spans="1:7">
      <c r="A470" s="6">
        <v>42909</v>
      </c>
      <c r="B470" s="3" t="s">
        <v>3494</v>
      </c>
      <c r="C470" s="3" t="s">
        <v>18</v>
      </c>
      <c r="D470" s="8" t="str">
        <f>HYPERLINK("http://npthd.inbcu.com/ViewContent.aspx?filename=NPMR_NBC_2017-06-23_E.MP4$7959$8272","DATELINE NBC: fr2640")</f>
        <v>DATELINE NBC: fr2640</v>
      </c>
      <c r="E470" s="3" t="s">
        <v>3839</v>
      </c>
      <c r="F470" s="3" t="s">
        <v>752</v>
      </c>
      <c r="G470" s="3" t="s">
        <v>3840</v>
      </c>
    </row>
    <row r="471" spans="1:7">
      <c r="A471" s="6">
        <v>42909</v>
      </c>
      <c r="B471" s="3" t="s">
        <v>3494</v>
      </c>
      <c r="C471" s="3" t="s">
        <v>21</v>
      </c>
      <c r="D471" s="8" t="str">
        <f>HYPERLINK("http://npthd.inbcu.com/ViewContent.aspx?filename=NPMR_NBC_2017-06-23_E.MP4$8272$8422","COMMERCIAL")</f>
        <v>COMMERCIAL</v>
      </c>
      <c r="E471" s="3" t="s">
        <v>28</v>
      </c>
      <c r="F471" s="3" t="s">
        <v>3840</v>
      </c>
      <c r="G471" s="3" t="s">
        <v>3841</v>
      </c>
    </row>
    <row r="472" spans="1:7">
      <c r="A472" s="6">
        <v>42909</v>
      </c>
      <c r="B472" s="3" t="s">
        <v>3494</v>
      </c>
      <c r="C472" s="3" t="s">
        <v>14</v>
      </c>
      <c r="D472" s="8" t="str">
        <f>HYPERLINK("http://npthd.inbcu.com/ViewContent.aspx?filename=NPMR_NBC_2017-06-23_E.MP4$8422$8437","Americas Got Talent")</f>
        <v>Americas Got Talent</v>
      </c>
      <c r="E472" s="3" t="s">
        <v>30</v>
      </c>
      <c r="F472" s="3" t="s">
        <v>3841</v>
      </c>
      <c r="G472" s="3" t="s">
        <v>3842</v>
      </c>
    </row>
    <row r="473" spans="1:7">
      <c r="A473" s="6">
        <v>42909</v>
      </c>
      <c r="B473" s="3" t="s">
        <v>3494</v>
      </c>
      <c r="C473" s="3" t="s">
        <v>14</v>
      </c>
      <c r="D473" s="8" t="str">
        <f>HYPERLINK("http://npthd.inbcu.com/ViewContent.aspx?filename=NPMR_NBC_2017-06-23_E.MP4$8437$8452","World of Dance")</f>
        <v>World of Dance</v>
      </c>
      <c r="E473" s="3" t="s">
        <v>30</v>
      </c>
      <c r="F473" s="3" t="s">
        <v>3842</v>
      </c>
      <c r="G473" s="3" t="s">
        <v>3843</v>
      </c>
    </row>
    <row r="474" spans="1:7">
      <c r="A474" s="6">
        <v>42909</v>
      </c>
      <c r="B474" s="3" t="s">
        <v>3494</v>
      </c>
      <c r="C474" s="3" t="s">
        <v>18</v>
      </c>
      <c r="D474" s="8" t="str">
        <f>HYPERLINK("http://npthd.inbcu.com/ViewContent.aspx?filename=NPMR_NBC_2017-06-23_E.MP4$8452$8917","DATELINE NBC: fr2640")</f>
        <v>DATELINE NBC: fr2640</v>
      </c>
      <c r="E474" s="3" t="s">
        <v>2844</v>
      </c>
      <c r="F474" s="3" t="s">
        <v>3843</v>
      </c>
      <c r="G474" s="3" t="s">
        <v>1379</v>
      </c>
    </row>
    <row r="475" spans="1:7">
      <c r="A475" s="6">
        <v>42909</v>
      </c>
      <c r="B475" s="3" t="s">
        <v>3494</v>
      </c>
      <c r="C475" s="3" t="s">
        <v>21</v>
      </c>
      <c r="D475" s="8" t="str">
        <f>HYPERLINK("http://npthd.inbcu.com/ViewContent.aspx?filename=NPMR_NBC_2017-06-23_E.MP4$8917$8978","COMMERCIAL")</f>
        <v>COMMERCIAL</v>
      </c>
      <c r="E475" s="3" t="s">
        <v>33</v>
      </c>
      <c r="F475" s="3" t="s">
        <v>1379</v>
      </c>
      <c r="G475" s="3" t="s">
        <v>3844</v>
      </c>
    </row>
    <row r="476" spans="1:7">
      <c r="A476" s="6">
        <v>42909</v>
      </c>
      <c r="B476" s="3" t="s">
        <v>3494</v>
      </c>
      <c r="C476" s="3" t="s">
        <v>14</v>
      </c>
      <c r="D476" s="8" t="str">
        <f>HYPERLINK("http://npthd.inbcu.com/ViewContent.aspx?filename=NPMR_NBC_2017-06-23_E.MP4$8978$8982","Late Night with Seth Meyers")</f>
        <v>Late Night with Seth Meyers</v>
      </c>
      <c r="E476" s="3" t="s">
        <v>84</v>
      </c>
      <c r="F476" s="3" t="s">
        <v>3844</v>
      </c>
      <c r="G476" s="3" t="s">
        <v>3845</v>
      </c>
    </row>
    <row r="477" spans="1:7">
      <c r="A477" s="6">
        <v>42909</v>
      </c>
      <c r="B477" s="3" t="s">
        <v>3494</v>
      </c>
      <c r="C477" s="3" t="s">
        <v>32</v>
      </c>
      <c r="D477" s="8" t="str">
        <f>HYPERLINK("http://npthd.inbcu.com/ViewContent.aspx?filename=NPMR_NBC_2017-06-23_E.MP4$8982$9147","LOCAL")</f>
        <v>LOCAL</v>
      </c>
      <c r="E477" s="3" t="s">
        <v>428</v>
      </c>
      <c r="F477" s="3" t="s">
        <v>3845</v>
      </c>
      <c r="G477" s="3" t="s">
        <v>3846</v>
      </c>
    </row>
    <row r="478" spans="1:7">
      <c r="A478" s="6">
        <v>42909</v>
      </c>
      <c r="B478" s="3" t="s">
        <v>3494</v>
      </c>
      <c r="C478" s="3" t="s">
        <v>14</v>
      </c>
      <c r="D478" s="8" t="str">
        <f>HYPERLINK("http://npthd.inbcu.com/ViewContent.aspx?filename=NPMR_NBC_2017-06-23_E.MP4$9147$9157","Tonight Show starring Jimmy Fallon, The")</f>
        <v>Tonight Show starring Jimmy Fallon, The</v>
      </c>
      <c r="E478" s="3" t="s">
        <v>197</v>
      </c>
      <c r="F478" s="3" t="s">
        <v>3846</v>
      </c>
      <c r="G478" s="3" t="s">
        <v>2436</v>
      </c>
    </row>
    <row r="479" spans="1:7">
      <c r="A479" s="6">
        <v>42909</v>
      </c>
      <c r="B479" s="3" t="s">
        <v>3494</v>
      </c>
      <c r="C479" s="3" t="s">
        <v>14</v>
      </c>
      <c r="D479" s="8" t="str">
        <f>HYPERLINK("http://npthd.inbcu.com/ViewContent.aspx?filename=NPMR_NBC_2017-06-23_E.MP4$9157$9161","Despicable Me 3")</f>
        <v>Despicable Me 3</v>
      </c>
      <c r="E479" s="3" t="s">
        <v>84</v>
      </c>
      <c r="F479" s="3" t="s">
        <v>2436</v>
      </c>
      <c r="G479" s="3" t="s">
        <v>3847</v>
      </c>
    </row>
    <row r="480" spans="1:7">
      <c r="A480" s="6">
        <v>42909</v>
      </c>
      <c r="B480" s="3" t="s">
        <v>3494</v>
      </c>
      <c r="C480" s="3" t="s">
        <v>18</v>
      </c>
      <c r="D480" s="8" t="str">
        <f>HYPERLINK("http://npthd.inbcu.com/ViewContent.aspx?filename=NPMR_NBC_2017-06-23_E.MP4$9161$9549","DATELINE NBC: fr2640")</f>
        <v>DATELINE NBC: fr2640</v>
      </c>
      <c r="E480" s="3" t="s">
        <v>1135</v>
      </c>
      <c r="F480" s="3" t="s">
        <v>3847</v>
      </c>
      <c r="G480" s="3" t="s">
        <v>3848</v>
      </c>
    </row>
    <row r="481" spans="1:7">
      <c r="A481" s="6">
        <v>42909</v>
      </c>
      <c r="B481" s="3" t="s">
        <v>3494</v>
      </c>
      <c r="C481" s="3" t="s">
        <v>21</v>
      </c>
      <c r="D481" s="8" t="str">
        <f>HYPERLINK("http://npthd.inbcu.com/ViewContent.aspx?filename=NPMR_NBC_2017-06-23_E.MP4$9549$9729","COMMERCIAL")</f>
        <v>COMMERCIAL</v>
      </c>
      <c r="E481" s="3" t="s">
        <v>22</v>
      </c>
      <c r="F481" s="3" t="s">
        <v>3848</v>
      </c>
      <c r="G481" s="3" t="s">
        <v>3849</v>
      </c>
    </row>
    <row r="482" spans="1:7">
      <c r="A482" s="6">
        <v>42909</v>
      </c>
      <c r="B482" s="3" t="s">
        <v>3494</v>
      </c>
      <c r="C482" s="3" t="s">
        <v>14</v>
      </c>
      <c r="D482" s="8" t="str">
        <f>HYPERLINK("http://npthd.inbcu.com/ViewContent.aspx?filename=NPMR_NBC_2017-06-23_E.MP4$9729$9760","American Ninja Warrior")</f>
        <v>American Ninja Warrior</v>
      </c>
      <c r="E482" s="3" t="s">
        <v>98</v>
      </c>
      <c r="F482" s="3" t="s">
        <v>3849</v>
      </c>
      <c r="G482" s="3" t="s">
        <v>3850</v>
      </c>
    </row>
    <row r="483" spans="1:7">
      <c r="A483" s="6">
        <v>42909</v>
      </c>
      <c r="B483" s="3" t="s">
        <v>3494</v>
      </c>
      <c r="C483" s="3" t="s">
        <v>18</v>
      </c>
      <c r="D483" s="8" t="str">
        <f>HYPERLINK("http://npthd.inbcu.com/ViewContent.aspx?filename=NPMR_NBC_2017-06-23_E.MP4$9760$10175","AMERICAS GOT TALENT: auditions 4")</f>
        <v>AMERICAS GOT TALENT: auditions 4</v>
      </c>
      <c r="E483" s="3" t="s">
        <v>2146</v>
      </c>
      <c r="F483" s="3" t="s">
        <v>3850</v>
      </c>
      <c r="G483" s="3" t="s">
        <v>3851</v>
      </c>
    </row>
    <row r="484" spans="1:7">
      <c r="A484" s="6">
        <v>42909</v>
      </c>
      <c r="B484" s="3" t="s">
        <v>3494</v>
      </c>
      <c r="C484" s="3" t="s">
        <v>21</v>
      </c>
      <c r="D484" s="8" t="str">
        <f>HYPERLINK("http://npthd.inbcu.com/ViewContent.aspx?filename=NPMR_NBC_2017-06-23_E.MP4$10175$10325","COMMERCIAL")</f>
        <v>COMMERCIAL</v>
      </c>
      <c r="E484" s="3" t="s">
        <v>28</v>
      </c>
      <c r="F484" s="3" t="s">
        <v>3851</v>
      </c>
      <c r="G484" s="3" t="s">
        <v>3852</v>
      </c>
    </row>
    <row r="485" spans="1:7">
      <c r="A485" s="6">
        <v>42909</v>
      </c>
      <c r="B485" s="3" t="s">
        <v>3494</v>
      </c>
      <c r="C485" s="3" t="s">
        <v>32</v>
      </c>
      <c r="D485" s="8" t="str">
        <f>HYPERLINK("http://npthd.inbcu.com/ViewContent.aspx?filename=NPMR_NBC_2017-06-23_E.MP4$10325$10340","LOCAL")</f>
        <v>LOCAL</v>
      </c>
      <c r="E485" s="3" t="s">
        <v>30</v>
      </c>
      <c r="F485" s="3" t="s">
        <v>3852</v>
      </c>
      <c r="G485" s="3" t="s">
        <v>3853</v>
      </c>
    </row>
    <row r="486" spans="1:7">
      <c r="A486" s="6">
        <v>42909</v>
      </c>
      <c r="B486" s="3" t="s">
        <v>3494</v>
      </c>
      <c r="C486" s="3" t="s">
        <v>14</v>
      </c>
      <c r="D486" s="8" t="str">
        <f>HYPERLINK("http://npthd.inbcu.com/ViewContent.aspx?filename=NPMR_NBC_2017-06-23_E.MP4$10340$10356","Dateline NBC")</f>
        <v>Dateline NBC</v>
      </c>
      <c r="E486" s="3" t="s">
        <v>64</v>
      </c>
      <c r="F486" s="3" t="s">
        <v>3853</v>
      </c>
      <c r="G486" s="3" t="s">
        <v>3854</v>
      </c>
    </row>
    <row r="487" spans="1:7">
      <c r="A487" s="6">
        <v>42909</v>
      </c>
      <c r="B487" s="3" t="s">
        <v>3494</v>
      </c>
      <c r="C487" s="3" t="s">
        <v>14</v>
      </c>
      <c r="D487" s="8" t="str">
        <f>HYPERLINK("http://npthd.inbcu.com/ViewContent.aspx?filename=NPMR_NBC_2017-06-23_E.MP4$10356$10371","Sunday Night with Megyn Kelly")</f>
        <v>Sunday Night with Megyn Kelly</v>
      </c>
      <c r="E487" s="3" t="s">
        <v>30</v>
      </c>
      <c r="F487" s="3" t="s">
        <v>3854</v>
      </c>
      <c r="G487" s="3" t="s">
        <v>935</v>
      </c>
    </row>
    <row r="488" spans="1:7">
      <c r="A488" s="6">
        <v>42909</v>
      </c>
      <c r="B488" s="3" t="s">
        <v>3494</v>
      </c>
      <c r="C488" s="3" t="s">
        <v>18</v>
      </c>
      <c r="D488" s="8" t="str">
        <f>HYPERLINK("http://npthd.inbcu.com/ViewContent.aspx?filename=NPMR_NBC_2017-06-23_E.MP4$10371$10871","DATELINE NBC: fr2640")</f>
        <v>DATELINE NBC: fr2640</v>
      </c>
      <c r="E488" s="3" t="s">
        <v>889</v>
      </c>
      <c r="F488" s="3" t="s">
        <v>935</v>
      </c>
      <c r="G488" s="3" t="s">
        <v>3605</v>
      </c>
    </row>
    <row r="489" spans="1:7">
      <c r="A489" s="6">
        <v>42909</v>
      </c>
      <c r="B489" s="3" t="s">
        <v>3494</v>
      </c>
      <c r="C489" s="3" t="s">
        <v>32</v>
      </c>
      <c r="D489" s="8" t="str">
        <f>HYPERLINK("http://npthd.inbcu.com/ViewContent.aspx?filename=NPMR_NBC_2017-06-23_E.MP4$10871$10900","LOCAL")</f>
        <v>LOCAL</v>
      </c>
      <c r="E489" s="3" t="s">
        <v>24</v>
      </c>
      <c r="F489" s="3" t="s">
        <v>3605</v>
      </c>
      <c r="G489" s="3" t="s">
        <v>124</v>
      </c>
    </row>
    <row r="490" spans="1:7">
      <c r="A490" s="6">
        <v>42910</v>
      </c>
      <c r="B490" s="3" t="s">
        <v>3494</v>
      </c>
      <c r="C490" s="3" t="s">
        <v>18</v>
      </c>
      <c r="D490" s="8" t="str">
        <f>HYPERLINK("http://npthd.inbcu.com/ViewContent.aspx?filename=NPMR_NBC_2017-06-24_E.MP4$85$812","NBC SPORTS: nitro circus")</f>
        <v>NBC SPORTS: nitro circus</v>
      </c>
      <c r="E490" s="3" t="s">
        <v>3855</v>
      </c>
      <c r="F490" s="3" t="s">
        <v>16</v>
      </c>
      <c r="G490" s="3" t="s">
        <v>3856</v>
      </c>
    </row>
    <row r="491" spans="1:7">
      <c r="A491" s="6">
        <v>42910</v>
      </c>
      <c r="B491" s="3" t="s">
        <v>3494</v>
      </c>
      <c r="C491" s="3" t="s">
        <v>21</v>
      </c>
      <c r="D491" s="8" t="str">
        <f>HYPERLINK("http://npthd.inbcu.com/ViewContent.aspx?filename=NPMR_NBC_2017-06-24_E.MP4$812$963","COMMERCIAL")</f>
        <v>COMMERCIAL</v>
      </c>
      <c r="E491" s="3" t="s">
        <v>91</v>
      </c>
      <c r="F491" s="3" t="s">
        <v>3856</v>
      </c>
      <c r="G491" s="3" t="s">
        <v>3857</v>
      </c>
    </row>
    <row r="492" spans="1:7">
      <c r="A492" s="6">
        <v>42910</v>
      </c>
      <c r="B492" s="3" t="s">
        <v>3494</v>
      </c>
      <c r="C492" s="3" t="s">
        <v>14</v>
      </c>
      <c r="D492" s="8" t="str">
        <f>HYPERLINK("http://npthd.inbcu.com/ViewContent.aspx?filename=NPMR_NBC_2017-06-24_E.MP4$963$978","Daytona 500")</f>
        <v>Daytona 500</v>
      </c>
      <c r="E492" s="3" t="s">
        <v>30</v>
      </c>
      <c r="F492" s="3" t="s">
        <v>3857</v>
      </c>
      <c r="G492" s="3" t="s">
        <v>344</v>
      </c>
    </row>
    <row r="493" spans="1:7">
      <c r="A493" s="6">
        <v>42910</v>
      </c>
      <c r="B493" s="3" t="s">
        <v>3494</v>
      </c>
      <c r="C493" s="3" t="s">
        <v>18</v>
      </c>
      <c r="D493" s="8" t="str">
        <f>HYPERLINK("http://npthd.inbcu.com/ViewContent.aspx?filename=NPMR_NBC_2017-06-24_E.MP4$978$1597","NBC SPORTS: nitro circus")</f>
        <v>NBC SPORTS: nitro circus</v>
      </c>
      <c r="E493" s="3" t="s">
        <v>3858</v>
      </c>
      <c r="F493" s="3" t="s">
        <v>344</v>
      </c>
      <c r="G493" s="3" t="s">
        <v>34</v>
      </c>
    </row>
    <row r="494" spans="1:7">
      <c r="A494" s="6">
        <v>42910</v>
      </c>
      <c r="B494" s="3" t="s">
        <v>3494</v>
      </c>
      <c r="C494" s="3" t="s">
        <v>21</v>
      </c>
      <c r="D494" s="8" t="str">
        <f>HYPERLINK("http://npthd.inbcu.com/ViewContent.aspx?filename=NPMR_NBC_2017-06-24_E.MP4$1597$1747","COMMERCIAL")</f>
        <v>COMMERCIAL</v>
      </c>
      <c r="E494" s="3" t="s">
        <v>28</v>
      </c>
      <c r="F494" s="3" t="s">
        <v>34</v>
      </c>
      <c r="G494" s="3" t="s">
        <v>2456</v>
      </c>
    </row>
    <row r="495" spans="1:7">
      <c r="A495" s="6">
        <v>42910</v>
      </c>
      <c r="B495" s="3" t="s">
        <v>3494</v>
      </c>
      <c r="C495" s="3" t="s">
        <v>14</v>
      </c>
      <c r="D495" s="8" t="str">
        <f>HYPERLINK("http://npthd.inbcu.com/ViewContent.aspx?filename=NPMR_NBC_2017-06-24_E.MP4$1747$1757","NFL Network")</f>
        <v>NFL Network</v>
      </c>
      <c r="E495" s="3" t="s">
        <v>197</v>
      </c>
      <c r="F495" s="3" t="s">
        <v>2456</v>
      </c>
      <c r="G495" s="3" t="s">
        <v>1947</v>
      </c>
    </row>
    <row r="496" spans="1:7">
      <c r="A496" s="6">
        <v>42910</v>
      </c>
      <c r="B496" s="3" t="s">
        <v>3494</v>
      </c>
      <c r="C496" s="3" t="s">
        <v>14</v>
      </c>
      <c r="D496" s="8" t="str">
        <f>HYPERLINK("http://npthd.inbcu.com/ViewContent.aspx?filename=NPMR_NBC_2017-06-24_E.MP4$1757$1762","American Ninja Warrior")</f>
        <v>American Ninja Warrior</v>
      </c>
      <c r="E496" s="3" t="s">
        <v>54</v>
      </c>
      <c r="F496" s="3" t="s">
        <v>1947</v>
      </c>
      <c r="G496" s="3" t="s">
        <v>3859</v>
      </c>
    </row>
    <row r="497" spans="1:7">
      <c r="A497" s="6">
        <v>42910</v>
      </c>
      <c r="B497" s="3" t="s">
        <v>3494</v>
      </c>
      <c r="C497" s="3" t="s">
        <v>18</v>
      </c>
      <c r="D497" s="8" t="str">
        <f>HYPERLINK("http://npthd.inbcu.com/ViewContent.aspx?filename=NPMR_NBC_2017-06-24_E.MP4$1762$2333","NBC SPORTS: nitro circus")</f>
        <v>NBC SPORTS: nitro circus</v>
      </c>
      <c r="E497" s="3" t="s">
        <v>3585</v>
      </c>
      <c r="F497" s="3" t="s">
        <v>3859</v>
      </c>
      <c r="G497" s="3" t="s">
        <v>3860</v>
      </c>
    </row>
    <row r="498" spans="1:7">
      <c r="A498" s="6">
        <v>42910</v>
      </c>
      <c r="B498" s="3" t="s">
        <v>3494</v>
      </c>
      <c r="C498" s="3" t="s">
        <v>32</v>
      </c>
      <c r="D498" s="8" t="str">
        <f>HYPERLINK("http://npthd.inbcu.com/ViewContent.aspx?filename=NPMR_NBC_2017-06-24_E.MP4$2333$2494","LOCAL")</f>
        <v>LOCAL</v>
      </c>
      <c r="E498" s="3" t="s">
        <v>2409</v>
      </c>
      <c r="F498" s="3" t="s">
        <v>3860</v>
      </c>
      <c r="G498" s="3" t="s">
        <v>3861</v>
      </c>
    </row>
    <row r="499" spans="1:7">
      <c r="A499" s="6">
        <v>42910</v>
      </c>
      <c r="B499" s="3" t="s">
        <v>3494</v>
      </c>
      <c r="C499" s="3" t="s">
        <v>14</v>
      </c>
      <c r="D499" s="8" t="str">
        <f>HYPERLINK("http://npthd.inbcu.com/ViewContent.aspx?filename=NPMR_NBC_2017-06-24_E.MP4$2494$2499","Olympics")</f>
        <v>Olympics</v>
      </c>
      <c r="E499" s="3" t="s">
        <v>54</v>
      </c>
      <c r="F499" s="3" t="s">
        <v>3861</v>
      </c>
      <c r="G499" s="3" t="s">
        <v>3862</v>
      </c>
    </row>
    <row r="500" spans="1:7">
      <c r="A500" s="6">
        <v>42910</v>
      </c>
      <c r="B500" s="3" t="s">
        <v>3494</v>
      </c>
      <c r="C500" s="3" t="s">
        <v>18</v>
      </c>
      <c r="D500" s="8" t="str">
        <f>HYPERLINK("http://npthd.inbcu.com/ViewContent.aspx?filename=NPMR_NBC_2017-06-24_E.MP4$2499$2997","NBC SPORTS: nitro circus")</f>
        <v>NBC SPORTS: nitro circus</v>
      </c>
      <c r="E500" s="3" t="s">
        <v>2405</v>
      </c>
      <c r="F500" s="3" t="s">
        <v>3862</v>
      </c>
      <c r="G500" s="3" t="s">
        <v>3863</v>
      </c>
    </row>
    <row r="501" spans="1:7">
      <c r="A501" s="6">
        <v>42910</v>
      </c>
      <c r="B501" s="3" t="s">
        <v>3494</v>
      </c>
      <c r="C501" s="3" t="s">
        <v>21</v>
      </c>
      <c r="D501" s="8" t="str">
        <f>HYPERLINK("http://npthd.inbcu.com/ViewContent.aspx?filename=NPMR_NBC_2017-06-24_E.MP4$2997$3117","COMMERCIAL")</f>
        <v>COMMERCIAL</v>
      </c>
      <c r="E501" s="3" t="s">
        <v>43</v>
      </c>
      <c r="F501" s="3" t="s">
        <v>3863</v>
      </c>
      <c r="G501" s="3" t="s">
        <v>3864</v>
      </c>
    </row>
    <row r="502" spans="1:7">
      <c r="A502" s="6">
        <v>42910</v>
      </c>
      <c r="B502" s="3" t="s">
        <v>3494</v>
      </c>
      <c r="C502" s="3" t="s">
        <v>14</v>
      </c>
      <c r="D502" s="8" t="str">
        <f>HYPERLINK("http://npthd.inbcu.com/ViewContent.aspx?filename=NPMR_NBC_2017-06-24_E.MP4$3117$3132","Despicable Me")</f>
        <v>Despicable Me</v>
      </c>
      <c r="E502" s="3" t="s">
        <v>30</v>
      </c>
      <c r="F502" s="3" t="s">
        <v>3864</v>
      </c>
      <c r="G502" s="3" t="s">
        <v>1418</v>
      </c>
    </row>
    <row r="503" spans="1:7">
      <c r="A503" s="6">
        <v>42910</v>
      </c>
      <c r="B503" s="3" t="s">
        <v>3494</v>
      </c>
      <c r="C503" s="3" t="s">
        <v>14</v>
      </c>
      <c r="D503" s="8" t="str">
        <f>HYPERLINK("http://npthd.inbcu.com/ViewContent.aspx?filename=NPMR_NBC_2017-06-24_E.MP4$3132$3147","Dew Tour")</f>
        <v>Dew Tour</v>
      </c>
      <c r="E503" s="3" t="s">
        <v>30</v>
      </c>
      <c r="F503" s="3" t="s">
        <v>1418</v>
      </c>
      <c r="G503" s="3" t="s">
        <v>3865</v>
      </c>
    </row>
    <row r="504" spans="1:7">
      <c r="A504" s="6">
        <v>42910</v>
      </c>
      <c r="B504" s="3" t="s">
        <v>3494</v>
      </c>
      <c r="C504" s="3" t="s">
        <v>18</v>
      </c>
      <c r="D504" s="8" t="str">
        <f>HYPERLINK("http://npthd.inbcu.com/ViewContent.aspx?filename=NPMR_NBC_2017-06-24_E.MP4$3147$3621","NBC SPORTS: nitro circus")</f>
        <v>NBC SPORTS: nitro circus</v>
      </c>
      <c r="E504" s="3" t="s">
        <v>1843</v>
      </c>
      <c r="F504" s="3" t="s">
        <v>3865</v>
      </c>
      <c r="G504" s="3" t="s">
        <v>3866</v>
      </c>
    </row>
    <row r="505" spans="1:7">
      <c r="A505" s="6">
        <v>42910</v>
      </c>
      <c r="B505" s="3" t="s">
        <v>3494</v>
      </c>
      <c r="C505" s="3" t="s">
        <v>21</v>
      </c>
      <c r="D505" s="8" t="str">
        <f>HYPERLINK("http://npthd.inbcu.com/ViewContent.aspx?filename=NPMR_NBC_2017-06-24_E.MP4$3621$3741","COMMERCIAL")</f>
        <v>COMMERCIAL</v>
      </c>
      <c r="E505" s="3" t="s">
        <v>43</v>
      </c>
      <c r="F505" s="3" t="s">
        <v>3866</v>
      </c>
      <c r="G505" s="3" t="s">
        <v>3867</v>
      </c>
    </row>
    <row r="506" spans="1:7">
      <c r="A506" s="6">
        <v>42910</v>
      </c>
      <c r="B506" s="3" t="s">
        <v>3494</v>
      </c>
      <c r="C506" s="3" t="s">
        <v>14</v>
      </c>
      <c r="D506" s="8" t="str">
        <f>HYPERLINK("http://npthd.inbcu.com/ViewContent.aspx?filename=NPMR_NBC_2017-06-24_E.MP4$3741$3756","American Ninja Warrior")</f>
        <v>American Ninja Warrior</v>
      </c>
      <c r="E506" s="3" t="s">
        <v>30</v>
      </c>
      <c r="F506" s="3" t="s">
        <v>3867</v>
      </c>
      <c r="G506" s="3" t="s">
        <v>3868</v>
      </c>
    </row>
    <row r="507" spans="1:7">
      <c r="A507" s="6">
        <v>42910</v>
      </c>
      <c r="B507" s="3" t="s">
        <v>3494</v>
      </c>
      <c r="C507" s="3" t="s">
        <v>14</v>
      </c>
      <c r="D507" s="8" t="str">
        <f>HYPERLINK("http://npthd.inbcu.com/ViewContent.aspx?filename=NPMR_NBC_2017-06-24_E.MP4$3756$3771","Open, The (Golf + NBC)")</f>
        <v>Open, The (Golf + NBC)</v>
      </c>
      <c r="E507" s="3" t="s">
        <v>30</v>
      </c>
      <c r="F507" s="3" t="s">
        <v>3868</v>
      </c>
      <c r="G507" s="3" t="s">
        <v>3869</v>
      </c>
    </row>
    <row r="508" spans="1:7">
      <c r="A508" s="6">
        <v>42910</v>
      </c>
      <c r="B508" s="3" t="s">
        <v>3494</v>
      </c>
      <c r="C508" s="3" t="s">
        <v>18</v>
      </c>
      <c r="D508" s="8" t="str">
        <f>HYPERLINK("http://npthd.inbcu.com/ViewContent.aspx?filename=NPMR_NBC_2017-06-24_E.MP4$3771$4304","NBC SPORTS: nitro circus")</f>
        <v>NBC SPORTS: nitro circus</v>
      </c>
      <c r="E508" s="3" t="s">
        <v>2369</v>
      </c>
      <c r="F508" s="3" t="s">
        <v>3869</v>
      </c>
      <c r="G508" s="3" t="s">
        <v>3870</v>
      </c>
    </row>
    <row r="509" spans="1:7">
      <c r="A509" s="6">
        <v>42910</v>
      </c>
      <c r="B509" s="3" t="s">
        <v>3494</v>
      </c>
      <c r="C509" s="3" t="s">
        <v>21</v>
      </c>
      <c r="D509" s="8" t="str">
        <f>HYPERLINK("http://npthd.inbcu.com/ViewContent.aspx?filename=NPMR_NBC_2017-06-24_E.MP4$4304$4364","COMMERCIAL")</f>
        <v>COMMERCIAL</v>
      </c>
      <c r="E509" s="3" t="s">
        <v>66</v>
      </c>
      <c r="F509" s="3" t="s">
        <v>3870</v>
      </c>
      <c r="G509" s="3" t="s">
        <v>3871</v>
      </c>
    </row>
    <row r="510" spans="1:7">
      <c r="A510" s="6">
        <v>42910</v>
      </c>
      <c r="B510" s="3" t="s">
        <v>3494</v>
      </c>
      <c r="C510" s="3" t="s">
        <v>14</v>
      </c>
      <c r="D510" s="8" t="str">
        <f>HYPERLINK("http://npthd.inbcu.com/ViewContent.aspx?filename=NPMR_NBC_2017-06-24_E.MP4$4364$4369","Olympic Channel")</f>
        <v>Olympic Channel</v>
      </c>
      <c r="E510" s="3" t="s">
        <v>54</v>
      </c>
      <c r="F510" s="3" t="s">
        <v>3871</v>
      </c>
      <c r="G510" s="3" t="s">
        <v>3872</v>
      </c>
    </row>
    <row r="511" spans="1:7">
      <c r="A511" s="6">
        <v>42910</v>
      </c>
      <c r="B511" s="3" t="s">
        <v>3494</v>
      </c>
      <c r="C511" s="3" t="s">
        <v>32</v>
      </c>
      <c r="D511" s="8" t="str">
        <f>HYPERLINK("http://npthd.inbcu.com/ViewContent.aspx?filename=NPMR_NBC_2017-06-24_E.MP4$4369$4491","LOCAL")</f>
        <v>LOCAL</v>
      </c>
      <c r="E511" s="3" t="s">
        <v>252</v>
      </c>
      <c r="F511" s="3" t="s">
        <v>3872</v>
      </c>
      <c r="G511" s="3" t="s">
        <v>883</v>
      </c>
    </row>
    <row r="512" spans="1:7">
      <c r="A512" s="6">
        <v>42910</v>
      </c>
      <c r="B512" s="3" t="s">
        <v>3494</v>
      </c>
      <c r="C512" s="3" t="s">
        <v>14</v>
      </c>
      <c r="D512" s="8" t="str">
        <f>HYPERLINK("http://npthd.inbcu.com/ViewContent.aspx?filename=NPMR_NBC_2017-06-24_E.MP4$4491$4496","Olympics")</f>
        <v>Olympics</v>
      </c>
      <c r="E512" s="3" t="s">
        <v>54</v>
      </c>
      <c r="F512" s="3" t="s">
        <v>883</v>
      </c>
      <c r="G512" s="3" t="s">
        <v>1064</v>
      </c>
    </row>
    <row r="513" spans="1:7">
      <c r="A513" s="6">
        <v>42910</v>
      </c>
      <c r="B513" s="3" t="s">
        <v>3494</v>
      </c>
      <c r="C513" s="3" t="s">
        <v>18</v>
      </c>
      <c r="D513" s="8" t="str">
        <f>HYPERLINK("http://npthd.inbcu.com/ViewContent.aspx?filename=NPMR_NBC_2017-06-24_E.MP4$4496$4736","NBC SPORTS: nitro circus")</f>
        <v>NBC SPORTS: nitro circus</v>
      </c>
      <c r="E513" s="3" t="s">
        <v>3095</v>
      </c>
      <c r="F513" s="3" t="s">
        <v>1064</v>
      </c>
      <c r="G513" s="3" t="s">
        <v>3873</v>
      </c>
    </row>
    <row r="514" spans="1:7">
      <c r="A514" s="6">
        <v>42910</v>
      </c>
      <c r="B514" s="3" t="s">
        <v>3494</v>
      </c>
      <c r="C514" s="3" t="s">
        <v>21</v>
      </c>
      <c r="D514" s="8" t="str">
        <f>HYPERLINK("http://npthd.inbcu.com/ViewContent.aspx?filename=NPMR_NBC_2017-06-24_E.MP4$4736$4857","COMMERCIAL")</f>
        <v>COMMERCIAL</v>
      </c>
      <c r="E514" s="3" t="s">
        <v>175</v>
      </c>
      <c r="F514" s="3" t="s">
        <v>3873</v>
      </c>
      <c r="G514" s="3" t="s">
        <v>62</v>
      </c>
    </row>
    <row r="515" spans="1:7">
      <c r="A515" s="6">
        <v>42910</v>
      </c>
      <c r="B515" s="3" t="s">
        <v>3494</v>
      </c>
      <c r="C515" s="3" t="s">
        <v>14</v>
      </c>
      <c r="D515" s="8" t="str">
        <f>HYPERLINK("http://npthd.inbcu.com/ViewContent.aspx?filename=NPMR_NBC_2017-06-24_E.MP4$4857$4887","Tour de France")</f>
        <v>Tour de France</v>
      </c>
      <c r="E515" s="3" t="s">
        <v>38</v>
      </c>
      <c r="F515" s="3" t="s">
        <v>62</v>
      </c>
      <c r="G515" s="3" t="s">
        <v>3874</v>
      </c>
    </row>
    <row r="516" spans="1:7">
      <c r="A516" s="6">
        <v>42910</v>
      </c>
      <c r="B516" s="3" t="s">
        <v>3494</v>
      </c>
      <c r="C516" s="3" t="s">
        <v>18</v>
      </c>
      <c r="D516" s="8" t="str">
        <f>HYPERLINK("http://npthd.inbcu.com/ViewContent.aspx?filename=NPMR_NBC_2017-06-24_E.MP4$4887$5095","NBC SPORTS: nitro circus")</f>
        <v>NBC SPORTS: nitro circus</v>
      </c>
      <c r="E516" s="3" t="s">
        <v>3875</v>
      </c>
      <c r="F516" s="3" t="s">
        <v>3874</v>
      </c>
      <c r="G516" s="3" t="s">
        <v>886</v>
      </c>
    </row>
    <row r="517" spans="1:7">
      <c r="A517" s="6">
        <v>42910</v>
      </c>
      <c r="B517" s="3" t="s">
        <v>3494</v>
      </c>
      <c r="C517" s="3" t="s">
        <v>21</v>
      </c>
      <c r="D517" s="8" t="str">
        <f>HYPERLINK("http://npthd.inbcu.com/ViewContent.aspx?filename=NPMR_NBC_2017-06-24_E.MP4$5095$5126","COMMERCIAL")</f>
        <v>COMMERCIAL</v>
      </c>
      <c r="E517" s="3" t="s">
        <v>98</v>
      </c>
      <c r="F517" s="3" t="s">
        <v>886</v>
      </c>
      <c r="G517" s="3" t="s">
        <v>3876</v>
      </c>
    </row>
    <row r="518" spans="1:7">
      <c r="A518" s="6">
        <v>42910</v>
      </c>
      <c r="B518" s="3" t="s">
        <v>3494</v>
      </c>
      <c r="C518" s="3" t="s">
        <v>14</v>
      </c>
      <c r="D518" s="8" t="str">
        <f>HYPERLINK("http://npthd.inbcu.com/ViewContent.aspx?filename=NPMR_NBC_2017-06-24_E.MP4$5126$5131","Midnight Texas")</f>
        <v>Midnight Texas</v>
      </c>
      <c r="E518" s="3" t="s">
        <v>54</v>
      </c>
      <c r="F518" s="3" t="s">
        <v>3876</v>
      </c>
      <c r="G518" s="3" t="s">
        <v>3877</v>
      </c>
    </row>
    <row r="519" spans="1:7">
      <c r="A519" s="6">
        <v>42910</v>
      </c>
      <c r="B519" s="3" t="s">
        <v>3494</v>
      </c>
      <c r="C519" s="3" t="s">
        <v>32</v>
      </c>
      <c r="D519" s="8" t="str">
        <f>HYPERLINK("http://npthd.inbcu.com/ViewContent.aspx?filename=NPMR_NBC_2017-06-24_E.MP4$5131$5257","LOCAL")</f>
        <v>LOCAL</v>
      </c>
      <c r="E519" s="3" t="s">
        <v>2828</v>
      </c>
      <c r="F519" s="3" t="s">
        <v>3877</v>
      </c>
      <c r="G519" s="3" t="s">
        <v>3878</v>
      </c>
    </row>
    <row r="520" spans="1:7">
      <c r="A520" s="6">
        <v>42910</v>
      </c>
      <c r="B520" s="3" t="s">
        <v>3494</v>
      </c>
      <c r="C520" s="3" t="s">
        <v>18</v>
      </c>
      <c r="D520" s="8" t="str">
        <f>HYPERLINK("http://npthd.inbcu.com/ViewContent.aspx?filename=NPMR_NBC_2017-06-24_E.MP4$5257$5444","NBC SPORTS: nitro circus")</f>
        <v>NBC SPORTS: nitro circus</v>
      </c>
      <c r="E520" s="3" t="s">
        <v>1933</v>
      </c>
      <c r="F520" s="3" t="s">
        <v>3878</v>
      </c>
      <c r="G520" s="3" t="s">
        <v>3879</v>
      </c>
    </row>
    <row r="521" spans="1:7">
      <c r="A521" s="6">
        <v>42910</v>
      </c>
      <c r="B521" s="3" t="s">
        <v>3494</v>
      </c>
      <c r="C521" s="3" t="s">
        <v>21</v>
      </c>
      <c r="D521" s="8" t="str">
        <f>HYPERLINK("http://npthd.inbcu.com/ViewContent.aspx?filename=NPMR_NBC_2017-06-24_E.MP4$5444$5564","COMMERCIAL")</f>
        <v>COMMERCIAL</v>
      </c>
      <c r="E521" s="3" t="s">
        <v>43</v>
      </c>
      <c r="F521" s="3" t="s">
        <v>3879</v>
      </c>
      <c r="G521" s="3" t="s">
        <v>3880</v>
      </c>
    </row>
    <row r="522" spans="1:7">
      <c r="A522" s="6">
        <v>42910</v>
      </c>
      <c r="B522" s="3" t="s">
        <v>3494</v>
      </c>
      <c r="C522" s="3" t="s">
        <v>14</v>
      </c>
      <c r="D522" s="8" t="str">
        <f>HYPERLINK("http://npthd.inbcu.com/ViewContent.aspx?filename=NPMR_NBC_2017-06-24_E.MP4$5564$5594","Daytona 500")</f>
        <v>Daytona 500</v>
      </c>
      <c r="E522" s="3" t="s">
        <v>38</v>
      </c>
      <c r="F522" s="3" t="s">
        <v>3880</v>
      </c>
      <c r="G522" s="3" t="s">
        <v>3881</v>
      </c>
    </row>
    <row r="523" spans="1:7">
      <c r="A523" s="6">
        <v>42910</v>
      </c>
      <c r="B523" s="3" t="s">
        <v>3494</v>
      </c>
      <c r="C523" s="3" t="s">
        <v>18</v>
      </c>
      <c r="D523" s="8" t="str">
        <f>HYPERLINK("http://npthd.inbcu.com/ViewContent.aspx?filename=NPMR_NBC_2017-06-24_E.MP4$5594$5800","NBC SPORTS: nitro circus")</f>
        <v>NBC SPORTS: nitro circus</v>
      </c>
      <c r="E523" s="3" t="s">
        <v>2702</v>
      </c>
      <c r="F523" s="3" t="s">
        <v>3881</v>
      </c>
      <c r="G523" s="3" t="s">
        <v>2206</v>
      </c>
    </row>
    <row r="524" spans="1:7">
      <c r="A524" s="6">
        <v>42910</v>
      </c>
      <c r="B524" s="3" t="s">
        <v>3494</v>
      </c>
      <c r="C524" s="3" t="s">
        <v>21</v>
      </c>
      <c r="D524" s="8" t="str">
        <f>HYPERLINK("http://npthd.inbcu.com/ViewContent.aspx?filename=NPMR_NBC_2017-06-24_E.MP4$5800$5950","COMMERCIAL")</f>
        <v>COMMERCIAL</v>
      </c>
      <c r="E524" s="3" t="s">
        <v>28</v>
      </c>
      <c r="F524" s="3" t="s">
        <v>2206</v>
      </c>
      <c r="G524" s="3" t="s">
        <v>1648</v>
      </c>
    </row>
    <row r="525" spans="1:7">
      <c r="A525" s="6">
        <v>42910</v>
      </c>
      <c r="B525" s="3" t="s">
        <v>3494</v>
      </c>
      <c r="C525" s="3" t="s">
        <v>14</v>
      </c>
      <c r="D525" s="8" t="str">
        <f>HYPERLINK("http://npthd.inbcu.com/ViewContent.aspx?filename=NPMR_NBC_2017-06-24_E.MP4$5950$5965","American Ninja Warrior")</f>
        <v>American Ninja Warrior</v>
      </c>
      <c r="E525" s="3" t="s">
        <v>30</v>
      </c>
      <c r="F525" s="3" t="s">
        <v>1648</v>
      </c>
      <c r="G525" s="3" t="s">
        <v>3882</v>
      </c>
    </row>
    <row r="526" spans="1:7">
      <c r="A526" s="6">
        <v>42910</v>
      </c>
      <c r="B526" s="3" t="s">
        <v>3494</v>
      </c>
      <c r="C526" s="3" t="s">
        <v>32</v>
      </c>
      <c r="D526" s="8" t="str">
        <f>HYPERLINK("http://npthd.inbcu.com/ViewContent.aspx?filename=NPMR_NBC_2017-06-24_E.MP4$5965$5980","LOCAL")</f>
        <v>LOCAL</v>
      </c>
      <c r="E526" s="3" t="s">
        <v>30</v>
      </c>
      <c r="F526" s="3" t="s">
        <v>3882</v>
      </c>
      <c r="G526" s="3" t="s">
        <v>3142</v>
      </c>
    </row>
    <row r="527" spans="1:7">
      <c r="A527" s="6">
        <v>42910</v>
      </c>
      <c r="B527" s="3" t="s">
        <v>3494</v>
      </c>
      <c r="C527" s="3" t="s">
        <v>18</v>
      </c>
      <c r="D527" s="8" t="str">
        <f>HYPERLINK("http://npthd.inbcu.com/ViewContent.aspx?filename=NPMR_NBC_2017-06-24_E.MP4$5980$6536","NBC SPORTS: nitro circus")</f>
        <v>NBC SPORTS: nitro circus</v>
      </c>
      <c r="E527" s="3" t="s">
        <v>1585</v>
      </c>
      <c r="F527" s="3" t="s">
        <v>3142</v>
      </c>
      <c r="G527" s="3" t="s">
        <v>2642</v>
      </c>
    </row>
    <row r="528" spans="1:7">
      <c r="A528" s="6">
        <v>42910</v>
      </c>
      <c r="B528" s="3" t="s">
        <v>3494</v>
      </c>
      <c r="C528" s="3" t="s">
        <v>21</v>
      </c>
      <c r="D528" s="8" t="str">
        <f>HYPERLINK("http://npthd.inbcu.com/ViewContent.aspx?filename=NPMR_NBC_2017-06-24_E.MP4$6536$6656","COMMERCIAL")</f>
        <v>COMMERCIAL</v>
      </c>
      <c r="E528" s="3" t="s">
        <v>43</v>
      </c>
      <c r="F528" s="3" t="s">
        <v>2642</v>
      </c>
      <c r="G528" s="3" t="s">
        <v>3883</v>
      </c>
    </row>
    <row r="529" spans="1:7">
      <c r="A529" s="6">
        <v>42910</v>
      </c>
      <c r="B529" s="3" t="s">
        <v>3494</v>
      </c>
      <c r="C529" s="3" t="s">
        <v>14</v>
      </c>
      <c r="D529" s="8" t="str">
        <f>HYPERLINK("http://npthd.inbcu.com/ViewContent.aspx?filename=NPMR_NBC_2017-06-24_E.MP4$6656$6671","NFL Network")</f>
        <v>NFL Network</v>
      </c>
      <c r="E529" s="3" t="s">
        <v>30</v>
      </c>
      <c r="F529" s="3" t="s">
        <v>3883</v>
      </c>
      <c r="G529" s="3" t="s">
        <v>3884</v>
      </c>
    </row>
    <row r="530" spans="1:7">
      <c r="A530" s="6">
        <v>42910</v>
      </c>
      <c r="B530" s="3" t="s">
        <v>3494</v>
      </c>
      <c r="C530" s="3" t="s">
        <v>18</v>
      </c>
      <c r="D530" s="8" t="str">
        <f>HYPERLINK("http://npthd.inbcu.com/ViewContent.aspx?filename=NPMR_NBC_2017-06-24_E.MP4$6671$7270","NBC SPORTS: nitro circus")</f>
        <v>NBC SPORTS: nitro circus</v>
      </c>
      <c r="E530" s="3" t="s">
        <v>1395</v>
      </c>
      <c r="F530" s="3" t="s">
        <v>3884</v>
      </c>
      <c r="G530" s="3" t="s">
        <v>3885</v>
      </c>
    </row>
    <row r="531" spans="1:7">
      <c r="A531" s="6">
        <v>42910</v>
      </c>
      <c r="B531" s="3" t="s">
        <v>3494</v>
      </c>
      <c r="C531" s="3" t="s">
        <v>14</v>
      </c>
      <c r="D531" s="8" t="str">
        <f>HYPERLINK("http://npthd.inbcu.com/ViewContent.aspx?filename=NPMR_NBC_2017-06-24_E.MP4$7270$7275","Spartan Race")</f>
        <v>Spartan Race</v>
      </c>
      <c r="E531" s="3" t="s">
        <v>54</v>
      </c>
      <c r="F531" s="3" t="s">
        <v>3885</v>
      </c>
      <c r="G531" s="3" t="s">
        <v>3097</v>
      </c>
    </row>
    <row r="532" spans="1:7">
      <c r="A532" s="6">
        <v>42910</v>
      </c>
      <c r="B532" s="3" t="s">
        <v>3494</v>
      </c>
      <c r="C532" s="3" t="s">
        <v>32</v>
      </c>
      <c r="D532" s="8" t="str">
        <f>HYPERLINK("http://npthd.inbcu.com/ViewContent.aspx?filename=NPMR_NBC_2017-06-24_E.MP4$7275$7397","LOCAL")</f>
        <v>LOCAL</v>
      </c>
      <c r="E532" s="3" t="s">
        <v>252</v>
      </c>
      <c r="F532" s="3" t="s">
        <v>3097</v>
      </c>
      <c r="G532" s="3" t="s">
        <v>3886</v>
      </c>
    </row>
    <row r="533" spans="1:7">
      <c r="A533" s="6">
        <v>42910</v>
      </c>
      <c r="B533" s="3" t="s">
        <v>3494</v>
      </c>
      <c r="C533" s="3" t="s">
        <v>18</v>
      </c>
      <c r="D533" s="8" t="str">
        <f>HYPERLINK("http://npthd.inbcu.com/ViewContent.aspx?filename=NPMR_NBC_2017-06-24_E.MP4$7397$7786","NBC SPORTS: nitro circus")</f>
        <v>NBC SPORTS: nitro circus</v>
      </c>
      <c r="E533" s="3" t="s">
        <v>867</v>
      </c>
      <c r="F533" s="3" t="s">
        <v>3886</v>
      </c>
      <c r="G533" s="3" t="s">
        <v>3887</v>
      </c>
    </row>
    <row r="534" spans="1:7">
      <c r="A534" s="6">
        <v>42910</v>
      </c>
      <c r="B534" s="3" t="s">
        <v>3494</v>
      </c>
      <c r="C534" s="3" t="s">
        <v>21</v>
      </c>
      <c r="D534" s="8" t="str">
        <f>HYPERLINK("http://npthd.inbcu.com/ViewContent.aspx?filename=NPMR_NBC_2017-06-24_E.MP4$7786$7906","COMMERCIAL")</f>
        <v>COMMERCIAL</v>
      </c>
      <c r="E534" s="3" t="s">
        <v>43</v>
      </c>
      <c r="F534" s="3" t="s">
        <v>3887</v>
      </c>
      <c r="G534" s="3" t="s">
        <v>2594</v>
      </c>
    </row>
    <row r="535" spans="1:7">
      <c r="A535" s="6">
        <v>42910</v>
      </c>
      <c r="B535" s="3" t="s">
        <v>3494</v>
      </c>
      <c r="C535" s="3" t="s">
        <v>14</v>
      </c>
      <c r="D535" s="8" t="str">
        <f>HYPERLINK("http://npthd.inbcu.com/ViewContent.aspx?filename=NPMR_NBC_2017-06-24_E.MP4$7906$7921","Dew Tour")</f>
        <v>Dew Tour</v>
      </c>
      <c r="E535" s="3" t="s">
        <v>30</v>
      </c>
      <c r="F535" s="3" t="s">
        <v>2594</v>
      </c>
      <c r="G535" s="3" t="s">
        <v>1159</v>
      </c>
    </row>
    <row r="536" spans="1:7">
      <c r="A536" s="6">
        <v>42910</v>
      </c>
      <c r="B536" s="3" t="s">
        <v>3494</v>
      </c>
      <c r="C536" s="3" t="s">
        <v>18</v>
      </c>
      <c r="D536" s="8" t="str">
        <f>HYPERLINK("http://npthd.inbcu.com/ViewContent.aspx?filename=NPMR_NBC_2017-06-24_E.MP4$7921$8383","NBC SPORTS: nitro circus")</f>
        <v>NBC SPORTS: nitro circus</v>
      </c>
      <c r="E536" s="3" t="s">
        <v>1526</v>
      </c>
      <c r="F536" s="3" t="s">
        <v>1159</v>
      </c>
      <c r="G536" s="3" t="s">
        <v>3888</v>
      </c>
    </row>
    <row r="537" spans="1:7">
      <c r="A537" s="6">
        <v>42910</v>
      </c>
      <c r="B537" s="3" t="s">
        <v>3494</v>
      </c>
      <c r="C537" s="3" t="s">
        <v>32</v>
      </c>
      <c r="D537" s="8" t="str">
        <f>HYPERLINK("http://npthd.inbcu.com/ViewContent.aspx?filename=NPMR_NBC_2017-06-24_E.MP4$8383$8536","LOCAL")</f>
        <v>LOCAL</v>
      </c>
      <c r="E537" s="3" t="s">
        <v>1735</v>
      </c>
      <c r="F537" s="3" t="s">
        <v>3888</v>
      </c>
      <c r="G537" s="3" t="s">
        <v>3592</v>
      </c>
    </row>
    <row r="538" spans="1:7">
      <c r="A538" s="6">
        <v>42910</v>
      </c>
      <c r="B538" s="3" t="s">
        <v>3494</v>
      </c>
      <c r="C538" s="3" t="s">
        <v>18</v>
      </c>
      <c r="D538" s="8" t="str">
        <f>HYPERLINK("http://npthd.inbcu.com/ViewContent.aspx?filename=NPMR_NBC_2017-06-24_E.MP4$8536$8807","NBC SPORTS: nitro circus")</f>
        <v>NBC SPORTS: nitro circus</v>
      </c>
      <c r="E538" s="3" t="s">
        <v>994</v>
      </c>
      <c r="F538" s="3" t="s">
        <v>3592</v>
      </c>
      <c r="G538" s="3" t="s">
        <v>3889</v>
      </c>
    </row>
    <row r="539" spans="1:7">
      <c r="A539" s="6">
        <v>42910</v>
      </c>
      <c r="B539" s="3" t="s">
        <v>3494</v>
      </c>
      <c r="C539" s="3" t="s">
        <v>21</v>
      </c>
      <c r="D539" s="8" t="str">
        <f>HYPERLINK("http://npthd.inbcu.com/ViewContent.aspx?filename=NPMR_NBC_2017-06-24_E.MP4$8807$8927","COMMERCIAL")</f>
        <v>COMMERCIAL</v>
      </c>
      <c r="E539" s="3" t="s">
        <v>43</v>
      </c>
      <c r="F539" s="3" t="s">
        <v>3889</v>
      </c>
      <c r="G539" s="3" t="s">
        <v>3890</v>
      </c>
    </row>
    <row r="540" spans="1:7">
      <c r="A540" s="6">
        <v>42910</v>
      </c>
      <c r="B540" s="3" t="s">
        <v>3494</v>
      </c>
      <c r="C540" s="3" t="s">
        <v>14</v>
      </c>
      <c r="D540" s="8" t="str">
        <f>HYPERLINK("http://npthd.inbcu.com/ViewContent.aspx?filename=NPMR_NBC_2017-06-24_E.MP4$8927$8942","Tour de France")</f>
        <v>Tour de France</v>
      </c>
      <c r="E540" s="3" t="s">
        <v>30</v>
      </c>
      <c r="F540" s="3" t="s">
        <v>3890</v>
      </c>
      <c r="G540" s="3" t="s">
        <v>3891</v>
      </c>
    </row>
    <row r="541" spans="1:7">
      <c r="A541" s="6">
        <v>42910</v>
      </c>
      <c r="B541" s="3" t="s">
        <v>3494</v>
      </c>
      <c r="C541" s="3" t="s">
        <v>18</v>
      </c>
      <c r="D541" s="8" t="str">
        <f>HYPERLINK("http://npthd.inbcu.com/ViewContent.aspx?filename=NPMR_NBC_2017-06-24_E.MP4$8942$9196","NBC SPORTS: nitro circus")</f>
        <v>NBC SPORTS: nitro circus</v>
      </c>
      <c r="E541" s="3" t="s">
        <v>3528</v>
      </c>
      <c r="F541" s="3" t="s">
        <v>3891</v>
      </c>
      <c r="G541" s="3" t="s">
        <v>2734</v>
      </c>
    </row>
    <row r="542" spans="1:7">
      <c r="A542" s="6">
        <v>42910</v>
      </c>
      <c r="B542" s="3" t="s">
        <v>3494</v>
      </c>
      <c r="C542" s="3" t="s">
        <v>14</v>
      </c>
      <c r="D542" s="8" t="str">
        <f>HYPERLINK("http://npthd.inbcu.com/ViewContent.aspx?filename=NPMR_NBC_2017-06-24_E.MP4$9196$9201","Olympics")</f>
        <v>Olympics</v>
      </c>
      <c r="E542" s="3" t="s">
        <v>54</v>
      </c>
      <c r="F542" s="3" t="s">
        <v>2734</v>
      </c>
      <c r="G542" s="3" t="s">
        <v>3892</v>
      </c>
    </row>
    <row r="543" spans="1:7">
      <c r="A543" s="6">
        <v>42910</v>
      </c>
      <c r="B543" s="3" t="s">
        <v>3494</v>
      </c>
      <c r="C543" s="3" t="s">
        <v>32</v>
      </c>
      <c r="D543" s="8" t="str">
        <f>HYPERLINK("http://npthd.inbcu.com/ViewContent.aspx?filename=NPMR_NBC_2017-06-24_E.MP4$9201$9368","LOCAL")</f>
        <v>LOCAL</v>
      </c>
      <c r="E543" s="3" t="s">
        <v>1217</v>
      </c>
      <c r="F543" s="3" t="s">
        <v>3892</v>
      </c>
      <c r="G543" s="3" t="s">
        <v>3893</v>
      </c>
    </row>
    <row r="544" spans="1:7">
      <c r="A544" s="6">
        <v>42910</v>
      </c>
      <c r="B544" s="3" t="s">
        <v>3494</v>
      </c>
      <c r="C544" s="3" t="s">
        <v>18</v>
      </c>
      <c r="D544" s="8" t="str">
        <f>HYPERLINK("http://npthd.inbcu.com/ViewContent.aspx?filename=NPMR_NBC_2017-06-24_E.MP4$9368$9542","NBC SPORTS: nitro circus")</f>
        <v>NBC SPORTS: nitro circus</v>
      </c>
      <c r="E544" s="3" t="s">
        <v>410</v>
      </c>
      <c r="F544" s="3" t="s">
        <v>3893</v>
      </c>
      <c r="G544" s="3" t="s">
        <v>923</v>
      </c>
    </row>
    <row r="545" spans="1:7">
      <c r="A545" s="6">
        <v>42910</v>
      </c>
      <c r="B545" s="3" t="s">
        <v>3494</v>
      </c>
      <c r="C545" s="3" t="s">
        <v>21</v>
      </c>
      <c r="D545" s="8" t="str">
        <f>HYPERLINK("http://npthd.inbcu.com/ViewContent.aspx?filename=NPMR_NBC_2017-06-24_E.MP4$9542$9662","COMMERCIAL")</f>
        <v>COMMERCIAL</v>
      </c>
      <c r="E545" s="3" t="s">
        <v>43</v>
      </c>
      <c r="F545" s="3" t="s">
        <v>923</v>
      </c>
      <c r="G545" s="3" t="s">
        <v>3894</v>
      </c>
    </row>
    <row r="546" spans="1:7">
      <c r="A546" s="6">
        <v>42910</v>
      </c>
      <c r="B546" s="3" t="s">
        <v>3494</v>
      </c>
      <c r="C546" s="3" t="s">
        <v>14</v>
      </c>
      <c r="D546" s="8" t="str">
        <f>HYPERLINK("http://npthd.inbcu.com/ViewContent.aspx?filename=NPMR_NBC_2017-06-24_E.MP4$9662$9677","Americas Got Talent")</f>
        <v>Americas Got Talent</v>
      </c>
      <c r="E546" s="3" t="s">
        <v>30</v>
      </c>
      <c r="F546" s="3" t="s">
        <v>3894</v>
      </c>
      <c r="G546" s="3" t="s">
        <v>3895</v>
      </c>
    </row>
    <row r="547" spans="1:7">
      <c r="A547" s="6">
        <v>42910</v>
      </c>
      <c r="B547" s="3" t="s">
        <v>3494</v>
      </c>
      <c r="C547" s="3" t="s">
        <v>18</v>
      </c>
      <c r="D547" s="8" t="str">
        <f>HYPERLINK("http://npthd.inbcu.com/ViewContent.aspx?filename=NPMR_NBC_2017-06-24_E.MP4$9677$10071","NBC SPORTS: nitro circus")</f>
        <v>NBC SPORTS: nitro circus</v>
      </c>
      <c r="E547" s="3" t="s">
        <v>2662</v>
      </c>
      <c r="F547" s="3" t="s">
        <v>3895</v>
      </c>
      <c r="G547" s="3" t="s">
        <v>2947</v>
      </c>
    </row>
    <row r="548" spans="1:7">
      <c r="A548" s="6">
        <v>42910</v>
      </c>
      <c r="B548" s="3" t="s">
        <v>3494</v>
      </c>
      <c r="C548" s="3" t="s">
        <v>21</v>
      </c>
      <c r="D548" s="8" t="str">
        <f>HYPERLINK("http://npthd.inbcu.com/ViewContent.aspx?filename=NPMR_NBC_2017-06-24_E.MP4$10071$10162","COMMERCIAL")</f>
        <v>COMMERCIAL</v>
      </c>
      <c r="E548" s="3" t="s">
        <v>77</v>
      </c>
      <c r="F548" s="3" t="s">
        <v>2947</v>
      </c>
      <c r="G548" s="3" t="s">
        <v>3896</v>
      </c>
    </row>
    <row r="549" spans="1:7">
      <c r="A549" s="6">
        <v>42910</v>
      </c>
      <c r="B549" s="3" t="s">
        <v>3494</v>
      </c>
      <c r="C549" s="3" t="s">
        <v>14</v>
      </c>
      <c r="D549" s="8" t="str">
        <f>HYPERLINK("http://npthd.inbcu.com/ViewContent.aspx?filename=NPMR_NBC_2017-06-24_E.MP4$10162$10192","NASCAR")</f>
        <v>NASCAR</v>
      </c>
      <c r="E549" s="3" t="s">
        <v>38</v>
      </c>
      <c r="F549" s="3" t="s">
        <v>3896</v>
      </c>
      <c r="G549" s="3" t="s">
        <v>304</v>
      </c>
    </row>
    <row r="550" spans="1:7">
      <c r="A550" s="6">
        <v>42910</v>
      </c>
      <c r="B550" s="3" t="s">
        <v>3494</v>
      </c>
      <c r="C550" s="3" t="s">
        <v>18</v>
      </c>
      <c r="D550" s="8" t="str">
        <f>HYPERLINK("http://npthd.inbcu.com/ViewContent.aspx?filename=NPMR_NBC_2017-06-24_E.MP4$10192$10855","NBC SPORTS: nitro circus")</f>
        <v>NBC SPORTS: nitro circus</v>
      </c>
      <c r="E550" s="3" t="s">
        <v>3897</v>
      </c>
      <c r="F550" s="3" t="s">
        <v>304</v>
      </c>
      <c r="G550" s="3" t="s">
        <v>3554</v>
      </c>
    </row>
    <row r="551" spans="1:7">
      <c r="A551" s="6">
        <v>42910</v>
      </c>
      <c r="B551" s="3" t="s">
        <v>3494</v>
      </c>
      <c r="C551" s="3" t="s">
        <v>32</v>
      </c>
      <c r="D551" s="8" t="str">
        <f>HYPERLINK("http://npthd.inbcu.com/ViewContent.aspx?filename=NPMR_NBC_2017-06-24_E.MP4$10855$10885","LOCAL")</f>
        <v>LOCAL</v>
      </c>
      <c r="E551" s="3" t="s">
        <v>38</v>
      </c>
      <c r="F551" s="3" t="s">
        <v>3554</v>
      </c>
      <c r="G551" s="3" t="s">
        <v>124</v>
      </c>
    </row>
    <row r="552" spans="1:7">
      <c r="A552" s="6">
        <v>42911</v>
      </c>
      <c r="B552" s="3" t="s">
        <v>3494</v>
      </c>
      <c r="C552" s="3" t="s">
        <v>18</v>
      </c>
      <c r="D552" s="8" t="str">
        <f>HYPERLINK("http://npthd.inbcu.com/ViewContent.aspx?filename=NPMR_NBC_2017-06-25_E.MP4$95$1079","SUNDAY NIGHT WITH MEGYN KELLY: mgn104")</f>
        <v>SUNDAY NIGHT WITH MEGYN KELLY: mgn104</v>
      </c>
      <c r="E552" s="3" t="s">
        <v>3898</v>
      </c>
      <c r="F552" s="3" t="s">
        <v>311</v>
      </c>
      <c r="G552" s="3" t="s">
        <v>3899</v>
      </c>
    </row>
    <row r="553" spans="1:7">
      <c r="A553" s="6">
        <v>42911</v>
      </c>
      <c r="B553" s="3" t="s">
        <v>3494</v>
      </c>
      <c r="C553" s="3" t="s">
        <v>21</v>
      </c>
      <c r="D553" s="8" t="str">
        <f>HYPERLINK("http://npthd.inbcu.com/ViewContent.aspx?filename=NPMR_NBC_2017-06-25_E.MP4$1079$1169","COMMERCIAL")</f>
        <v>COMMERCIAL</v>
      </c>
      <c r="E553" s="3" t="s">
        <v>46</v>
      </c>
      <c r="F553" s="3" t="s">
        <v>3899</v>
      </c>
      <c r="G553" s="3" t="s">
        <v>3900</v>
      </c>
    </row>
    <row r="554" spans="1:7">
      <c r="A554" s="6">
        <v>42911</v>
      </c>
      <c r="B554" s="3" t="s">
        <v>3494</v>
      </c>
      <c r="C554" s="3" t="s">
        <v>14</v>
      </c>
      <c r="D554" s="8" t="str">
        <f>HYPERLINK("http://npthd.inbcu.com/ViewContent.aspx?filename=NPMR_NBC_2017-06-25_E.MP4$1169$1184","NBC Nightly News")</f>
        <v>NBC Nightly News</v>
      </c>
      <c r="E554" s="3" t="s">
        <v>30</v>
      </c>
      <c r="F554" s="3" t="s">
        <v>3900</v>
      </c>
      <c r="G554" s="3" t="s">
        <v>3901</v>
      </c>
    </row>
    <row r="555" spans="1:7">
      <c r="A555" s="6">
        <v>42911</v>
      </c>
      <c r="B555" s="3" t="s">
        <v>3494</v>
      </c>
      <c r="C555" s="3" t="s">
        <v>32</v>
      </c>
      <c r="D555" s="8" t="str">
        <f>HYPERLINK("http://npthd.inbcu.com/ViewContent.aspx?filename=NPMR_NBC_2017-06-25_E.MP4$1184$1278","LOCAL")</f>
        <v>LOCAL</v>
      </c>
      <c r="E555" s="3" t="s">
        <v>1917</v>
      </c>
      <c r="F555" s="3" t="s">
        <v>3901</v>
      </c>
      <c r="G555" s="3" t="s">
        <v>3902</v>
      </c>
    </row>
    <row r="556" spans="1:7">
      <c r="A556" s="6">
        <v>42911</v>
      </c>
      <c r="B556" s="3" t="s">
        <v>3494</v>
      </c>
      <c r="C556" s="3" t="s">
        <v>14</v>
      </c>
      <c r="D556" s="8" t="str">
        <f>HYPERLINK("http://npthd.inbcu.com/ViewContent.aspx?filename=NPMR_NBC_2017-06-25_E.MP4$1278$1293","Today")</f>
        <v>Today</v>
      </c>
      <c r="E556" s="3" t="s">
        <v>30</v>
      </c>
      <c r="F556" s="3" t="s">
        <v>3902</v>
      </c>
      <c r="G556" s="3" t="s">
        <v>319</v>
      </c>
    </row>
    <row r="557" spans="1:7">
      <c r="A557" s="6">
        <v>42911</v>
      </c>
      <c r="B557" s="3" t="s">
        <v>3494</v>
      </c>
      <c r="C557" s="3" t="s">
        <v>14</v>
      </c>
      <c r="D557" s="8" t="str">
        <f>HYPERLINK("http://npthd.inbcu.com/ViewContent.aspx?filename=NPMR_NBC_2017-06-25_E.MP4$1293$1323","NBC Thursday")</f>
        <v>NBC Thursday</v>
      </c>
      <c r="E557" s="3" t="s">
        <v>38</v>
      </c>
      <c r="F557" s="3" t="s">
        <v>319</v>
      </c>
      <c r="G557" s="3" t="s">
        <v>3903</v>
      </c>
    </row>
    <row r="558" spans="1:7">
      <c r="A558" s="6">
        <v>42911</v>
      </c>
      <c r="B558" s="3" t="s">
        <v>3494</v>
      </c>
      <c r="C558" s="3" t="s">
        <v>18</v>
      </c>
      <c r="D558" s="8" t="str">
        <f>HYPERLINK("http://npthd.inbcu.com/ViewContent.aspx?filename=NPMR_NBC_2017-06-25_E.MP4$1323$1945","SUNDAY NIGHT WITH MEGYN KELLY: mgn104")</f>
        <v>SUNDAY NIGHT WITH MEGYN KELLY: mgn104</v>
      </c>
      <c r="E558" s="3" t="s">
        <v>3904</v>
      </c>
      <c r="F558" s="3" t="s">
        <v>3903</v>
      </c>
      <c r="G558" s="3" t="s">
        <v>3905</v>
      </c>
    </row>
    <row r="559" spans="1:7">
      <c r="A559" s="6">
        <v>42911</v>
      </c>
      <c r="B559" s="3" t="s">
        <v>3494</v>
      </c>
      <c r="C559" s="3" t="s">
        <v>21</v>
      </c>
      <c r="D559" s="8" t="str">
        <f>HYPERLINK("http://npthd.inbcu.com/ViewContent.aspx?filename=NPMR_NBC_2017-06-25_E.MP4$1945$2095","COMMERCIAL")</f>
        <v>COMMERCIAL</v>
      </c>
      <c r="E559" s="3" t="s">
        <v>28</v>
      </c>
      <c r="F559" s="3" t="s">
        <v>3905</v>
      </c>
      <c r="G559" s="3" t="s">
        <v>3906</v>
      </c>
    </row>
    <row r="560" spans="1:7">
      <c r="A560" s="6">
        <v>42911</v>
      </c>
      <c r="B560" s="3" t="s">
        <v>3494</v>
      </c>
      <c r="C560" s="3" t="s">
        <v>14</v>
      </c>
      <c r="D560" s="8" t="str">
        <f>HYPERLINK("http://npthd.inbcu.com/ViewContent.aspx?filename=NPMR_NBC_2017-06-25_E.MP4$2095$2110","Americas Got Talent")</f>
        <v>Americas Got Talent</v>
      </c>
      <c r="E560" s="3" t="s">
        <v>30</v>
      </c>
      <c r="F560" s="3" t="s">
        <v>3906</v>
      </c>
      <c r="G560" s="3" t="s">
        <v>3907</v>
      </c>
    </row>
    <row r="561" spans="1:7">
      <c r="A561" s="6">
        <v>42911</v>
      </c>
      <c r="B561" s="3" t="s">
        <v>3494</v>
      </c>
      <c r="C561" s="3" t="s">
        <v>14</v>
      </c>
      <c r="D561" s="8" t="str">
        <f>HYPERLINK("http://npthd.inbcu.com/ViewContent.aspx?filename=NPMR_NBC_2017-06-25_E.MP4$2110$2140","World of Dance")</f>
        <v>World of Dance</v>
      </c>
      <c r="E561" s="3" t="s">
        <v>38</v>
      </c>
      <c r="F561" s="3" t="s">
        <v>3907</v>
      </c>
      <c r="G561" s="3" t="s">
        <v>3908</v>
      </c>
    </row>
    <row r="562" spans="1:7">
      <c r="A562" s="6">
        <v>42911</v>
      </c>
      <c r="B562" s="3" t="s">
        <v>3494</v>
      </c>
      <c r="C562" s="3" t="s">
        <v>18</v>
      </c>
      <c r="D562" s="8" t="str">
        <f>HYPERLINK("http://npthd.inbcu.com/ViewContent.aspx?filename=NPMR_NBC_2017-06-25_E.MP4$2140$2983","SUNDAY NIGHT WITH MEGYN KELLY: mgn104")</f>
        <v>SUNDAY NIGHT WITH MEGYN KELLY: mgn104</v>
      </c>
      <c r="E562" s="3" t="s">
        <v>2248</v>
      </c>
      <c r="F562" s="3" t="s">
        <v>3908</v>
      </c>
      <c r="G562" s="3" t="s">
        <v>3909</v>
      </c>
    </row>
    <row r="563" spans="1:7">
      <c r="A563" s="6">
        <v>42911</v>
      </c>
      <c r="B563" s="3" t="s">
        <v>3494</v>
      </c>
      <c r="C563" s="3" t="s">
        <v>21</v>
      </c>
      <c r="D563" s="8" t="str">
        <f>HYPERLINK("http://npthd.inbcu.com/ViewContent.aspx?filename=NPMR_NBC_2017-06-25_E.MP4$2983$3058","COMMERCIAL")</f>
        <v>COMMERCIAL</v>
      </c>
      <c r="E563" s="3" t="s">
        <v>531</v>
      </c>
      <c r="F563" s="3" t="s">
        <v>3909</v>
      </c>
      <c r="G563" s="3" t="s">
        <v>3910</v>
      </c>
    </row>
    <row r="564" spans="1:7">
      <c r="A564" s="6">
        <v>42911</v>
      </c>
      <c r="B564" s="3" t="s">
        <v>3494</v>
      </c>
      <c r="C564" s="3" t="s">
        <v>14</v>
      </c>
      <c r="D564" s="8" t="str">
        <f>HYPERLINK("http://npthd.inbcu.com/ViewContent.aspx?filename=NPMR_NBC_2017-06-25_E.MP4$3058$3063","Little Big Shots: Forever Young")</f>
        <v>Little Big Shots: Forever Young</v>
      </c>
      <c r="E564" s="3" t="s">
        <v>54</v>
      </c>
      <c r="F564" s="3" t="s">
        <v>3910</v>
      </c>
      <c r="G564" s="3" t="s">
        <v>3911</v>
      </c>
    </row>
    <row r="565" spans="1:7">
      <c r="A565" s="6">
        <v>42911</v>
      </c>
      <c r="B565" s="3" t="s">
        <v>3494</v>
      </c>
      <c r="C565" s="3" t="s">
        <v>32</v>
      </c>
      <c r="D565" s="8" t="str">
        <f>HYPERLINK("http://npthd.inbcu.com/ViewContent.aspx?filename=NPMR_NBC_2017-06-25_E.MP4$3063$3183","LOCAL")</f>
        <v>LOCAL</v>
      </c>
      <c r="E565" s="3" t="s">
        <v>43</v>
      </c>
      <c r="F565" s="3" t="s">
        <v>3911</v>
      </c>
      <c r="G565" s="3" t="s">
        <v>3912</v>
      </c>
    </row>
    <row r="566" spans="1:7">
      <c r="A566" s="6">
        <v>42911</v>
      </c>
      <c r="B566" s="3" t="s">
        <v>3494</v>
      </c>
      <c r="C566" s="3" t="s">
        <v>14</v>
      </c>
      <c r="D566" s="8" t="str">
        <f>HYPERLINK("http://npthd.inbcu.com/ViewContent.aspx?filename=NPMR_NBC_2017-06-25_E.MP4$3183$3198","Dateline NBC")</f>
        <v>Dateline NBC</v>
      </c>
      <c r="E566" s="3" t="s">
        <v>30</v>
      </c>
      <c r="F566" s="3" t="s">
        <v>3912</v>
      </c>
      <c r="G566" s="3" t="s">
        <v>3913</v>
      </c>
    </row>
    <row r="567" spans="1:7">
      <c r="A567" s="6">
        <v>42911</v>
      </c>
      <c r="B567" s="3" t="s">
        <v>3494</v>
      </c>
      <c r="C567" s="3" t="s">
        <v>18</v>
      </c>
      <c r="D567" s="8" t="str">
        <f>HYPERLINK("http://npthd.inbcu.com/ViewContent.aspx?filename=NPMR_NBC_2017-06-25_E.MP4$3198$3348","SUNDAY NIGHT WITH MEGYN KELLY: mgn104")</f>
        <v>SUNDAY NIGHT WITH MEGYN KELLY: mgn104</v>
      </c>
      <c r="E567" s="3" t="s">
        <v>28</v>
      </c>
      <c r="F567" s="3" t="s">
        <v>3913</v>
      </c>
      <c r="G567" s="3" t="s">
        <v>3914</v>
      </c>
    </row>
    <row r="568" spans="1:7">
      <c r="A568" s="6">
        <v>42911</v>
      </c>
      <c r="B568" s="3" t="s">
        <v>3494</v>
      </c>
      <c r="C568" s="3" t="s">
        <v>21</v>
      </c>
      <c r="D568" s="8" t="str">
        <f>HYPERLINK("http://npthd.inbcu.com/ViewContent.aspx?filename=NPMR_NBC_2017-06-25_E.MP4$3348$3558","COMMERCIAL")</f>
        <v>COMMERCIAL</v>
      </c>
      <c r="E568" s="3" t="s">
        <v>150</v>
      </c>
      <c r="F568" s="3" t="s">
        <v>3914</v>
      </c>
      <c r="G568" s="3" t="s">
        <v>3915</v>
      </c>
    </row>
    <row r="569" spans="1:7">
      <c r="A569" s="6">
        <v>42911</v>
      </c>
      <c r="B569" s="3" t="s">
        <v>3494</v>
      </c>
      <c r="C569" s="3" t="s">
        <v>14</v>
      </c>
      <c r="D569" s="8" t="str">
        <f>HYPERLINK("http://npthd.inbcu.com/ViewContent.aspx?filename=NPMR_NBC_2017-06-25_E.MP4$3558$3573","Despicable Me")</f>
        <v>Despicable Me</v>
      </c>
      <c r="E569" s="3" t="s">
        <v>30</v>
      </c>
      <c r="F569" s="3" t="s">
        <v>3915</v>
      </c>
      <c r="G569" s="3" t="s">
        <v>3916</v>
      </c>
    </row>
    <row r="570" spans="1:7">
      <c r="A570" s="6">
        <v>42911</v>
      </c>
      <c r="B570" s="3" t="s">
        <v>3494</v>
      </c>
      <c r="C570" s="3" t="s">
        <v>18</v>
      </c>
      <c r="D570" s="8" t="str">
        <f>HYPERLINK("http://npthd.inbcu.com/ViewContent.aspx?filename=NPMR_NBC_2017-06-25_E.MP4$3573$3695","SUNDAY NIGHT WITH MEGYN KELLY: mgn104")</f>
        <v>SUNDAY NIGHT WITH MEGYN KELLY: mgn104</v>
      </c>
      <c r="E570" s="3" t="s">
        <v>252</v>
      </c>
      <c r="F570" s="3" t="s">
        <v>3916</v>
      </c>
      <c r="G570" s="3" t="s">
        <v>16</v>
      </c>
    </row>
    <row r="571" spans="1:7">
      <c r="A571" s="6">
        <v>42911</v>
      </c>
      <c r="B571" s="3" t="s">
        <v>3494</v>
      </c>
      <c r="C571" s="3" t="s">
        <v>18</v>
      </c>
      <c r="D571" s="8" t="str">
        <f>HYPERLINK("http://npthd.inbcu.com/ViewContent.aspx?filename=NPMR_NBC_2017-06-25_E.MP4$3695$4340","DESPICABLE ME:")</f>
        <v>DESPICABLE ME:</v>
      </c>
      <c r="E571" s="3" t="s">
        <v>2534</v>
      </c>
      <c r="F571" s="3" t="s">
        <v>16</v>
      </c>
      <c r="G571" s="3" t="s">
        <v>1109</v>
      </c>
    </row>
    <row r="572" spans="1:7">
      <c r="A572" s="6">
        <v>42911</v>
      </c>
      <c r="B572" s="3" t="s">
        <v>3494</v>
      </c>
      <c r="C572" s="3" t="s">
        <v>21</v>
      </c>
      <c r="D572" s="8" t="str">
        <f>HYPERLINK("http://npthd.inbcu.com/ViewContent.aspx?filename=NPMR_NBC_2017-06-25_E.MP4$4340$4495","COMMERCIAL")</f>
        <v>COMMERCIAL</v>
      </c>
      <c r="E572" s="3" t="s">
        <v>1029</v>
      </c>
      <c r="F572" s="3" t="s">
        <v>1109</v>
      </c>
      <c r="G572" s="3" t="s">
        <v>3917</v>
      </c>
    </row>
    <row r="573" spans="1:7">
      <c r="A573" s="6">
        <v>42911</v>
      </c>
      <c r="B573" s="3" t="s">
        <v>3494</v>
      </c>
      <c r="C573" s="3" t="s">
        <v>21</v>
      </c>
      <c r="D573" s="8" t="str">
        <f>HYPERLINK("http://npthd.inbcu.com/ViewContent.aspx?filename=NPMR_NBC_2017-06-25_E.MP4$4495$4540","COMMERCIAL")</f>
        <v>COMMERCIAL</v>
      </c>
      <c r="E573" s="3" t="s">
        <v>1143</v>
      </c>
      <c r="F573" s="3" t="s">
        <v>3917</v>
      </c>
      <c r="G573" s="3" t="s">
        <v>129</v>
      </c>
    </row>
    <row r="574" spans="1:7">
      <c r="A574" s="6">
        <v>42911</v>
      </c>
      <c r="B574" s="3" t="s">
        <v>3494</v>
      </c>
      <c r="C574" s="3" t="s">
        <v>14</v>
      </c>
      <c r="D574" s="8" t="str">
        <f>HYPERLINK("http://npthd.inbcu.com/ViewContent.aspx?filename=NPMR_NBC_2017-06-25_E.MP4$4540$4570","ANW / Spartan Race")</f>
        <v>ANW / Spartan Race</v>
      </c>
      <c r="E574" s="3" t="s">
        <v>38</v>
      </c>
      <c r="F574" s="3" t="s">
        <v>129</v>
      </c>
      <c r="G574" s="3" t="s">
        <v>130</v>
      </c>
    </row>
    <row r="575" spans="1:7">
      <c r="A575" s="6">
        <v>42911</v>
      </c>
      <c r="B575" s="3" t="s">
        <v>3494</v>
      </c>
      <c r="C575" s="3" t="s">
        <v>18</v>
      </c>
      <c r="D575" s="8" t="str">
        <f>HYPERLINK("http://npthd.inbcu.com/ViewContent.aspx?filename=NPMR_NBC_2017-06-25_E.MP4$4570$4941","DESPICABLE ME:")</f>
        <v>DESPICABLE ME:</v>
      </c>
      <c r="E575" s="3" t="s">
        <v>1967</v>
      </c>
      <c r="F575" s="3" t="s">
        <v>130</v>
      </c>
      <c r="G575" s="3" t="s">
        <v>3918</v>
      </c>
    </row>
    <row r="576" spans="1:7">
      <c r="A576" s="6">
        <v>42911</v>
      </c>
      <c r="B576" s="3" t="s">
        <v>3494</v>
      </c>
      <c r="C576" s="3" t="s">
        <v>21</v>
      </c>
      <c r="D576" s="8" t="str">
        <f>HYPERLINK("http://npthd.inbcu.com/ViewContent.aspx?filename=NPMR_NBC_2017-06-25_E.MP4$4941$5061","COMMERCIAL")</f>
        <v>COMMERCIAL</v>
      </c>
      <c r="E576" s="3" t="s">
        <v>43</v>
      </c>
      <c r="F576" s="3" t="s">
        <v>3918</v>
      </c>
      <c r="G576" s="3" t="s">
        <v>2565</v>
      </c>
    </row>
    <row r="577" spans="1:7">
      <c r="A577" s="6">
        <v>42911</v>
      </c>
      <c r="B577" s="3" t="s">
        <v>3494</v>
      </c>
      <c r="C577" s="3" t="s">
        <v>14</v>
      </c>
      <c r="D577" s="8" t="str">
        <f>HYPERLINK("http://npthd.inbcu.com/ViewContent.aspx?filename=NPMR_NBC_2017-06-25_E.MP4$5061$5066","Despicable Me 3")</f>
        <v>Despicable Me 3</v>
      </c>
      <c r="E577" s="3" t="s">
        <v>54</v>
      </c>
      <c r="F577" s="3" t="s">
        <v>2565</v>
      </c>
      <c r="G577" s="3" t="s">
        <v>3919</v>
      </c>
    </row>
    <row r="578" spans="1:7">
      <c r="A578" s="6">
        <v>42911</v>
      </c>
      <c r="B578" s="3" t="s">
        <v>3494</v>
      </c>
      <c r="C578" s="3" t="s">
        <v>32</v>
      </c>
      <c r="D578" s="8" t="str">
        <f>HYPERLINK("http://npthd.inbcu.com/ViewContent.aspx?filename=NPMR_NBC_2017-06-25_E.MP4$5066$5160","LOCAL")</f>
        <v>LOCAL</v>
      </c>
      <c r="E578" s="3" t="s">
        <v>1917</v>
      </c>
      <c r="F578" s="3" t="s">
        <v>3919</v>
      </c>
      <c r="G578" s="3" t="s">
        <v>3920</v>
      </c>
    </row>
    <row r="579" spans="1:7">
      <c r="A579" s="6">
        <v>42911</v>
      </c>
      <c r="B579" s="3" t="s">
        <v>3494</v>
      </c>
      <c r="C579" s="3" t="s">
        <v>14</v>
      </c>
      <c r="D579" s="8" t="str">
        <f>HYPERLINK("http://npthd.inbcu.com/ViewContent.aspx?filename=NPMR_NBC_2017-06-25_E.MP4$5160$5175","Americas Got Talent")</f>
        <v>Americas Got Talent</v>
      </c>
      <c r="E579" s="3" t="s">
        <v>30</v>
      </c>
      <c r="F579" s="3" t="s">
        <v>3920</v>
      </c>
      <c r="G579" s="3" t="s">
        <v>3921</v>
      </c>
    </row>
    <row r="580" spans="1:7">
      <c r="A580" s="6">
        <v>42911</v>
      </c>
      <c r="B580" s="3" t="s">
        <v>3494</v>
      </c>
      <c r="C580" s="3" t="s">
        <v>18</v>
      </c>
      <c r="D580" s="8" t="str">
        <f>HYPERLINK("http://npthd.inbcu.com/ViewContent.aspx?filename=NPMR_NBC_2017-06-25_E.MP4$5175$5540","DESPICABLE ME:")</f>
        <v>DESPICABLE ME:</v>
      </c>
      <c r="E580" s="3" t="s">
        <v>1100</v>
      </c>
      <c r="F580" s="3" t="s">
        <v>3921</v>
      </c>
      <c r="G580" s="3" t="s">
        <v>3662</v>
      </c>
    </row>
    <row r="581" spans="1:7">
      <c r="A581" s="6">
        <v>42911</v>
      </c>
      <c r="B581" s="3" t="s">
        <v>3494</v>
      </c>
      <c r="C581" s="3" t="s">
        <v>14</v>
      </c>
      <c r="D581" s="8" t="str">
        <f>HYPERLINK("http://npthd.inbcu.com/ViewContent.aspx?filename=NPMR_NBC_2017-06-25_E.MP4$5540$5555","Hollywood Game Night")</f>
        <v>Hollywood Game Night</v>
      </c>
      <c r="E581" s="3" t="s">
        <v>30</v>
      </c>
      <c r="F581" s="3" t="s">
        <v>3662</v>
      </c>
      <c r="G581" s="3" t="s">
        <v>2514</v>
      </c>
    </row>
    <row r="582" spans="1:7">
      <c r="A582" s="6">
        <v>42911</v>
      </c>
      <c r="B582" s="3" t="s">
        <v>3494</v>
      </c>
      <c r="C582" s="3" t="s">
        <v>21</v>
      </c>
      <c r="D582" s="8" t="str">
        <f>HYPERLINK("http://npthd.inbcu.com/ViewContent.aspx?filename=NPMR_NBC_2017-06-25_E.MP4$5555$5735","COMMERCIAL")</f>
        <v>COMMERCIAL</v>
      </c>
      <c r="E582" s="3" t="s">
        <v>22</v>
      </c>
      <c r="F582" s="3" t="s">
        <v>2514</v>
      </c>
      <c r="G582" s="3" t="s">
        <v>3922</v>
      </c>
    </row>
    <row r="583" spans="1:7">
      <c r="A583" s="6">
        <v>42911</v>
      </c>
      <c r="B583" s="3" t="s">
        <v>3494</v>
      </c>
      <c r="C583" s="3" t="s">
        <v>14</v>
      </c>
      <c r="D583" s="8" t="str">
        <f>HYPERLINK("http://npthd.inbcu.com/ViewContent.aspx?filename=NPMR_NBC_2017-06-25_E.MP4$5735$5765","Xfinity")</f>
        <v>Xfinity</v>
      </c>
      <c r="E583" s="3" t="s">
        <v>38</v>
      </c>
      <c r="F583" s="3" t="s">
        <v>3922</v>
      </c>
      <c r="G583" s="3" t="s">
        <v>3923</v>
      </c>
    </row>
    <row r="584" spans="1:7">
      <c r="A584" s="6">
        <v>42911</v>
      </c>
      <c r="B584" s="3" t="s">
        <v>3494</v>
      </c>
      <c r="C584" s="3" t="s">
        <v>18</v>
      </c>
      <c r="D584" s="8" t="str">
        <f>HYPERLINK("http://npthd.inbcu.com/ViewContent.aspx?filename=NPMR_NBC_2017-06-25_E.MP4$5765$6230","DESPICABLE ME:")</f>
        <v>DESPICABLE ME:</v>
      </c>
      <c r="E584" s="3" t="s">
        <v>2844</v>
      </c>
      <c r="F584" s="3" t="s">
        <v>3923</v>
      </c>
      <c r="G584" s="3" t="s">
        <v>523</v>
      </c>
    </row>
    <row r="585" spans="1:7">
      <c r="A585" s="6">
        <v>42911</v>
      </c>
      <c r="B585" s="3" t="s">
        <v>3494</v>
      </c>
      <c r="C585" s="3" t="s">
        <v>21</v>
      </c>
      <c r="D585" s="8" t="str">
        <f>HYPERLINK("http://npthd.inbcu.com/ViewContent.aspx?filename=NPMR_NBC_2017-06-25_E.MP4$6230$6290","COMMERCIAL")</f>
        <v>COMMERCIAL</v>
      </c>
      <c r="E585" s="3" t="s">
        <v>66</v>
      </c>
      <c r="F585" s="3" t="s">
        <v>523</v>
      </c>
      <c r="G585" s="3" t="s">
        <v>3924</v>
      </c>
    </row>
    <row r="586" spans="1:7">
      <c r="A586" s="6">
        <v>42911</v>
      </c>
      <c r="B586" s="3" t="s">
        <v>3494</v>
      </c>
      <c r="C586" s="3" t="s">
        <v>14</v>
      </c>
      <c r="D586" s="8" t="str">
        <f>HYPERLINK("http://npthd.inbcu.com/ViewContent.aspx?filename=NPMR_NBC_2017-06-25_E.MP4$6290$6305","NFL Network")</f>
        <v>NFL Network</v>
      </c>
      <c r="E586" s="3" t="s">
        <v>30</v>
      </c>
      <c r="F586" s="3" t="s">
        <v>3924</v>
      </c>
      <c r="G586" s="3" t="s">
        <v>981</v>
      </c>
    </row>
    <row r="587" spans="1:7">
      <c r="A587" s="6">
        <v>42911</v>
      </c>
      <c r="B587" s="3" t="s">
        <v>3494</v>
      </c>
      <c r="C587" s="3" t="s">
        <v>14</v>
      </c>
      <c r="D587" s="8" t="str">
        <f>HYPERLINK("http://npthd.inbcu.com/ViewContent.aspx?filename=NPMR_NBC_2017-06-25_E.MP4$6305$6320","Hollywood Game Night")</f>
        <v>Hollywood Game Night</v>
      </c>
      <c r="E587" s="3" t="s">
        <v>30</v>
      </c>
      <c r="F587" s="3" t="s">
        <v>981</v>
      </c>
      <c r="G587" s="3" t="s">
        <v>3925</v>
      </c>
    </row>
    <row r="588" spans="1:7">
      <c r="A588" s="6">
        <v>42911</v>
      </c>
      <c r="B588" s="3" t="s">
        <v>3494</v>
      </c>
      <c r="C588" s="3" t="s">
        <v>32</v>
      </c>
      <c r="D588" s="8" t="str">
        <f>HYPERLINK("http://npthd.inbcu.com/ViewContent.aspx?filename=NPMR_NBC_2017-06-25_E.MP4$6320$6410","LOCAL")</f>
        <v>LOCAL</v>
      </c>
      <c r="E588" s="3" t="s">
        <v>46</v>
      </c>
      <c r="F588" s="3" t="s">
        <v>3925</v>
      </c>
      <c r="G588" s="3" t="s">
        <v>1779</v>
      </c>
    </row>
    <row r="589" spans="1:7">
      <c r="A589" s="6">
        <v>42911</v>
      </c>
      <c r="B589" s="3" t="s">
        <v>3494</v>
      </c>
      <c r="C589" s="3" t="s">
        <v>14</v>
      </c>
      <c r="D589" s="8" t="str">
        <f>HYPERLINK("http://npthd.inbcu.com/ViewContent.aspx?filename=NPMR_NBC_2017-06-25_E.MP4$6410$6440","Americas Got Talent")</f>
        <v>Americas Got Talent</v>
      </c>
      <c r="E589" s="3" t="s">
        <v>38</v>
      </c>
      <c r="F589" s="3" t="s">
        <v>1779</v>
      </c>
      <c r="G589" s="3" t="s">
        <v>3926</v>
      </c>
    </row>
    <row r="590" spans="1:7">
      <c r="A590" s="6">
        <v>42911</v>
      </c>
      <c r="B590" s="3" t="s">
        <v>3494</v>
      </c>
      <c r="C590" s="3" t="s">
        <v>18</v>
      </c>
      <c r="D590" s="8" t="str">
        <f>HYPERLINK("http://npthd.inbcu.com/ViewContent.aspx?filename=NPMR_NBC_2017-06-25_E.MP4$6440$6935","DESPICABLE ME:")</f>
        <v>DESPICABLE ME:</v>
      </c>
      <c r="E590" s="3" t="s">
        <v>1312</v>
      </c>
      <c r="F590" s="3" t="s">
        <v>3926</v>
      </c>
      <c r="G590" s="3" t="s">
        <v>3927</v>
      </c>
    </row>
    <row r="591" spans="1:7">
      <c r="A591" s="6">
        <v>42911</v>
      </c>
      <c r="B591" s="3" t="s">
        <v>3494</v>
      </c>
      <c r="C591" s="3" t="s">
        <v>21</v>
      </c>
      <c r="D591" s="8" t="str">
        <f>HYPERLINK("http://npthd.inbcu.com/ViewContent.aspx?filename=NPMR_NBC_2017-06-25_E.MP4$6935$7056","COMMERCIAL")</f>
        <v>COMMERCIAL</v>
      </c>
      <c r="E591" s="3" t="s">
        <v>175</v>
      </c>
      <c r="F591" s="3" t="s">
        <v>3927</v>
      </c>
      <c r="G591" s="3" t="s">
        <v>3775</v>
      </c>
    </row>
    <row r="592" spans="1:7">
      <c r="A592" s="6">
        <v>42911</v>
      </c>
      <c r="B592" s="3" t="s">
        <v>3494</v>
      </c>
      <c r="C592" s="3" t="s">
        <v>21</v>
      </c>
      <c r="D592" s="8" t="str">
        <f>HYPERLINK("http://npthd.inbcu.com/ViewContent.aspx?filename=NPMR_NBC_2017-06-25_E.MP4$7056$7176","COMMERCIAL")</f>
        <v>COMMERCIAL</v>
      </c>
      <c r="E592" s="3" t="s">
        <v>43</v>
      </c>
      <c r="F592" s="3" t="s">
        <v>3775</v>
      </c>
      <c r="G592" s="3" t="s">
        <v>3928</v>
      </c>
    </row>
    <row r="593" spans="1:7">
      <c r="A593" s="6">
        <v>42911</v>
      </c>
      <c r="B593" s="3" t="s">
        <v>3494</v>
      </c>
      <c r="C593" s="3" t="s">
        <v>18</v>
      </c>
      <c r="D593" s="8" t="str">
        <f>HYPERLINK("http://npthd.inbcu.com/ViewContent.aspx?filename=NPMR_NBC_2017-06-25_E.MP4$7176$7715","DESPICABLE ME:")</f>
        <v>DESPICABLE ME:</v>
      </c>
      <c r="E593" s="3" t="s">
        <v>1054</v>
      </c>
      <c r="F593" s="3" t="s">
        <v>3928</v>
      </c>
      <c r="G593" s="3" t="s">
        <v>3929</v>
      </c>
    </row>
    <row r="594" spans="1:7">
      <c r="A594" s="6">
        <v>42911</v>
      </c>
      <c r="B594" s="3" t="s">
        <v>3494</v>
      </c>
      <c r="C594" s="3" t="s">
        <v>21</v>
      </c>
      <c r="D594" s="8" t="str">
        <f>HYPERLINK("http://npthd.inbcu.com/ViewContent.aspx?filename=NPMR_NBC_2017-06-25_E.MP4$7715$7896","COMMERCIAL")</f>
        <v>COMMERCIAL</v>
      </c>
      <c r="E594" s="3" t="s">
        <v>108</v>
      </c>
      <c r="F594" s="3" t="s">
        <v>3929</v>
      </c>
      <c r="G594" s="3" t="s">
        <v>3930</v>
      </c>
    </row>
    <row r="595" spans="1:7">
      <c r="A595" s="6">
        <v>42911</v>
      </c>
      <c r="B595" s="3" t="s">
        <v>3494</v>
      </c>
      <c r="C595" s="3" t="s">
        <v>1618</v>
      </c>
      <c r="D595" s="8" t="str">
        <f>HYPERLINK("http://npthd.inbcu.com/ViewContent.aspx?filename=NPMR_NBC_2017-06-25_E.MP4$7896$7911","PSA")</f>
        <v>PSA</v>
      </c>
      <c r="E595" s="3" t="s">
        <v>30</v>
      </c>
      <c r="F595" s="3" t="s">
        <v>3930</v>
      </c>
      <c r="G595" s="3" t="s">
        <v>2467</v>
      </c>
    </row>
    <row r="596" spans="1:7">
      <c r="A596" s="6">
        <v>42911</v>
      </c>
      <c r="B596" s="3" t="s">
        <v>3494</v>
      </c>
      <c r="C596" s="3" t="s">
        <v>14</v>
      </c>
      <c r="D596" s="8" t="str">
        <f>HYPERLINK("http://npthd.inbcu.com/ViewContent.aspx?filename=NPMR_NBC_2017-06-25_E.MP4$7911$7926","American Ninja Warrior")</f>
        <v>American Ninja Warrior</v>
      </c>
      <c r="E596" s="3" t="s">
        <v>30</v>
      </c>
      <c r="F596" s="3" t="s">
        <v>2467</v>
      </c>
      <c r="G596" s="3" t="s">
        <v>3931</v>
      </c>
    </row>
    <row r="597" spans="1:7">
      <c r="A597" s="6">
        <v>42911</v>
      </c>
      <c r="B597" s="3" t="s">
        <v>3494</v>
      </c>
      <c r="C597" s="3" t="s">
        <v>14</v>
      </c>
      <c r="D597" s="8" t="str">
        <f>HYPERLINK("http://npthd.inbcu.com/ViewContent.aspx?filename=NPMR_NBC_2017-06-25_E.MP4$7926$7941","Spartan Race")</f>
        <v>Spartan Race</v>
      </c>
      <c r="E597" s="3" t="s">
        <v>30</v>
      </c>
      <c r="F597" s="3" t="s">
        <v>3931</v>
      </c>
      <c r="G597" s="3" t="s">
        <v>3932</v>
      </c>
    </row>
    <row r="598" spans="1:7">
      <c r="A598" s="6">
        <v>42911</v>
      </c>
      <c r="B598" s="3" t="s">
        <v>3494</v>
      </c>
      <c r="C598" s="3" t="s">
        <v>18</v>
      </c>
      <c r="D598" s="8" t="str">
        <f>HYPERLINK("http://npthd.inbcu.com/ViewContent.aspx?filename=NPMR_NBC_2017-06-25_E.MP4$7941$8418","DESPICABLE ME:")</f>
        <v>DESPICABLE ME:</v>
      </c>
      <c r="E598" s="3" t="s">
        <v>345</v>
      </c>
      <c r="F598" s="3" t="s">
        <v>3932</v>
      </c>
      <c r="G598" s="3" t="s">
        <v>3933</v>
      </c>
    </row>
    <row r="599" spans="1:7">
      <c r="A599" s="6">
        <v>42911</v>
      </c>
      <c r="B599" s="3" t="s">
        <v>3494</v>
      </c>
      <c r="C599" s="3" t="s">
        <v>21</v>
      </c>
      <c r="D599" s="8" t="str">
        <f>HYPERLINK("http://npthd.inbcu.com/ViewContent.aspx?filename=NPMR_NBC_2017-06-25_E.MP4$8418$8509","COMMERCIAL")</f>
        <v>COMMERCIAL</v>
      </c>
      <c r="E599" s="3" t="s">
        <v>77</v>
      </c>
      <c r="F599" s="3" t="s">
        <v>3933</v>
      </c>
      <c r="G599" s="3" t="s">
        <v>3934</v>
      </c>
    </row>
    <row r="600" spans="1:7">
      <c r="A600" s="6">
        <v>42911</v>
      </c>
      <c r="B600" s="3" t="s">
        <v>3494</v>
      </c>
      <c r="C600" s="3" t="s">
        <v>21</v>
      </c>
      <c r="D600" s="8" t="str">
        <f>HYPERLINK("http://npthd.inbcu.com/ViewContent.aspx?filename=NPMR_NBC_2017-06-25_E.MP4$8509$8539","COMMERCIAL")</f>
        <v>COMMERCIAL</v>
      </c>
      <c r="E600" s="3" t="s">
        <v>38</v>
      </c>
      <c r="F600" s="3" t="s">
        <v>3934</v>
      </c>
      <c r="G600" s="3" t="s">
        <v>1345</v>
      </c>
    </row>
    <row r="601" spans="1:7">
      <c r="A601" s="6">
        <v>42911</v>
      </c>
      <c r="B601" s="3" t="s">
        <v>3494</v>
      </c>
      <c r="C601" s="3" t="s">
        <v>32</v>
      </c>
      <c r="D601" s="8" t="str">
        <f>HYPERLINK("http://npthd.inbcu.com/ViewContent.aspx?filename=NPMR_NBC_2017-06-25_E.MP4$8539$8633","LOCAL")</f>
        <v>LOCAL</v>
      </c>
      <c r="E601" s="3" t="s">
        <v>1917</v>
      </c>
      <c r="F601" s="3" t="s">
        <v>1345</v>
      </c>
      <c r="G601" s="3" t="s">
        <v>65</v>
      </c>
    </row>
    <row r="602" spans="1:7">
      <c r="A602" s="6">
        <v>42911</v>
      </c>
      <c r="B602" s="3" t="s">
        <v>3494</v>
      </c>
      <c r="C602" s="3" t="s">
        <v>14</v>
      </c>
      <c r="D602" s="8" t="str">
        <f>HYPERLINK("http://npthd.inbcu.com/ViewContent.aspx?filename=NPMR_NBC_2017-06-25_E.MP4$8633$8648","Little Big Shots: Forever Young")</f>
        <v>Little Big Shots: Forever Young</v>
      </c>
      <c r="E602" s="3" t="s">
        <v>30</v>
      </c>
      <c r="F602" s="3" t="s">
        <v>65</v>
      </c>
      <c r="G602" s="3" t="s">
        <v>3935</v>
      </c>
    </row>
    <row r="603" spans="1:7">
      <c r="A603" s="6">
        <v>42911</v>
      </c>
      <c r="B603" s="3" t="s">
        <v>3494</v>
      </c>
      <c r="C603" s="3" t="s">
        <v>18</v>
      </c>
      <c r="D603" s="8" t="str">
        <f>HYPERLINK("http://npthd.inbcu.com/ViewContent.aspx?filename=NPMR_NBC_2017-06-25_E.MP4$8648$9039","DESPICABLE ME:")</f>
        <v>DESPICABLE ME:</v>
      </c>
      <c r="E603" s="3" t="s">
        <v>1400</v>
      </c>
      <c r="F603" s="3" t="s">
        <v>3935</v>
      </c>
      <c r="G603" s="3" t="s">
        <v>3936</v>
      </c>
    </row>
    <row r="604" spans="1:7">
      <c r="A604" s="6">
        <v>42911</v>
      </c>
      <c r="B604" s="3" t="s">
        <v>3494</v>
      </c>
      <c r="C604" s="3" t="s">
        <v>21</v>
      </c>
      <c r="D604" s="8" t="str">
        <f>HYPERLINK("http://npthd.inbcu.com/ViewContent.aspx?filename=NPMR_NBC_2017-06-25_E.MP4$9039$9249","COMMERCIAL")</f>
        <v>COMMERCIAL</v>
      </c>
      <c r="E604" s="3" t="s">
        <v>150</v>
      </c>
      <c r="F604" s="3" t="s">
        <v>3936</v>
      </c>
      <c r="G604" s="3" t="s">
        <v>3937</v>
      </c>
    </row>
    <row r="605" spans="1:7">
      <c r="A605" s="6">
        <v>42911</v>
      </c>
      <c r="B605" s="3" t="s">
        <v>3494</v>
      </c>
      <c r="C605" s="3" t="s">
        <v>14</v>
      </c>
      <c r="D605" s="8" t="str">
        <f>HYPERLINK("http://npthd.inbcu.com/ViewContent.aspx?filename=NPMR_NBC_2017-06-25_E.MP4$9249$9280","World of Dance")</f>
        <v>World of Dance</v>
      </c>
      <c r="E605" s="3" t="s">
        <v>98</v>
      </c>
      <c r="F605" s="3" t="s">
        <v>3937</v>
      </c>
      <c r="G605" s="3" t="s">
        <v>3938</v>
      </c>
    </row>
    <row r="606" spans="1:7">
      <c r="A606" s="6">
        <v>42911</v>
      </c>
      <c r="B606" s="3" t="s">
        <v>3494</v>
      </c>
      <c r="C606" s="3" t="s">
        <v>18</v>
      </c>
      <c r="D606" s="8" t="str">
        <f>HYPERLINK("http://npthd.inbcu.com/ViewContent.aspx?filename=NPMR_NBC_2017-06-25_E.MP4$9280$9670","DESPICABLE ME:")</f>
        <v>DESPICABLE ME:</v>
      </c>
      <c r="E606" s="3" t="s">
        <v>1382</v>
      </c>
      <c r="F606" s="3" t="s">
        <v>3938</v>
      </c>
      <c r="G606" s="3" t="s">
        <v>1440</v>
      </c>
    </row>
    <row r="607" spans="1:7">
      <c r="A607" s="6">
        <v>42911</v>
      </c>
      <c r="B607" s="3" t="s">
        <v>3494</v>
      </c>
      <c r="C607" s="3" t="s">
        <v>21</v>
      </c>
      <c r="D607" s="8" t="str">
        <f>HYPERLINK("http://npthd.inbcu.com/ViewContent.aspx?filename=NPMR_NBC_2017-06-25_E.MP4$9670$9791","COMMERCIAL")</f>
        <v>COMMERCIAL</v>
      </c>
      <c r="E607" s="3" t="s">
        <v>175</v>
      </c>
      <c r="F607" s="3" t="s">
        <v>1440</v>
      </c>
      <c r="G607" s="3" t="s">
        <v>3939</v>
      </c>
    </row>
    <row r="608" spans="1:7">
      <c r="A608" s="6">
        <v>42911</v>
      </c>
      <c r="B608" s="3" t="s">
        <v>3494</v>
      </c>
      <c r="C608" s="3" t="s">
        <v>14</v>
      </c>
      <c r="D608" s="8" t="str">
        <f>HYPERLINK("http://npthd.inbcu.com/ViewContent.aspx?filename=NPMR_NBC_2017-06-25_E.MP4$9791$9795","Daytona 500")</f>
        <v>Daytona 500</v>
      </c>
      <c r="E608" s="3" t="s">
        <v>84</v>
      </c>
      <c r="F608" s="3" t="s">
        <v>3939</v>
      </c>
      <c r="G608" s="3" t="s">
        <v>3940</v>
      </c>
    </row>
    <row r="609" spans="1:7">
      <c r="A609" s="6">
        <v>42911</v>
      </c>
      <c r="B609" s="3" t="s">
        <v>3494</v>
      </c>
      <c r="C609" s="3" t="s">
        <v>32</v>
      </c>
      <c r="D609" s="8" t="str">
        <f>HYPERLINK("http://npthd.inbcu.com/ViewContent.aspx?filename=NPMR_NBC_2017-06-25_E.MP4$9795$9886","LOCAL")</f>
        <v>LOCAL</v>
      </c>
      <c r="E609" s="3" t="s">
        <v>77</v>
      </c>
      <c r="F609" s="3" t="s">
        <v>3940</v>
      </c>
      <c r="G609" s="3" t="s">
        <v>3941</v>
      </c>
    </row>
    <row r="610" spans="1:7">
      <c r="A610" s="6">
        <v>42911</v>
      </c>
      <c r="B610" s="3" t="s">
        <v>3494</v>
      </c>
      <c r="C610" s="3" t="s">
        <v>14</v>
      </c>
      <c r="D610" s="8" t="str">
        <f>HYPERLINK("http://npthd.inbcu.com/ViewContent.aspx?filename=NPMR_NBC_2017-06-25_E.MP4$9886$9911","Despicable Me 3")</f>
        <v>Despicable Me 3</v>
      </c>
      <c r="E610" s="3" t="s">
        <v>582</v>
      </c>
      <c r="F610" s="3" t="s">
        <v>3941</v>
      </c>
      <c r="G610" s="3" t="s">
        <v>3942</v>
      </c>
    </row>
    <row r="611" spans="1:7">
      <c r="A611" s="6">
        <v>42911</v>
      </c>
      <c r="B611" s="3" t="s">
        <v>3494</v>
      </c>
      <c r="C611" s="3" t="s">
        <v>18</v>
      </c>
      <c r="D611" s="8" t="str">
        <f>HYPERLINK("http://npthd.inbcu.com/ViewContent.aspx?filename=NPMR_NBC_2017-06-25_E.MP4$9911$10276","DESPICABLE ME:")</f>
        <v>DESPICABLE ME:</v>
      </c>
      <c r="E611" s="3" t="s">
        <v>1100</v>
      </c>
      <c r="F611" s="3" t="s">
        <v>3942</v>
      </c>
      <c r="G611" s="3" t="s">
        <v>3943</v>
      </c>
    </row>
    <row r="612" spans="1:7">
      <c r="A612" s="6">
        <v>42911</v>
      </c>
      <c r="B612" s="3" t="s">
        <v>3494</v>
      </c>
      <c r="C612" s="3" t="s">
        <v>14</v>
      </c>
      <c r="D612" s="8" t="str">
        <f>HYPERLINK("http://npthd.inbcu.com/ViewContent.aspx?filename=NPMR_NBC_2017-06-25_E.MP4$10276$10307","Despicable Me 3")</f>
        <v>Despicable Me 3</v>
      </c>
      <c r="E612" s="3" t="s">
        <v>98</v>
      </c>
      <c r="F612" s="3" t="s">
        <v>3943</v>
      </c>
      <c r="G612" s="3" t="s">
        <v>3944</v>
      </c>
    </row>
    <row r="613" spans="1:7">
      <c r="A613" s="6">
        <v>42911</v>
      </c>
      <c r="B613" s="3" t="s">
        <v>3494</v>
      </c>
      <c r="C613" s="3" t="s">
        <v>21</v>
      </c>
      <c r="D613" s="8" t="str">
        <f>HYPERLINK("http://npthd.inbcu.com/ViewContent.aspx?filename=NPMR_NBC_2017-06-25_E.MP4$10307$10457","COMMERCIAL")</f>
        <v>COMMERCIAL</v>
      </c>
      <c r="E613" s="3" t="s">
        <v>28</v>
      </c>
      <c r="F613" s="3" t="s">
        <v>3944</v>
      </c>
      <c r="G613" s="3" t="s">
        <v>2785</v>
      </c>
    </row>
    <row r="614" spans="1:7">
      <c r="A614" s="6">
        <v>42911</v>
      </c>
      <c r="B614" s="3" t="s">
        <v>3494</v>
      </c>
      <c r="C614" s="3" t="s">
        <v>14</v>
      </c>
      <c r="D614" s="8" t="str">
        <f>HYPERLINK("http://npthd.inbcu.com/ViewContent.aspx?filename=NPMR_NBC_2017-06-25_E.MP4$10457$10487","NBC Thursday")</f>
        <v>NBC Thursday</v>
      </c>
      <c r="E614" s="3" t="s">
        <v>38</v>
      </c>
      <c r="F614" s="3" t="s">
        <v>2785</v>
      </c>
      <c r="G614" s="3" t="s">
        <v>3945</v>
      </c>
    </row>
    <row r="615" spans="1:7">
      <c r="A615" s="6">
        <v>42911</v>
      </c>
      <c r="B615" s="3" t="s">
        <v>3494</v>
      </c>
      <c r="C615" s="3" t="s">
        <v>18</v>
      </c>
      <c r="D615" s="8" t="str">
        <f>HYPERLINK("http://npthd.inbcu.com/ViewContent.aspx?filename=NPMR_NBC_2017-06-25_E.MP4$10487$10835","DESPICABLE ME:")</f>
        <v>DESPICABLE ME:</v>
      </c>
      <c r="E615" s="3" t="s">
        <v>442</v>
      </c>
      <c r="F615" s="3" t="s">
        <v>3945</v>
      </c>
      <c r="G615" s="3" t="s">
        <v>3946</v>
      </c>
    </row>
    <row r="616" spans="1:7">
      <c r="A616" s="6">
        <v>42911</v>
      </c>
      <c r="B616" s="3" t="s">
        <v>3494</v>
      </c>
      <c r="C616" s="3" t="s">
        <v>14</v>
      </c>
      <c r="D616" s="8" t="str">
        <f>HYPERLINK("http://npthd.inbcu.com/ViewContent.aspx?filename=NPMR_NBC_2017-06-25_E.MP4$10835$10865","Americas Got Talent")</f>
        <v>Americas Got Talent</v>
      </c>
      <c r="E616" s="3" t="s">
        <v>38</v>
      </c>
      <c r="F616" s="3" t="s">
        <v>3946</v>
      </c>
      <c r="G616" s="3" t="s">
        <v>1515</v>
      </c>
    </row>
    <row r="617" spans="1:7">
      <c r="A617" s="6">
        <v>42911</v>
      </c>
      <c r="B617" s="3" t="s">
        <v>3494</v>
      </c>
      <c r="C617" s="3" t="s">
        <v>14</v>
      </c>
      <c r="D617" s="8" t="str">
        <f>HYPERLINK("http://npthd.inbcu.com/ViewContent.aspx?filename=NPMR_NBC_2017-06-25_E.MP4$10865$10895","World of Dance")</f>
        <v>World of Dance</v>
      </c>
      <c r="E617" s="3" t="s">
        <v>38</v>
      </c>
      <c r="F617" s="3" t="s">
        <v>1515</v>
      </c>
      <c r="G617" s="3" t="s">
        <v>394</v>
      </c>
    </row>
    <row r="618" spans="1:7">
      <c r="A618" s="6">
        <v>42911</v>
      </c>
      <c r="B618" s="3" t="s">
        <v>3494</v>
      </c>
      <c r="C618" s="3" t="s">
        <v>18</v>
      </c>
      <c r="D618" s="8" t="str">
        <f>HYPERLINK("http://npthd.inbcu.com/ViewContent.aspx?filename=NPMR_NBC_2017-06-25_E.MP4$10895$11417","LITTLE BIG SHOTS: FOREVER YOUNG: forever young")</f>
        <v>LITTLE BIG SHOTS: FOREVER YOUNG: forever young</v>
      </c>
      <c r="E618" s="3" t="s">
        <v>1560</v>
      </c>
      <c r="F618" s="3" t="s">
        <v>394</v>
      </c>
      <c r="G618" s="3" t="s">
        <v>3586</v>
      </c>
    </row>
    <row r="619" spans="1:7">
      <c r="A619" s="6">
        <v>42911</v>
      </c>
      <c r="B619" s="3" t="s">
        <v>3494</v>
      </c>
      <c r="C619" s="3" t="s">
        <v>21</v>
      </c>
      <c r="D619" s="8" t="str">
        <f>HYPERLINK("http://npthd.inbcu.com/ViewContent.aspx?filename=NPMR_NBC_2017-06-25_E.MP4$11417$11602","COMMERCIAL")</f>
        <v>COMMERCIAL</v>
      </c>
      <c r="E619" s="3" t="s">
        <v>3675</v>
      </c>
      <c r="F619" s="3" t="s">
        <v>3586</v>
      </c>
      <c r="G619" s="3" t="s">
        <v>3947</v>
      </c>
    </row>
    <row r="620" spans="1:7">
      <c r="A620" s="6">
        <v>42911</v>
      </c>
      <c r="B620" s="3" t="s">
        <v>3494</v>
      </c>
      <c r="C620" s="3" t="s">
        <v>14</v>
      </c>
      <c r="D620" s="8" t="str">
        <f>HYPERLINK("http://npthd.inbcu.com/ViewContent.aspx?filename=NPMR_NBC_2017-06-25_E.MP4$11602$11617","American Ninja Warrior")</f>
        <v>American Ninja Warrior</v>
      </c>
      <c r="E620" s="3" t="s">
        <v>30</v>
      </c>
      <c r="F620" s="3" t="s">
        <v>3947</v>
      </c>
      <c r="G620" s="3" t="s">
        <v>3948</v>
      </c>
    </row>
    <row r="621" spans="1:7">
      <c r="A621" s="6">
        <v>42911</v>
      </c>
      <c r="B621" s="3" t="s">
        <v>3494</v>
      </c>
      <c r="C621" s="3" t="s">
        <v>32</v>
      </c>
      <c r="D621" s="8" t="str">
        <f>HYPERLINK("http://npthd.inbcu.com/ViewContent.aspx?filename=NPMR_NBC_2017-06-25_E.MP4$11617$11649","LOCAL")</f>
        <v>LOCAL</v>
      </c>
      <c r="E621" s="3" t="s">
        <v>213</v>
      </c>
      <c r="F621" s="3" t="s">
        <v>3948</v>
      </c>
      <c r="G621" s="3" t="s">
        <v>676</v>
      </c>
    </row>
    <row r="622" spans="1:7">
      <c r="A622" s="6">
        <v>42911</v>
      </c>
      <c r="B622" s="3" t="s">
        <v>3494</v>
      </c>
      <c r="C622" s="3" t="s">
        <v>18</v>
      </c>
      <c r="D622" s="8" t="str">
        <f>HYPERLINK("http://npthd.inbcu.com/ViewContent.aspx?filename=NPMR_NBC_2017-06-25_E.MP4$11649$12195","LITTLE BIG SHOTS: FOREVER YOUNG: forever young")</f>
        <v>LITTLE BIG SHOTS: FOREVER YOUNG: forever young</v>
      </c>
      <c r="E622" s="3" t="s">
        <v>1385</v>
      </c>
      <c r="F622" s="3" t="s">
        <v>676</v>
      </c>
      <c r="G622" s="3" t="s">
        <v>3949</v>
      </c>
    </row>
    <row r="623" spans="1:7">
      <c r="A623" s="6">
        <v>42911</v>
      </c>
      <c r="B623" s="3" t="s">
        <v>3494</v>
      </c>
      <c r="C623" s="3" t="s">
        <v>21</v>
      </c>
      <c r="D623" s="8" t="str">
        <f>HYPERLINK("http://npthd.inbcu.com/ViewContent.aspx?filename=NPMR_NBC_2017-06-25_E.MP4$12195$12375","COMMERCIAL")</f>
        <v>COMMERCIAL</v>
      </c>
      <c r="E623" s="3" t="s">
        <v>22</v>
      </c>
      <c r="F623" s="3" t="s">
        <v>3949</v>
      </c>
      <c r="G623" s="3" t="s">
        <v>3950</v>
      </c>
    </row>
    <row r="624" spans="1:7">
      <c r="A624" s="6">
        <v>42911</v>
      </c>
      <c r="B624" s="3" t="s">
        <v>3494</v>
      </c>
      <c r="C624" s="3" t="s">
        <v>14</v>
      </c>
      <c r="D624" s="8" t="str">
        <f>HYPERLINK("http://npthd.inbcu.com/ViewContent.aspx?filename=NPMR_NBC_2017-06-25_E.MP4$12375$12390","Americas Got Talent")</f>
        <v>Americas Got Talent</v>
      </c>
      <c r="E624" s="3" t="s">
        <v>30</v>
      </c>
      <c r="F624" s="3" t="s">
        <v>3950</v>
      </c>
      <c r="G624" s="3" t="s">
        <v>3951</v>
      </c>
    </row>
    <row r="625" spans="1:7">
      <c r="A625" s="6">
        <v>42911</v>
      </c>
      <c r="B625" s="3" t="s">
        <v>3494</v>
      </c>
      <c r="C625" s="3" t="s">
        <v>14</v>
      </c>
      <c r="D625" s="8" t="str">
        <f>HYPERLINK("http://npthd.inbcu.com/ViewContent.aspx?filename=NPMR_NBC_2017-06-25_E.MP4$12390$12405","World of Dance")</f>
        <v>World of Dance</v>
      </c>
      <c r="E625" s="3" t="s">
        <v>30</v>
      </c>
      <c r="F625" s="3" t="s">
        <v>3951</v>
      </c>
      <c r="G625" s="3" t="s">
        <v>3952</v>
      </c>
    </row>
    <row r="626" spans="1:7">
      <c r="A626" s="6">
        <v>42911</v>
      </c>
      <c r="B626" s="3" t="s">
        <v>3494</v>
      </c>
      <c r="C626" s="3" t="s">
        <v>14</v>
      </c>
      <c r="D626" s="8" t="str">
        <f>HYPERLINK("http://npthd.inbcu.com/ViewContent.aspx?filename=NPMR_NBC_2017-06-25_E.MP4$12405$12410","Daytona 500")</f>
        <v>Daytona 500</v>
      </c>
      <c r="E626" s="3" t="s">
        <v>54</v>
      </c>
      <c r="F626" s="3" t="s">
        <v>3952</v>
      </c>
      <c r="G626" s="3" t="s">
        <v>3953</v>
      </c>
    </row>
    <row r="627" spans="1:7">
      <c r="A627" s="6">
        <v>42911</v>
      </c>
      <c r="B627" s="3" t="s">
        <v>3494</v>
      </c>
      <c r="C627" s="3" t="s">
        <v>18</v>
      </c>
      <c r="D627" s="8" t="str">
        <f>HYPERLINK("http://npthd.inbcu.com/ViewContent.aspx?filename=NPMR_NBC_2017-06-25_E.MP4$12410$12883","LITTLE BIG SHOTS: FOREVER YOUNG: forever young")</f>
        <v>LITTLE BIG SHOTS: FOREVER YOUNG: forever young</v>
      </c>
      <c r="E627" s="3" t="s">
        <v>3954</v>
      </c>
      <c r="F627" s="3" t="s">
        <v>3953</v>
      </c>
      <c r="G627" s="3" t="s">
        <v>2798</v>
      </c>
    </row>
    <row r="628" spans="1:7">
      <c r="A628" s="6">
        <v>42911</v>
      </c>
      <c r="B628" s="3" t="s">
        <v>3494</v>
      </c>
      <c r="C628" s="3" t="s">
        <v>21</v>
      </c>
      <c r="D628" s="8" t="str">
        <f>HYPERLINK("http://npthd.inbcu.com/ViewContent.aspx?filename=NPMR_NBC_2017-06-25_E.MP4$12883$12943","COMMERCIAL")</f>
        <v>COMMERCIAL</v>
      </c>
      <c r="E628" s="3" t="s">
        <v>66</v>
      </c>
      <c r="F628" s="3" t="s">
        <v>2798</v>
      </c>
      <c r="G628" s="3" t="s">
        <v>687</v>
      </c>
    </row>
    <row r="629" spans="1:7">
      <c r="A629" s="6">
        <v>42911</v>
      </c>
      <c r="B629" s="3" t="s">
        <v>3494</v>
      </c>
      <c r="C629" s="3" t="s">
        <v>14</v>
      </c>
      <c r="D629" s="8" t="str">
        <f>HYPERLINK("http://npthd.inbcu.com/ViewContent.aspx?filename=NPMR_NBC_2017-06-25_E.MP4$12943$12948","Little Big Shots: Forever Young")</f>
        <v>Little Big Shots: Forever Young</v>
      </c>
      <c r="E629" s="3" t="s">
        <v>54</v>
      </c>
      <c r="F629" s="3" t="s">
        <v>687</v>
      </c>
      <c r="G629" s="3" t="s">
        <v>3955</v>
      </c>
    </row>
    <row r="630" spans="1:7">
      <c r="A630" s="6">
        <v>42911</v>
      </c>
      <c r="B630" s="3" t="s">
        <v>3494</v>
      </c>
      <c r="C630" s="3" t="s">
        <v>32</v>
      </c>
      <c r="D630" s="8" t="str">
        <f>HYPERLINK("http://npthd.inbcu.com/ViewContent.aspx?filename=NPMR_NBC_2017-06-25_E.MP4$12948$13113","LOCAL")</f>
        <v>LOCAL</v>
      </c>
      <c r="E630" s="3" t="s">
        <v>428</v>
      </c>
      <c r="F630" s="3" t="s">
        <v>3955</v>
      </c>
      <c r="G630" s="3" t="s">
        <v>3956</v>
      </c>
    </row>
    <row r="631" spans="1:7">
      <c r="A631" s="6">
        <v>42911</v>
      </c>
      <c r="B631" s="3" t="s">
        <v>3494</v>
      </c>
      <c r="C631" s="3" t="s">
        <v>14</v>
      </c>
      <c r="D631" s="8" t="str">
        <f>HYPERLINK("http://npthd.inbcu.com/ViewContent.aspx?filename=NPMR_NBC_2017-06-25_E.MP4$13113$13127","Despicable Me 3")</f>
        <v>Despicable Me 3</v>
      </c>
      <c r="E631" s="3" t="s">
        <v>342</v>
      </c>
      <c r="F631" s="3" t="s">
        <v>3956</v>
      </c>
      <c r="G631" s="3" t="s">
        <v>3957</v>
      </c>
    </row>
    <row r="632" spans="1:7">
      <c r="A632" s="6">
        <v>42911</v>
      </c>
      <c r="B632" s="3" t="s">
        <v>3494</v>
      </c>
      <c r="C632" s="3" t="s">
        <v>18</v>
      </c>
      <c r="D632" s="8" t="str">
        <f>HYPERLINK("http://npthd.inbcu.com/ViewContent.aspx?filename=NPMR_NBC_2017-06-25_E.MP4$13127$13447","LITTLE BIG SHOTS: FOREVER YOUNG: forever young")</f>
        <v>LITTLE BIG SHOTS: FOREVER YOUNG: forever young</v>
      </c>
      <c r="E632" s="3" t="s">
        <v>3958</v>
      </c>
      <c r="F632" s="3" t="s">
        <v>3957</v>
      </c>
      <c r="G632" s="3" t="s">
        <v>3959</v>
      </c>
    </row>
    <row r="633" spans="1:7">
      <c r="A633" s="6">
        <v>42911</v>
      </c>
      <c r="B633" s="3" t="s">
        <v>3494</v>
      </c>
      <c r="C633" s="3" t="s">
        <v>21</v>
      </c>
      <c r="D633" s="8" t="str">
        <f>HYPERLINK("http://npthd.inbcu.com/ViewContent.aspx?filename=NPMR_NBC_2017-06-25_E.MP4$13447$13627","COMMERCIAL")</f>
        <v>COMMERCIAL</v>
      </c>
      <c r="E633" s="3" t="s">
        <v>22</v>
      </c>
      <c r="F633" s="3" t="s">
        <v>3959</v>
      </c>
      <c r="G633" s="3" t="s">
        <v>842</v>
      </c>
    </row>
    <row r="634" spans="1:7">
      <c r="A634" s="6">
        <v>42911</v>
      </c>
      <c r="B634" s="3" t="s">
        <v>3494</v>
      </c>
      <c r="C634" s="3" t="s">
        <v>14</v>
      </c>
      <c r="D634" s="8" t="str">
        <f>HYPERLINK("http://npthd.inbcu.com/ViewContent.aspx?filename=NPMR_NBC_2017-06-25_E.MP4$13627$13657","NBC Thursday")</f>
        <v>NBC Thursday</v>
      </c>
      <c r="E634" s="3" t="s">
        <v>38</v>
      </c>
      <c r="F634" s="3" t="s">
        <v>842</v>
      </c>
      <c r="G634" s="3" t="s">
        <v>1599</v>
      </c>
    </row>
    <row r="635" spans="1:7">
      <c r="A635" s="6">
        <v>42911</v>
      </c>
      <c r="B635" s="3" t="s">
        <v>3494</v>
      </c>
      <c r="C635" s="3" t="s">
        <v>18</v>
      </c>
      <c r="D635" s="8" t="str">
        <f>HYPERLINK("http://npthd.inbcu.com/ViewContent.aspx?filename=NPMR_NBC_2017-06-25_E.MP4$13657$13907","LITTLE BIG SHOTS: FOREVER YOUNG: forever young")</f>
        <v>LITTLE BIG SHOTS: FOREVER YOUNG: forever young</v>
      </c>
      <c r="E635" s="3" t="s">
        <v>2497</v>
      </c>
      <c r="F635" s="3" t="s">
        <v>1599</v>
      </c>
      <c r="G635" s="3" t="s">
        <v>1387</v>
      </c>
    </row>
    <row r="636" spans="1:7">
      <c r="A636" s="6">
        <v>42911</v>
      </c>
      <c r="B636" s="3" t="s">
        <v>3494</v>
      </c>
      <c r="C636" s="3" t="s">
        <v>21</v>
      </c>
      <c r="D636" s="8" t="str">
        <f>HYPERLINK("http://npthd.inbcu.com/ViewContent.aspx?filename=NPMR_NBC_2017-06-25_E.MP4$13907$14057","COMMERCIAL")</f>
        <v>COMMERCIAL</v>
      </c>
      <c r="E636" s="3" t="s">
        <v>28</v>
      </c>
      <c r="F636" s="3" t="s">
        <v>1387</v>
      </c>
      <c r="G636" s="3" t="s">
        <v>3960</v>
      </c>
    </row>
    <row r="637" spans="1:7">
      <c r="A637" s="6">
        <v>42911</v>
      </c>
      <c r="B637" s="3" t="s">
        <v>3494</v>
      </c>
      <c r="C637" s="3" t="s">
        <v>32</v>
      </c>
      <c r="D637" s="8" t="str">
        <f>HYPERLINK("http://npthd.inbcu.com/ViewContent.aspx?filename=NPMR_NBC_2017-06-25_E.MP4$14057$14072","LOCAL")</f>
        <v>LOCAL</v>
      </c>
      <c r="E637" s="3" t="s">
        <v>30</v>
      </c>
      <c r="F637" s="3" t="s">
        <v>3960</v>
      </c>
      <c r="G637" s="3" t="s">
        <v>3961</v>
      </c>
    </row>
    <row r="638" spans="1:7">
      <c r="A638" s="6">
        <v>42911</v>
      </c>
      <c r="B638" s="3" t="s">
        <v>3494</v>
      </c>
      <c r="C638" s="3" t="s">
        <v>14</v>
      </c>
      <c r="D638" s="8" t="str">
        <f>HYPERLINK("http://npthd.inbcu.com/ViewContent.aspx?filename=NPMR_NBC_2017-06-25_E.MP4$14072$14088","American Ninja Warrior")</f>
        <v>American Ninja Warrior</v>
      </c>
      <c r="E638" s="3" t="s">
        <v>64</v>
      </c>
      <c r="F638" s="3" t="s">
        <v>3961</v>
      </c>
      <c r="G638" s="3" t="s">
        <v>2237</v>
      </c>
    </row>
    <row r="639" spans="1:7">
      <c r="A639" s="6">
        <v>42911</v>
      </c>
      <c r="B639" s="3" t="s">
        <v>3494</v>
      </c>
      <c r="C639" s="3" t="s">
        <v>18</v>
      </c>
      <c r="D639" s="8" t="str">
        <f>HYPERLINK("http://npthd.inbcu.com/ViewContent.aspx?filename=NPMR_NBC_2017-06-25_E.MP4$14088$14459","LITTLE BIG SHOTS: FOREVER YOUNG: forever young")</f>
        <v>LITTLE BIG SHOTS: FOREVER YOUNG: forever young</v>
      </c>
      <c r="E639" s="3" t="s">
        <v>1967</v>
      </c>
      <c r="F639" s="3" t="s">
        <v>2237</v>
      </c>
      <c r="G639" s="3" t="s">
        <v>3553</v>
      </c>
    </row>
    <row r="640" spans="1:7">
      <c r="A640" s="6">
        <v>42911</v>
      </c>
      <c r="B640" s="3" t="s">
        <v>3494</v>
      </c>
      <c r="C640" s="3" t="s">
        <v>14</v>
      </c>
      <c r="D640" s="8" t="str">
        <f>HYPERLINK("http://npthd.inbcu.com/ViewContent.aspx?filename=NPMR_NBC_2017-06-25_E.MP4$14459$14489","Little Big Shots: Forever Young")</f>
        <v>Little Big Shots: Forever Young</v>
      </c>
      <c r="E640" s="3" t="s">
        <v>38</v>
      </c>
      <c r="F640" s="3" t="s">
        <v>3553</v>
      </c>
      <c r="G640" s="3" t="s">
        <v>3704</v>
      </c>
    </row>
    <row r="641" spans="1:7">
      <c r="A641" s="6">
        <v>42911</v>
      </c>
      <c r="B641" s="3" t="s">
        <v>3494</v>
      </c>
      <c r="C641" s="3" t="s">
        <v>18</v>
      </c>
      <c r="D641" s="8" t="str">
        <f>HYPERLINK("http://npthd.inbcu.com/ViewContent.aspx?filename=NPMR_NBC_2017-06-25_E.MP4$14489$14495","LITTLE BIG SHOTS: FOREVER YOUNG: forever young")</f>
        <v>LITTLE BIG SHOTS: FOREVER YOUNG: forever young</v>
      </c>
      <c r="E641" s="3" t="s">
        <v>15</v>
      </c>
      <c r="F641" s="3" t="s">
        <v>3704</v>
      </c>
      <c r="G641" s="3" t="s">
        <v>124</v>
      </c>
    </row>
    <row r="642" spans="1:7">
      <c r="A642" s="6">
        <v>42912</v>
      </c>
      <c r="B642" s="3" t="s">
        <v>3494</v>
      </c>
      <c r="C642" s="3" t="s">
        <v>18</v>
      </c>
      <c r="D642" s="8" t="str">
        <f>HYPERLINK("http://npthd.inbcu.com/ViewContent.aspx?filename=NPMR_NBC_2017-06-26_E.MP4$84$651","AMERICAN NINJA WARRIOR: daytona beach qualifiers")</f>
        <v>AMERICAN NINJA WARRIOR: daytona beach qualifiers</v>
      </c>
      <c r="E642" s="3" t="s">
        <v>2543</v>
      </c>
      <c r="F642" s="3" t="s">
        <v>16</v>
      </c>
      <c r="G642" s="3" t="s">
        <v>3962</v>
      </c>
    </row>
    <row r="643" spans="1:7">
      <c r="A643" s="6">
        <v>42912</v>
      </c>
      <c r="B643" s="3" t="s">
        <v>3494</v>
      </c>
      <c r="C643" s="3" t="s">
        <v>21</v>
      </c>
      <c r="D643" s="8" t="str">
        <f>HYPERLINK("http://npthd.inbcu.com/ViewContent.aspx?filename=NPMR_NBC_2017-06-26_E.MP4$651$802","COMMERCIAL")</f>
        <v>COMMERCIAL</v>
      </c>
      <c r="E643" s="3" t="s">
        <v>91</v>
      </c>
      <c r="F643" s="3" t="s">
        <v>3962</v>
      </c>
      <c r="G643" s="3" t="s">
        <v>3963</v>
      </c>
    </row>
    <row r="644" spans="1:7">
      <c r="A644" s="6">
        <v>42912</v>
      </c>
      <c r="B644" s="3" t="s">
        <v>3494</v>
      </c>
      <c r="C644" s="3" t="s">
        <v>14</v>
      </c>
      <c r="D644" s="8" t="str">
        <f>HYPERLINK("http://npthd.inbcu.com/ViewContent.aspx?filename=NPMR_NBC_2017-06-26_E.MP4$802$832","Midnight Texas")</f>
        <v>Midnight Texas</v>
      </c>
      <c r="E644" s="3" t="s">
        <v>38</v>
      </c>
      <c r="F644" s="3" t="s">
        <v>3963</v>
      </c>
      <c r="G644" s="3" t="s">
        <v>3964</v>
      </c>
    </row>
    <row r="645" spans="1:7">
      <c r="A645" s="6">
        <v>42912</v>
      </c>
      <c r="B645" s="3" t="s">
        <v>3494</v>
      </c>
      <c r="C645" s="3" t="s">
        <v>18</v>
      </c>
      <c r="D645" s="8" t="str">
        <f>HYPERLINK("http://npthd.inbcu.com/ViewContent.aspx?filename=NPMR_NBC_2017-06-26_E.MP4$832$1414","AMERICAN NINJA WARRIOR: daytona beach qualifiers")</f>
        <v>AMERICAN NINJA WARRIOR: daytona beach qualifiers</v>
      </c>
      <c r="E645" s="3" t="s">
        <v>2794</v>
      </c>
      <c r="F645" s="3" t="s">
        <v>3964</v>
      </c>
      <c r="G645" s="3" t="s">
        <v>3965</v>
      </c>
    </row>
    <row r="646" spans="1:7">
      <c r="A646" s="6">
        <v>42912</v>
      </c>
      <c r="B646" s="3" t="s">
        <v>3494</v>
      </c>
      <c r="C646" s="3" t="s">
        <v>21</v>
      </c>
      <c r="D646" s="8" t="str">
        <f>HYPERLINK("http://npthd.inbcu.com/ViewContent.aspx?filename=NPMR_NBC_2017-06-26_E.MP4$1414$1504","COMMERCIAL")</f>
        <v>COMMERCIAL</v>
      </c>
      <c r="E646" s="3" t="s">
        <v>46</v>
      </c>
      <c r="F646" s="3" t="s">
        <v>3965</v>
      </c>
      <c r="G646" s="3" t="s">
        <v>132</v>
      </c>
    </row>
    <row r="647" spans="1:7">
      <c r="A647" s="6">
        <v>42912</v>
      </c>
      <c r="B647" s="3" t="s">
        <v>3494</v>
      </c>
      <c r="C647" s="3" t="s">
        <v>14</v>
      </c>
      <c r="D647" s="8" t="str">
        <f>HYPERLINK("http://npthd.inbcu.com/ViewContent.aspx?filename=NPMR_NBC_2017-06-26_E.MP4$1504$1509","Despicable Me 3")</f>
        <v>Despicable Me 3</v>
      </c>
      <c r="E647" s="3" t="s">
        <v>54</v>
      </c>
      <c r="F647" s="3" t="s">
        <v>132</v>
      </c>
      <c r="G647" s="3" t="s">
        <v>2272</v>
      </c>
    </row>
    <row r="648" spans="1:7">
      <c r="A648" s="6">
        <v>42912</v>
      </c>
      <c r="B648" s="3" t="s">
        <v>3494</v>
      </c>
      <c r="C648" s="3" t="s">
        <v>32</v>
      </c>
      <c r="D648" s="8" t="str">
        <f>HYPERLINK("http://npthd.inbcu.com/ViewContent.aspx?filename=NPMR_NBC_2017-06-26_E.MP4$1509$1603","LOCAL")</f>
        <v>LOCAL</v>
      </c>
      <c r="E648" s="3" t="s">
        <v>1917</v>
      </c>
      <c r="F648" s="3" t="s">
        <v>2272</v>
      </c>
      <c r="G648" s="3" t="s">
        <v>3966</v>
      </c>
    </row>
    <row r="649" spans="1:7">
      <c r="A649" s="6">
        <v>42912</v>
      </c>
      <c r="B649" s="3" t="s">
        <v>3494</v>
      </c>
      <c r="C649" s="3" t="s">
        <v>1618</v>
      </c>
      <c r="D649" s="8" t="str">
        <f>HYPERLINK("http://npthd.inbcu.com/ViewContent.aspx?filename=NPMR_NBC_2017-06-26_E.MP4$1603$1633","PSA")</f>
        <v>PSA</v>
      </c>
      <c r="E649" s="3" t="s">
        <v>38</v>
      </c>
      <c r="F649" s="3" t="s">
        <v>3966</v>
      </c>
      <c r="G649" s="3" t="s">
        <v>3967</v>
      </c>
    </row>
    <row r="650" spans="1:7">
      <c r="A650" s="6">
        <v>42912</v>
      </c>
      <c r="B650" s="3" t="s">
        <v>3494</v>
      </c>
      <c r="C650" s="3" t="s">
        <v>18</v>
      </c>
      <c r="D650" s="8" t="str">
        <f>HYPERLINK("http://npthd.inbcu.com/ViewContent.aspx?filename=NPMR_NBC_2017-06-26_E.MP4$1633$2125","AMERICAN NINJA WARRIOR: daytona beach qualifiers")</f>
        <v>AMERICAN NINJA WARRIOR: daytona beach qualifiers</v>
      </c>
      <c r="E650" s="3" t="s">
        <v>1833</v>
      </c>
      <c r="F650" s="3" t="s">
        <v>3967</v>
      </c>
      <c r="G650" s="3" t="s">
        <v>3968</v>
      </c>
    </row>
    <row r="651" spans="1:7">
      <c r="A651" s="6">
        <v>42912</v>
      </c>
      <c r="B651" s="3" t="s">
        <v>3494</v>
      </c>
      <c r="C651" s="3" t="s">
        <v>14</v>
      </c>
      <c r="D651" s="8" t="str">
        <f>HYPERLINK("http://npthd.inbcu.com/ViewContent.aspx?filename=NPMR_NBC_2017-06-26_E.MP4$2125$2140","Spartan Race")</f>
        <v>Spartan Race</v>
      </c>
      <c r="E651" s="3" t="s">
        <v>30</v>
      </c>
      <c r="F651" s="3" t="s">
        <v>3968</v>
      </c>
      <c r="G651" s="3" t="s">
        <v>231</v>
      </c>
    </row>
    <row r="652" spans="1:7">
      <c r="A652" s="6">
        <v>42912</v>
      </c>
      <c r="B652" s="3" t="s">
        <v>3494</v>
      </c>
      <c r="C652" s="3" t="s">
        <v>21</v>
      </c>
      <c r="D652" s="8" t="str">
        <f>HYPERLINK("http://npthd.inbcu.com/ViewContent.aspx?filename=NPMR_NBC_2017-06-26_E.MP4$2140$2290","COMMERCIAL")</f>
        <v>COMMERCIAL</v>
      </c>
      <c r="E652" s="3" t="s">
        <v>28</v>
      </c>
      <c r="F652" s="3" t="s">
        <v>231</v>
      </c>
      <c r="G652" s="3" t="s">
        <v>2849</v>
      </c>
    </row>
    <row r="653" spans="1:7">
      <c r="A653" s="6">
        <v>42912</v>
      </c>
      <c r="B653" s="3" t="s">
        <v>3494</v>
      </c>
      <c r="C653" s="3" t="s">
        <v>14</v>
      </c>
      <c r="D653" s="8" t="str">
        <f>HYPERLINK("http://npthd.inbcu.com/ViewContent.aspx?filename=NPMR_NBC_2017-06-26_E.MP4$2290$2320","AGT/WOD")</f>
        <v>AGT/WOD</v>
      </c>
      <c r="E653" s="3" t="s">
        <v>38</v>
      </c>
      <c r="F653" s="3" t="s">
        <v>2849</v>
      </c>
      <c r="G653" s="3" t="s">
        <v>3969</v>
      </c>
    </row>
    <row r="654" spans="1:7">
      <c r="A654" s="6">
        <v>42912</v>
      </c>
      <c r="B654" s="3" t="s">
        <v>3494</v>
      </c>
      <c r="C654" s="3" t="s">
        <v>14</v>
      </c>
      <c r="D654" s="8" t="str">
        <f>HYPERLINK("http://npthd.inbcu.com/ViewContent.aspx?filename=NPMR_NBC_2017-06-26_E.MP4$2320$2335","Little Big Shots")</f>
        <v>Little Big Shots</v>
      </c>
      <c r="E654" s="3" t="s">
        <v>30</v>
      </c>
      <c r="F654" s="3" t="s">
        <v>3969</v>
      </c>
      <c r="G654" s="3" t="s">
        <v>3714</v>
      </c>
    </row>
    <row r="655" spans="1:7">
      <c r="A655" s="6">
        <v>42912</v>
      </c>
      <c r="B655" s="3" t="s">
        <v>3494</v>
      </c>
      <c r="C655" s="3" t="s">
        <v>14</v>
      </c>
      <c r="D655" s="8" t="str">
        <f>HYPERLINK("http://npthd.inbcu.com/ViewContent.aspx?filename=NPMR_NBC_2017-06-26_E.MP4$2335$2350","Daytona 500")</f>
        <v>Daytona 500</v>
      </c>
      <c r="E655" s="3" t="s">
        <v>30</v>
      </c>
      <c r="F655" s="3" t="s">
        <v>3714</v>
      </c>
      <c r="G655" s="3" t="s">
        <v>3715</v>
      </c>
    </row>
    <row r="656" spans="1:7">
      <c r="A656" s="6">
        <v>42912</v>
      </c>
      <c r="B656" s="3" t="s">
        <v>3494</v>
      </c>
      <c r="C656" s="3" t="s">
        <v>18</v>
      </c>
      <c r="D656" s="8" t="str">
        <f>HYPERLINK("http://npthd.inbcu.com/ViewContent.aspx?filename=NPMR_NBC_2017-06-26_E.MP4$2350$2928","AMERICAN NINJA WARRIOR: daytona beach qualifiers")</f>
        <v>AMERICAN NINJA WARRIOR: daytona beach qualifiers</v>
      </c>
      <c r="E656" s="3" t="s">
        <v>2171</v>
      </c>
      <c r="F656" s="3" t="s">
        <v>3715</v>
      </c>
      <c r="G656" s="3" t="s">
        <v>3970</v>
      </c>
    </row>
    <row r="657" spans="1:7">
      <c r="A657" s="6">
        <v>42912</v>
      </c>
      <c r="B657" s="3" t="s">
        <v>3494</v>
      </c>
      <c r="C657" s="3" t="s">
        <v>21</v>
      </c>
      <c r="D657" s="8" t="str">
        <f>HYPERLINK("http://npthd.inbcu.com/ViewContent.aspx?filename=NPMR_NBC_2017-06-26_E.MP4$2928$3019","COMMERCIAL")</f>
        <v>COMMERCIAL</v>
      </c>
      <c r="E657" s="3" t="s">
        <v>77</v>
      </c>
      <c r="F657" s="3" t="s">
        <v>3970</v>
      </c>
      <c r="G657" s="3" t="s">
        <v>717</v>
      </c>
    </row>
    <row r="658" spans="1:7">
      <c r="A658" s="6">
        <v>42912</v>
      </c>
      <c r="B658" s="3" t="s">
        <v>3494</v>
      </c>
      <c r="C658" s="3" t="s">
        <v>14</v>
      </c>
      <c r="D658" s="8" t="str">
        <f>HYPERLINK("http://npthd.inbcu.com/ViewContent.aspx?filename=NPMR_NBC_2017-06-26_E.MP4$3019$3023","Midnight Texas")</f>
        <v>Midnight Texas</v>
      </c>
      <c r="E658" s="3" t="s">
        <v>84</v>
      </c>
      <c r="F658" s="3" t="s">
        <v>717</v>
      </c>
      <c r="G658" s="3" t="s">
        <v>3971</v>
      </c>
    </row>
    <row r="659" spans="1:7">
      <c r="A659" s="6">
        <v>42912</v>
      </c>
      <c r="B659" s="3" t="s">
        <v>3494</v>
      </c>
      <c r="C659" s="3" t="s">
        <v>32</v>
      </c>
      <c r="D659" s="8" t="str">
        <f>HYPERLINK("http://npthd.inbcu.com/ViewContent.aspx?filename=NPMR_NBC_2017-06-26_E.MP4$3023$3114","LOCAL")</f>
        <v>LOCAL</v>
      </c>
      <c r="E659" s="3" t="s">
        <v>77</v>
      </c>
      <c r="F659" s="3" t="s">
        <v>3971</v>
      </c>
      <c r="G659" s="3" t="s">
        <v>3972</v>
      </c>
    </row>
    <row r="660" spans="1:7">
      <c r="A660" s="6">
        <v>42912</v>
      </c>
      <c r="B660" s="3" t="s">
        <v>3494</v>
      </c>
      <c r="C660" s="3" t="s">
        <v>14</v>
      </c>
      <c r="D660" s="8" t="str">
        <f>HYPERLINK("http://npthd.inbcu.com/ViewContent.aspx?filename=NPMR_NBC_2017-06-26_E.MP4$3114$3128","Spartan Race")</f>
        <v>Spartan Race</v>
      </c>
      <c r="E660" s="3" t="s">
        <v>342</v>
      </c>
      <c r="F660" s="3" t="s">
        <v>3972</v>
      </c>
      <c r="G660" s="3" t="s">
        <v>1272</v>
      </c>
    </row>
    <row r="661" spans="1:7">
      <c r="A661" s="6">
        <v>42912</v>
      </c>
      <c r="B661" s="3" t="s">
        <v>3494</v>
      </c>
      <c r="C661" s="3" t="s">
        <v>18</v>
      </c>
      <c r="D661" s="8" t="str">
        <f>HYPERLINK("http://npthd.inbcu.com/ViewContent.aspx?filename=NPMR_NBC_2017-06-26_E.MP4$3128$3480","AMERICAN NINJA WARRIOR: daytona beach qualifiers")</f>
        <v>AMERICAN NINJA WARRIOR: daytona beach qualifiers</v>
      </c>
      <c r="E661" s="3" t="s">
        <v>3973</v>
      </c>
      <c r="F661" s="3" t="s">
        <v>1272</v>
      </c>
      <c r="G661" s="3" t="s">
        <v>3974</v>
      </c>
    </row>
    <row r="662" spans="1:7">
      <c r="A662" s="6">
        <v>42912</v>
      </c>
      <c r="B662" s="3" t="s">
        <v>3494</v>
      </c>
      <c r="C662" s="3" t="s">
        <v>21</v>
      </c>
      <c r="D662" s="8" t="str">
        <f>HYPERLINK("http://npthd.inbcu.com/ViewContent.aspx?filename=NPMR_NBC_2017-06-26_E.MP4$3480$3540","COMMERCIAL")</f>
        <v>COMMERCIAL</v>
      </c>
      <c r="E662" s="3" t="s">
        <v>66</v>
      </c>
      <c r="F662" s="3" t="s">
        <v>3974</v>
      </c>
      <c r="G662" s="3" t="s">
        <v>1957</v>
      </c>
    </row>
    <row r="663" spans="1:7">
      <c r="A663" s="6">
        <v>42912</v>
      </c>
      <c r="B663" s="3" t="s">
        <v>3494</v>
      </c>
      <c r="C663" s="3" t="s">
        <v>21</v>
      </c>
      <c r="D663" s="8" t="str">
        <f>HYPERLINK("http://npthd.inbcu.com/ViewContent.aspx?filename=NPMR_NBC_2017-06-26_E.MP4$3540$3556","COMMERCIAL")</f>
        <v>COMMERCIAL</v>
      </c>
      <c r="E663" s="3" t="s">
        <v>64</v>
      </c>
      <c r="F663" s="3" t="s">
        <v>1957</v>
      </c>
      <c r="G663" s="3" t="s">
        <v>3975</v>
      </c>
    </row>
    <row r="664" spans="1:7">
      <c r="A664" s="6">
        <v>42912</v>
      </c>
      <c r="B664" s="3" t="s">
        <v>3494</v>
      </c>
      <c r="C664" s="3" t="s">
        <v>21</v>
      </c>
      <c r="D664" s="8" t="str">
        <f>HYPERLINK("http://npthd.inbcu.com/ViewContent.aspx?filename=NPMR_NBC_2017-06-26_E.MP4$3556$3660","COMMERCIAL")</f>
        <v>COMMERCIAL</v>
      </c>
      <c r="E664" s="3" t="s">
        <v>1188</v>
      </c>
      <c r="F664" s="3" t="s">
        <v>3975</v>
      </c>
      <c r="G664" s="3" t="s">
        <v>3976</v>
      </c>
    </row>
    <row r="665" spans="1:7">
      <c r="A665" s="6">
        <v>42912</v>
      </c>
      <c r="B665" s="3" t="s">
        <v>3494</v>
      </c>
      <c r="C665" s="3" t="s">
        <v>14</v>
      </c>
      <c r="D665" s="8" t="str">
        <f>HYPERLINK("http://npthd.inbcu.com/ViewContent.aspx?filename=NPMR_NBC_2017-06-26_E.MP4$3660$3675","Despicable Me 3")</f>
        <v>Despicable Me 3</v>
      </c>
      <c r="E665" s="3" t="s">
        <v>30</v>
      </c>
      <c r="F665" s="3" t="s">
        <v>3976</v>
      </c>
      <c r="G665" s="3" t="s">
        <v>3977</v>
      </c>
    </row>
    <row r="666" spans="1:7">
      <c r="A666" s="6">
        <v>42912</v>
      </c>
      <c r="B666" s="3" t="s">
        <v>3494</v>
      </c>
      <c r="C666" s="3" t="s">
        <v>18</v>
      </c>
      <c r="D666" s="8" t="str">
        <f>HYPERLINK("http://npthd.inbcu.com/ViewContent.aspx?filename=NPMR_NBC_2017-06-26_E.MP4$3675$4210","AMERICAN NINJA WARRIOR: daytona beach qualifiers")</f>
        <v>AMERICAN NINJA WARRIOR: daytona beach qualifiers</v>
      </c>
      <c r="E666" s="3" t="s">
        <v>1724</v>
      </c>
      <c r="F666" s="3" t="s">
        <v>3977</v>
      </c>
      <c r="G666" s="3" t="s">
        <v>3978</v>
      </c>
    </row>
    <row r="667" spans="1:7">
      <c r="A667" s="6">
        <v>42912</v>
      </c>
      <c r="B667" s="3" t="s">
        <v>3494</v>
      </c>
      <c r="C667" s="3" t="s">
        <v>21</v>
      </c>
      <c r="D667" s="8" t="str">
        <f>HYPERLINK("http://npthd.inbcu.com/ViewContent.aspx?filename=NPMR_NBC_2017-06-26_E.MP4$4210$4390","COMMERCIAL")</f>
        <v>COMMERCIAL</v>
      </c>
      <c r="E667" s="3" t="s">
        <v>22</v>
      </c>
      <c r="F667" s="3" t="s">
        <v>3978</v>
      </c>
      <c r="G667" s="3" t="s">
        <v>1340</v>
      </c>
    </row>
    <row r="668" spans="1:7">
      <c r="A668" s="6">
        <v>42912</v>
      </c>
      <c r="B668" s="3" t="s">
        <v>3494</v>
      </c>
      <c r="C668" s="3" t="s">
        <v>14</v>
      </c>
      <c r="D668" s="8" t="str">
        <f>HYPERLINK("http://npthd.inbcu.com/ViewContent.aspx?filename=NPMR_NBC_2017-06-26_E.MP4$4390$4420","NBC Thursday")</f>
        <v>NBC Thursday</v>
      </c>
      <c r="E668" s="3" t="s">
        <v>38</v>
      </c>
      <c r="F668" s="3" t="s">
        <v>1340</v>
      </c>
      <c r="G668" s="3" t="s">
        <v>1279</v>
      </c>
    </row>
    <row r="669" spans="1:7">
      <c r="A669" s="6">
        <v>42912</v>
      </c>
      <c r="B669" s="3" t="s">
        <v>3494</v>
      </c>
      <c r="C669" s="3" t="s">
        <v>18</v>
      </c>
      <c r="D669" s="8" t="str">
        <f>HYPERLINK("http://npthd.inbcu.com/ViewContent.aspx?filename=NPMR_NBC_2017-06-26_E.MP4$4420$4822","AMERICAN NINJA WARRIOR: daytona beach qualifiers")</f>
        <v>AMERICAN NINJA WARRIOR: daytona beach qualifiers</v>
      </c>
      <c r="E669" s="3" t="s">
        <v>1044</v>
      </c>
      <c r="F669" s="3" t="s">
        <v>1279</v>
      </c>
      <c r="G669" s="3" t="s">
        <v>3979</v>
      </c>
    </row>
    <row r="670" spans="1:7">
      <c r="A670" s="6">
        <v>42912</v>
      </c>
      <c r="B670" s="3" t="s">
        <v>3494</v>
      </c>
      <c r="C670" s="3" t="s">
        <v>21</v>
      </c>
      <c r="D670" s="8" t="str">
        <f>HYPERLINK("http://npthd.inbcu.com/ViewContent.aspx?filename=NPMR_NBC_2017-06-26_E.MP4$4822$4943","COMMERCIAL")</f>
        <v>COMMERCIAL</v>
      </c>
      <c r="E670" s="3" t="s">
        <v>175</v>
      </c>
      <c r="F670" s="3" t="s">
        <v>3979</v>
      </c>
      <c r="G670" s="3" t="s">
        <v>3980</v>
      </c>
    </row>
    <row r="671" spans="1:7">
      <c r="A671" s="6">
        <v>42912</v>
      </c>
      <c r="B671" s="3" t="s">
        <v>3494</v>
      </c>
      <c r="C671" s="3" t="s">
        <v>14</v>
      </c>
      <c r="D671" s="8" t="str">
        <f>HYPERLINK("http://npthd.inbcu.com/ViewContent.aspx?filename=NPMR_NBC_2017-06-26_E.MP4$4943$4947","Spartan Race")</f>
        <v>Spartan Race</v>
      </c>
      <c r="E671" s="3" t="s">
        <v>84</v>
      </c>
      <c r="F671" s="3" t="s">
        <v>3980</v>
      </c>
      <c r="G671" s="3" t="s">
        <v>3981</v>
      </c>
    </row>
    <row r="672" spans="1:7">
      <c r="A672" s="6">
        <v>42912</v>
      </c>
      <c r="B672" s="3" t="s">
        <v>3494</v>
      </c>
      <c r="C672" s="3" t="s">
        <v>32</v>
      </c>
      <c r="D672" s="8" t="str">
        <f>HYPERLINK("http://npthd.inbcu.com/ViewContent.aspx?filename=NPMR_NBC_2017-06-26_E.MP4$4947$5042","LOCAL")</f>
        <v>LOCAL</v>
      </c>
      <c r="E672" s="3" t="s">
        <v>2076</v>
      </c>
      <c r="F672" s="3" t="s">
        <v>3981</v>
      </c>
      <c r="G672" s="3" t="s">
        <v>3025</v>
      </c>
    </row>
    <row r="673" spans="1:7">
      <c r="A673" s="6">
        <v>42912</v>
      </c>
      <c r="B673" s="3" t="s">
        <v>3494</v>
      </c>
      <c r="C673" s="3" t="s">
        <v>14</v>
      </c>
      <c r="D673" s="8" t="str">
        <f>HYPERLINK("http://npthd.inbcu.com/ViewContent.aspx?filename=NPMR_NBC_2017-06-26_E.MP4$5042$5057","Americas Got Talent")</f>
        <v>Americas Got Talent</v>
      </c>
      <c r="E673" s="3" t="s">
        <v>30</v>
      </c>
      <c r="F673" s="3" t="s">
        <v>3025</v>
      </c>
      <c r="G673" s="3" t="s">
        <v>3982</v>
      </c>
    </row>
    <row r="674" spans="1:7">
      <c r="A674" s="6">
        <v>42912</v>
      </c>
      <c r="B674" s="3" t="s">
        <v>3494</v>
      </c>
      <c r="C674" s="3" t="s">
        <v>18</v>
      </c>
      <c r="D674" s="8" t="str">
        <f>HYPERLINK("http://npthd.inbcu.com/ViewContent.aspx?filename=NPMR_NBC_2017-06-26_E.MP4$5057$5379","AMERICAN NINJA WARRIOR: daytona beach qualifiers")</f>
        <v>AMERICAN NINJA WARRIOR: daytona beach qualifiers</v>
      </c>
      <c r="E674" s="3" t="s">
        <v>1642</v>
      </c>
      <c r="F674" s="3" t="s">
        <v>3982</v>
      </c>
      <c r="G674" s="3" t="s">
        <v>2022</v>
      </c>
    </row>
    <row r="675" spans="1:7">
      <c r="A675" s="6">
        <v>42912</v>
      </c>
      <c r="B675" s="3" t="s">
        <v>3494</v>
      </c>
      <c r="C675" s="3" t="s">
        <v>21</v>
      </c>
      <c r="D675" s="8" t="str">
        <f>HYPERLINK("http://npthd.inbcu.com/ViewContent.aspx?filename=NPMR_NBC_2017-06-26_E.MP4$5379$5560","COMMERCIAL")</f>
        <v>COMMERCIAL</v>
      </c>
      <c r="E675" s="3" t="s">
        <v>108</v>
      </c>
      <c r="F675" s="3" t="s">
        <v>2022</v>
      </c>
      <c r="G675" s="3" t="s">
        <v>3983</v>
      </c>
    </row>
    <row r="676" spans="1:7">
      <c r="A676" s="6">
        <v>42912</v>
      </c>
      <c r="B676" s="3" t="s">
        <v>3494</v>
      </c>
      <c r="C676" s="3" t="s">
        <v>14</v>
      </c>
      <c r="D676" s="8" t="str">
        <f>HYPERLINK("http://npthd.inbcu.com/ViewContent.aspx?filename=NPMR_NBC_2017-06-26_E.MP4$5560$5565","World of Dance")</f>
        <v>World of Dance</v>
      </c>
      <c r="E676" s="3" t="s">
        <v>54</v>
      </c>
      <c r="F676" s="3" t="s">
        <v>3983</v>
      </c>
      <c r="G676" s="3" t="s">
        <v>3984</v>
      </c>
    </row>
    <row r="677" spans="1:7">
      <c r="A677" s="6">
        <v>42912</v>
      </c>
      <c r="B677" s="3" t="s">
        <v>3494</v>
      </c>
      <c r="C677" s="3" t="s">
        <v>14</v>
      </c>
      <c r="D677" s="8" t="str">
        <f>HYPERLINK("http://npthd.inbcu.com/ViewContent.aspx?filename=NPMR_NBC_2017-06-26_E.MP4$5565$5575","Tonight Show starring Jimmy Fallon, The")</f>
        <v>Tonight Show starring Jimmy Fallon, The</v>
      </c>
      <c r="E677" s="3" t="s">
        <v>197</v>
      </c>
      <c r="F677" s="3" t="s">
        <v>3984</v>
      </c>
      <c r="G677" s="3" t="s">
        <v>2289</v>
      </c>
    </row>
    <row r="678" spans="1:7">
      <c r="A678" s="6">
        <v>42912</v>
      </c>
      <c r="B678" s="3" t="s">
        <v>3494</v>
      </c>
      <c r="C678" s="3" t="s">
        <v>18</v>
      </c>
      <c r="D678" s="8" t="str">
        <f>HYPERLINK("http://npthd.inbcu.com/ViewContent.aspx?filename=NPMR_NBC_2017-06-26_E.MP4$5575$6019","AMERICAN NINJA WARRIOR: daytona beach qualifiers")</f>
        <v>AMERICAN NINJA WARRIOR: daytona beach qualifiers</v>
      </c>
      <c r="E678" s="3" t="s">
        <v>244</v>
      </c>
      <c r="F678" s="3" t="s">
        <v>2289</v>
      </c>
      <c r="G678" s="3" t="s">
        <v>173</v>
      </c>
    </row>
    <row r="679" spans="1:7">
      <c r="A679" s="6">
        <v>42912</v>
      </c>
      <c r="B679" s="3" t="s">
        <v>3494</v>
      </c>
      <c r="C679" s="3" t="s">
        <v>21</v>
      </c>
      <c r="D679" s="8" t="str">
        <f>HYPERLINK("http://npthd.inbcu.com/ViewContent.aspx?filename=NPMR_NBC_2017-06-26_E.MP4$6019$6140","COMMERCIAL")</f>
        <v>COMMERCIAL</v>
      </c>
      <c r="E679" s="3" t="s">
        <v>175</v>
      </c>
      <c r="F679" s="3" t="s">
        <v>173</v>
      </c>
      <c r="G679" s="3" t="s">
        <v>3985</v>
      </c>
    </row>
    <row r="680" spans="1:7">
      <c r="A680" s="6">
        <v>42912</v>
      </c>
      <c r="B680" s="3" t="s">
        <v>3494</v>
      </c>
      <c r="C680" s="3" t="s">
        <v>14</v>
      </c>
      <c r="D680" s="8" t="str">
        <f>HYPERLINK("http://npthd.inbcu.com/ViewContent.aspx?filename=NPMR_NBC_2017-06-26_E.MP4$6140$6144","Little Big Shots")</f>
        <v>Little Big Shots</v>
      </c>
      <c r="E680" s="3" t="s">
        <v>84</v>
      </c>
      <c r="F680" s="3" t="s">
        <v>3985</v>
      </c>
      <c r="G680" s="3" t="s">
        <v>2419</v>
      </c>
    </row>
    <row r="681" spans="1:7">
      <c r="A681" s="6">
        <v>42912</v>
      </c>
      <c r="B681" s="3" t="s">
        <v>3494</v>
      </c>
      <c r="C681" s="3" t="s">
        <v>32</v>
      </c>
      <c r="D681" s="8" t="str">
        <f>HYPERLINK("http://npthd.inbcu.com/ViewContent.aspx?filename=NPMR_NBC_2017-06-26_E.MP4$6144$6234","LOCAL")</f>
        <v>LOCAL</v>
      </c>
      <c r="E681" s="3" t="s">
        <v>46</v>
      </c>
      <c r="F681" s="3" t="s">
        <v>2419</v>
      </c>
      <c r="G681" s="3" t="s">
        <v>3986</v>
      </c>
    </row>
    <row r="682" spans="1:7">
      <c r="A682" s="6">
        <v>42912</v>
      </c>
      <c r="B682" s="3" t="s">
        <v>3494</v>
      </c>
      <c r="C682" s="3" t="s">
        <v>14</v>
      </c>
      <c r="D682" s="8" t="str">
        <f>HYPERLINK("http://npthd.inbcu.com/ViewContent.aspx?filename=NPMR_NBC_2017-06-26_E.MP4$6234$6250","Midnight Texas")</f>
        <v>Midnight Texas</v>
      </c>
      <c r="E682" s="3" t="s">
        <v>64</v>
      </c>
      <c r="F682" s="3" t="s">
        <v>3986</v>
      </c>
      <c r="G682" s="3" t="s">
        <v>1353</v>
      </c>
    </row>
    <row r="683" spans="1:7">
      <c r="A683" s="6">
        <v>42912</v>
      </c>
      <c r="B683" s="3" t="s">
        <v>3494</v>
      </c>
      <c r="C683" s="3" t="s">
        <v>18</v>
      </c>
      <c r="D683" s="8" t="str">
        <f>HYPERLINK("http://npthd.inbcu.com/ViewContent.aspx?filename=NPMR_NBC_2017-06-26_E.MP4$6250$6643","AMERICAN NINJA WARRIOR: daytona beach qualifiers")</f>
        <v>AMERICAN NINJA WARRIOR: daytona beach qualifiers</v>
      </c>
      <c r="E683" s="3" t="s">
        <v>765</v>
      </c>
      <c r="F683" s="3" t="s">
        <v>1353</v>
      </c>
      <c r="G683" s="3" t="s">
        <v>3987</v>
      </c>
    </row>
    <row r="684" spans="1:7">
      <c r="A684" s="6">
        <v>42912</v>
      </c>
      <c r="B684" s="3" t="s">
        <v>3494</v>
      </c>
      <c r="C684" s="3" t="s">
        <v>21</v>
      </c>
      <c r="D684" s="8" t="str">
        <f>HYPERLINK("http://npthd.inbcu.com/ViewContent.aspx?filename=NPMR_NBC_2017-06-26_E.MP4$6643$6824","COMMERCIAL")</f>
        <v>COMMERCIAL</v>
      </c>
      <c r="E684" s="3" t="s">
        <v>108</v>
      </c>
      <c r="F684" s="3" t="s">
        <v>3987</v>
      </c>
      <c r="G684" s="3" t="s">
        <v>1361</v>
      </c>
    </row>
    <row r="685" spans="1:7">
      <c r="A685" s="6">
        <v>42912</v>
      </c>
      <c r="B685" s="3" t="s">
        <v>3494</v>
      </c>
      <c r="C685" s="3" t="s">
        <v>14</v>
      </c>
      <c r="D685" s="8" t="str">
        <f>HYPERLINK("http://npthd.inbcu.com/ViewContent.aspx?filename=NPMR_NBC_2017-06-26_E.MP4$6824$6839","World of Dance")</f>
        <v>World of Dance</v>
      </c>
      <c r="E685" s="3" t="s">
        <v>30</v>
      </c>
      <c r="F685" s="3" t="s">
        <v>1361</v>
      </c>
      <c r="G685" s="3" t="s">
        <v>559</v>
      </c>
    </row>
    <row r="686" spans="1:7">
      <c r="A686" s="6">
        <v>42912</v>
      </c>
      <c r="B686" s="3" t="s">
        <v>3494</v>
      </c>
      <c r="C686" s="3" t="s">
        <v>14</v>
      </c>
      <c r="D686" s="8" t="str">
        <f>HYPERLINK("http://npthd.inbcu.com/ViewContent.aspx?filename=NPMR_NBC_2017-06-26_E.MP4$6839$6854","Spartan Race")</f>
        <v>Spartan Race</v>
      </c>
      <c r="E686" s="3" t="s">
        <v>30</v>
      </c>
      <c r="F686" s="3" t="s">
        <v>559</v>
      </c>
      <c r="G686" s="3" t="s">
        <v>3988</v>
      </c>
    </row>
    <row r="687" spans="1:7">
      <c r="A687" s="6">
        <v>42912</v>
      </c>
      <c r="B687" s="3" t="s">
        <v>3494</v>
      </c>
      <c r="C687" s="3" t="s">
        <v>18</v>
      </c>
      <c r="D687" s="8" t="str">
        <f>HYPERLINK("http://npthd.inbcu.com/ViewContent.aspx?filename=NPMR_NBC_2017-06-26_E.MP4$6854$7247","AMERICAN NINJA WARRIOR: daytona beach qualifiers")</f>
        <v>AMERICAN NINJA WARRIOR: daytona beach qualifiers</v>
      </c>
      <c r="E687" s="3" t="s">
        <v>765</v>
      </c>
      <c r="F687" s="3" t="s">
        <v>3988</v>
      </c>
      <c r="G687" s="3" t="s">
        <v>1366</v>
      </c>
    </row>
    <row r="688" spans="1:7">
      <c r="A688" s="6">
        <v>42912</v>
      </c>
      <c r="B688" s="3" t="s">
        <v>3494</v>
      </c>
      <c r="C688" s="3" t="s">
        <v>14</v>
      </c>
      <c r="D688" s="8" t="str">
        <f>HYPERLINK("http://npthd.inbcu.com/ViewContent.aspx?filename=NPMR_NBC_2017-06-26_E.MP4$7247$7262","American Ninja Warrior")</f>
        <v>American Ninja Warrior</v>
      </c>
      <c r="E688" s="3" t="s">
        <v>30</v>
      </c>
      <c r="F688" s="3" t="s">
        <v>1366</v>
      </c>
      <c r="G688" s="3" t="s">
        <v>3989</v>
      </c>
    </row>
    <row r="689" spans="1:7">
      <c r="A689" s="6">
        <v>42912</v>
      </c>
      <c r="B689" s="3" t="s">
        <v>3494</v>
      </c>
      <c r="C689" s="3" t="s">
        <v>14</v>
      </c>
      <c r="D689" s="8" t="str">
        <f>HYPERLINK("http://npthd.inbcu.com/ViewContent.aspx?filename=NPMR_NBC_2017-06-26_E.MP4$7262$7278","Spartan Race")</f>
        <v>Spartan Race</v>
      </c>
      <c r="E689" s="3" t="s">
        <v>64</v>
      </c>
      <c r="F689" s="3" t="s">
        <v>3989</v>
      </c>
      <c r="G689" s="3" t="s">
        <v>183</v>
      </c>
    </row>
    <row r="690" spans="1:7">
      <c r="A690" s="6">
        <v>42912</v>
      </c>
      <c r="B690" s="3" t="s">
        <v>3494</v>
      </c>
      <c r="C690" s="3" t="s">
        <v>18</v>
      </c>
      <c r="D690" s="8" t="str">
        <f>HYPERLINK("http://npthd.inbcu.com/ViewContent.aspx?filename=NPMR_NBC_2017-06-26_E.MP4$7278$7284","AMERICAN NINJA WARRIOR: daytona beach qualifiers")</f>
        <v>AMERICAN NINJA WARRIOR: daytona beach qualifiers</v>
      </c>
      <c r="E690" s="3" t="s">
        <v>15</v>
      </c>
      <c r="F690" s="3" t="s">
        <v>183</v>
      </c>
      <c r="G690" s="3" t="s">
        <v>394</v>
      </c>
    </row>
    <row r="691" spans="1:7">
      <c r="A691" s="6">
        <v>42912</v>
      </c>
      <c r="B691" s="3" t="s">
        <v>3494</v>
      </c>
      <c r="C691" s="3" t="s">
        <v>18</v>
      </c>
      <c r="D691" s="8" t="str">
        <f>HYPERLINK("http://npthd.inbcu.com/ViewContent.aspx?filename=NPMR_NBC_2017-06-26_E.MP4$7284$8020","SPARTAN: ULTIMATE TEAM CHALLENGE: qualifiers - night 3")</f>
        <v>SPARTAN: ULTIMATE TEAM CHALLENGE: qualifiers - night 3</v>
      </c>
      <c r="E691" s="3" t="s">
        <v>3990</v>
      </c>
      <c r="F691" s="3" t="s">
        <v>394</v>
      </c>
      <c r="G691" s="3" t="s">
        <v>3441</v>
      </c>
    </row>
    <row r="692" spans="1:7">
      <c r="A692" s="6">
        <v>42912</v>
      </c>
      <c r="B692" s="3" t="s">
        <v>3494</v>
      </c>
      <c r="C692" s="3" t="s">
        <v>21</v>
      </c>
      <c r="D692" s="8" t="str">
        <f>HYPERLINK("http://npthd.inbcu.com/ViewContent.aspx?filename=NPMR_NBC_2017-06-26_E.MP4$8020$8170","COMMERCIAL")</f>
        <v>COMMERCIAL</v>
      </c>
      <c r="E692" s="3" t="s">
        <v>28</v>
      </c>
      <c r="F692" s="3" t="s">
        <v>3441</v>
      </c>
      <c r="G692" s="3" t="s">
        <v>3991</v>
      </c>
    </row>
    <row r="693" spans="1:7">
      <c r="A693" s="6">
        <v>42912</v>
      </c>
      <c r="B693" s="3" t="s">
        <v>3494</v>
      </c>
      <c r="C693" s="3" t="s">
        <v>14</v>
      </c>
      <c r="D693" s="8" t="str">
        <f>HYPERLINK("http://npthd.inbcu.com/ViewContent.aspx?filename=NPMR_NBC_2017-06-26_E.MP4$8170$8185","Today")</f>
        <v>Today</v>
      </c>
      <c r="E693" s="3" t="s">
        <v>30</v>
      </c>
      <c r="F693" s="3" t="s">
        <v>3991</v>
      </c>
      <c r="G693" s="3" t="s">
        <v>1979</v>
      </c>
    </row>
    <row r="694" spans="1:7">
      <c r="A694" s="6">
        <v>42912</v>
      </c>
      <c r="B694" s="3" t="s">
        <v>3494</v>
      </c>
      <c r="C694" s="3" t="s">
        <v>32</v>
      </c>
      <c r="D694" s="8" t="str">
        <f>HYPERLINK("http://npthd.inbcu.com/ViewContent.aspx?filename=NPMR_NBC_2017-06-26_E.MP4$8185$8218","LOCAL")</f>
        <v>LOCAL</v>
      </c>
      <c r="E694" s="3" t="s">
        <v>2667</v>
      </c>
      <c r="F694" s="3" t="s">
        <v>1979</v>
      </c>
      <c r="G694" s="3" t="s">
        <v>3745</v>
      </c>
    </row>
    <row r="695" spans="1:7">
      <c r="A695" s="6">
        <v>42912</v>
      </c>
      <c r="B695" s="3" t="s">
        <v>3494</v>
      </c>
      <c r="C695" s="3" t="s">
        <v>18</v>
      </c>
      <c r="D695" s="8" t="str">
        <f>HYPERLINK("http://npthd.inbcu.com/ViewContent.aspx?filename=NPMR_NBC_2017-06-26_E.MP4$8218$8514","SPARTAN: ULTIMATE TEAM CHALLENGE: qualifiers - night 3")</f>
        <v>SPARTAN: ULTIMATE TEAM CHALLENGE: qualifiers - night 3</v>
      </c>
      <c r="E695" s="3" t="s">
        <v>1389</v>
      </c>
      <c r="F695" s="3" t="s">
        <v>3745</v>
      </c>
      <c r="G695" s="3" t="s">
        <v>3992</v>
      </c>
    </row>
    <row r="696" spans="1:7">
      <c r="A696" s="6">
        <v>42912</v>
      </c>
      <c r="B696" s="3" t="s">
        <v>3494</v>
      </c>
      <c r="C696" s="3" t="s">
        <v>21</v>
      </c>
      <c r="D696" s="8" t="str">
        <f>HYPERLINK("http://npthd.inbcu.com/ViewContent.aspx?filename=NPMR_NBC_2017-06-26_E.MP4$8514$8694","COMMERCIAL")</f>
        <v>COMMERCIAL</v>
      </c>
      <c r="E696" s="3" t="s">
        <v>22</v>
      </c>
      <c r="F696" s="3" t="s">
        <v>3992</v>
      </c>
      <c r="G696" s="3" t="s">
        <v>3993</v>
      </c>
    </row>
    <row r="697" spans="1:7">
      <c r="A697" s="6">
        <v>42912</v>
      </c>
      <c r="B697" s="3" t="s">
        <v>3494</v>
      </c>
      <c r="C697" s="3" t="s">
        <v>14</v>
      </c>
      <c r="D697" s="8" t="str">
        <f>HYPERLINK("http://npthd.inbcu.com/ViewContent.aspx?filename=NPMR_NBC_2017-06-26_E.MP4$8694$8724","AGT/WOD")</f>
        <v>AGT/WOD</v>
      </c>
      <c r="E697" s="3" t="s">
        <v>38</v>
      </c>
      <c r="F697" s="3" t="s">
        <v>3993</v>
      </c>
      <c r="G697" s="3" t="s">
        <v>3994</v>
      </c>
    </row>
    <row r="698" spans="1:7">
      <c r="A698" s="6">
        <v>42912</v>
      </c>
      <c r="B698" s="3" t="s">
        <v>3494</v>
      </c>
      <c r="C698" s="3" t="s">
        <v>18</v>
      </c>
      <c r="D698" s="8" t="str">
        <f>HYPERLINK("http://npthd.inbcu.com/ViewContent.aspx?filename=NPMR_NBC_2017-06-26_E.MP4$8724$9090","SPARTAN: ULTIMATE TEAM CHALLENGE: qualifiers - night 3")</f>
        <v>SPARTAN: ULTIMATE TEAM CHALLENGE: qualifiers - night 3</v>
      </c>
      <c r="E698" s="3" t="s">
        <v>957</v>
      </c>
      <c r="F698" s="3" t="s">
        <v>3994</v>
      </c>
      <c r="G698" s="3" t="s">
        <v>3995</v>
      </c>
    </row>
    <row r="699" spans="1:7">
      <c r="A699" s="6">
        <v>42912</v>
      </c>
      <c r="B699" s="3" t="s">
        <v>3494</v>
      </c>
      <c r="C699" s="3" t="s">
        <v>21</v>
      </c>
      <c r="D699" s="8" t="str">
        <f>HYPERLINK("http://npthd.inbcu.com/ViewContent.aspx?filename=NPMR_NBC_2017-06-26_E.MP4$9090$9120","COMMERCIAL")</f>
        <v>COMMERCIAL</v>
      </c>
      <c r="E699" s="3" t="s">
        <v>38</v>
      </c>
      <c r="F699" s="3" t="s">
        <v>3995</v>
      </c>
      <c r="G699" s="3" t="s">
        <v>1523</v>
      </c>
    </row>
    <row r="700" spans="1:7">
      <c r="A700" s="6">
        <v>42912</v>
      </c>
      <c r="B700" s="3" t="s">
        <v>3494</v>
      </c>
      <c r="C700" s="3" t="s">
        <v>14</v>
      </c>
      <c r="D700" s="8" t="str">
        <f>HYPERLINK("http://npthd.inbcu.com/ViewContent.aspx?filename=NPMR_NBC_2017-06-26_E.MP4$9120$9150","Despicable Me 3")</f>
        <v>Despicable Me 3</v>
      </c>
      <c r="E700" s="3" t="s">
        <v>38</v>
      </c>
      <c r="F700" s="3" t="s">
        <v>1523</v>
      </c>
      <c r="G700" s="3" t="s">
        <v>485</v>
      </c>
    </row>
    <row r="701" spans="1:7">
      <c r="A701" s="6">
        <v>42912</v>
      </c>
      <c r="B701" s="3" t="s">
        <v>3494</v>
      </c>
      <c r="C701" s="3" t="s">
        <v>14</v>
      </c>
      <c r="D701" s="8" t="str">
        <f>HYPERLINK("http://npthd.inbcu.com/ViewContent.aspx?filename=NPMR_NBC_2017-06-26_E.MP4$9150$9155","Late Night with Seth Meyers")</f>
        <v>Late Night with Seth Meyers</v>
      </c>
      <c r="E701" s="3" t="s">
        <v>54</v>
      </c>
      <c r="F701" s="3" t="s">
        <v>485</v>
      </c>
      <c r="G701" s="3" t="s">
        <v>3361</v>
      </c>
    </row>
    <row r="702" spans="1:7">
      <c r="A702" s="6">
        <v>42912</v>
      </c>
      <c r="B702" s="3" t="s">
        <v>3494</v>
      </c>
      <c r="C702" s="3" t="s">
        <v>32</v>
      </c>
      <c r="D702" s="8" t="str">
        <f>HYPERLINK("http://npthd.inbcu.com/ViewContent.aspx?filename=NPMR_NBC_2017-06-26_E.MP4$9155$9320","LOCAL")</f>
        <v>LOCAL</v>
      </c>
      <c r="E702" s="3" t="s">
        <v>428</v>
      </c>
      <c r="F702" s="3" t="s">
        <v>3361</v>
      </c>
      <c r="G702" s="3" t="s">
        <v>3996</v>
      </c>
    </row>
    <row r="703" spans="1:7">
      <c r="A703" s="6">
        <v>42912</v>
      </c>
      <c r="B703" s="3" t="s">
        <v>3494</v>
      </c>
      <c r="C703" s="3" t="s">
        <v>14</v>
      </c>
      <c r="D703" s="8" t="str">
        <f>HYPERLINK("http://npthd.inbcu.com/ViewContent.aspx?filename=NPMR_NBC_2017-06-26_E.MP4$9320$9329","Tonight Show starring Jimmy Fallon, The")</f>
        <v>Tonight Show starring Jimmy Fallon, The</v>
      </c>
      <c r="E703" s="3" t="s">
        <v>2074</v>
      </c>
      <c r="F703" s="3" t="s">
        <v>3996</v>
      </c>
      <c r="G703" s="3" t="s">
        <v>3486</v>
      </c>
    </row>
    <row r="704" spans="1:7">
      <c r="A704" s="6">
        <v>42912</v>
      </c>
      <c r="B704" s="3" t="s">
        <v>3494</v>
      </c>
      <c r="C704" s="3" t="s">
        <v>14</v>
      </c>
      <c r="D704" s="8" t="str">
        <f>HYPERLINK("http://npthd.inbcu.com/ViewContent.aspx?filename=NPMR_NBC_2017-06-26_E.MP4$9329$9334","Daytona 500")</f>
        <v>Daytona 500</v>
      </c>
      <c r="E704" s="3" t="s">
        <v>54</v>
      </c>
      <c r="F704" s="3" t="s">
        <v>3486</v>
      </c>
      <c r="G704" s="3" t="s">
        <v>3997</v>
      </c>
    </row>
    <row r="705" spans="1:7">
      <c r="A705" s="6">
        <v>42912</v>
      </c>
      <c r="B705" s="3" t="s">
        <v>3494</v>
      </c>
      <c r="C705" s="3" t="s">
        <v>18</v>
      </c>
      <c r="D705" s="8" t="str">
        <f>HYPERLINK("http://npthd.inbcu.com/ViewContent.aspx?filename=NPMR_NBC_2017-06-26_E.MP4$9334$9811","SPARTAN: ULTIMATE TEAM CHALLENGE: qualifiers - night 3")</f>
        <v>SPARTAN: ULTIMATE TEAM CHALLENGE: qualifiers - night 3</v>
      </c>
      <c r="E705" s="3" t="s">
        <v>345</v>
      </c>
      <c r="F705" s="3" t="s">
        <v>3997</v>
      </c>
      <c r="G705" s="3" t="s">
        <v>3998</v>
      </c>
    </row>
    <row r="706" spans="1:7">
      <c r="A706" s="6">
        <v>42912</v>
      </c>
      <c r="B706" s="3" t="s">
        <v>3494</v>
      </c>
      <c r="C706" s="3" t="s">
        <v>21</v>
      </c>
      <c r="D706" s="8" t="str">
        <f>HYPERLINK("http://npthd.inbcu.com/ViewContent.aspx?filename=NPMR_NBC_2017-06-26_E.MP4$9811$9991","COMMERCIAL")</f>
        <v>COMMERCIAL</v>
      </c>
      <c r="E706" s="3" t="s">
        <v>22</v>
      </c>
      <c r="F706" s="3" t="s">
        <v>3998</v>
      </c>
      <c r="G706" s="3" t="s">
        <v>1097</v>
      </c>
    </row>
    <row r="707" spans="1:7">
      <c r="A707" s="6">
        <v>42912</v>
      </c>
      <c r="B707" s="3" t="s">
        <v>3494</v>
      </c>
      <c r="C707" s="3" t="s">
        <v>14</v>
      </c>
      <c r="D707" s="8" t="str">
        <f>HYPERLINK("http://npthd.inbcu.com/ViewContent.aspx?filename=NPMR_NBC_2017-06-26_E.MP4$9991$10021","NBC Thursday")</f>
        <v>NBC Thursday</v>
      </c>
      <c r="E707" s="3" t="s">
        <v>38</v>
      </c>
      <c r="F707" s="3" t="s">
        <v>1097</v>
      </c>
      <c r="G707" s="3" t="s">
        <v>3999</v>
      </c>
    </row>
    <row r="708" spans="1:7">
      <c r="A708" s="6">
        <v>42912</v>
      </c>
      <c r="B708" s="3" t="s">
        <v>3494</v>
      </c>
      <c r="C708" s="3" t="s">
        <v>18</v>
      </c>
      <c r="D708" s="8" t="str">
        <f>HYPERLINK("http://npthd.inbcu.com/ViewContent.aspx?filename=NPMR_NBC_2017-06-26_E.MP4$10021$10324","SPARTAN: ULTIMATE TEAM CHALLENGE: qualifiers - night 3")</f>
        <v>SPARTAN: ULTIMATE TEAM CHALLENGE: qualifiers - night 3</v>
      </c>
      <c r="E708" s="3" t="s">
        <v>1849</v>
      </c>
      <c r="F708" s="3" t="s">
        <v>3999</v>
      </c>
      <c r="G708" s="3" t="s">
        <v>3853</v>
      </c>
    </row>
    <row r="709" spans="1:7">
      <c r="A709" s="6">
        <v>42912</v>
      </c>
      <c r="B709" s="3" t="s">
        <v>3494</v>
      </c>
      <c r="C709" s="3" t="s">
        <v>21</v>
      </c>
      <c r="D709" s="8" t="str">
        <f>HYPERLINK("http://npthd.inbcu.com/ViewContent.aspx?filename=NPMR_NBC_2017-06-26_E.MP4$10324$10474","COMMERCIAL")</f>
        <v>COMMERCIAL</v>
      </c>
      <c r="E709" s="3" t="s">
        <v>28</v>
      </c>
      <c r="F709" s="3" t="s">
        <v>3853</v>
      </c>
      <c r="G709" s="3" t="s">
        <v>4000</v>
      </c>
    </row>
    <row r="710" spans="1:7">
      <c r="A710" s="6">
        <v>42912</v>
      </c>
      <c r="B710" s="3" t="s">
        <v>3494</v>
      </c>
      <c r="C710" s="3" t="s">
        <v>32</v>
      </c>
      <c r="D710" s="8" t="str">
        <f>HYPERLINK("http://npthd.inbcu.com/ViewContent.aspx?filename=NPMR_NBC_2017-06-26_E.MP4$10474$10489","LOCAL")</f>
        <v>LOCAL</v>
      </c>
      <c r="E710" s="3" t="s">
        <v>30</v>
      </c>
      <c r="F710" s="3" t="s">
        <v>4000</v>
      </c>
      <c r="G710" s="3" t="s">
        <v>4001</v>
      </c>
    </row>
    <row r="711" spans="1:7">
      <c r="A711" s="6">
        <v>42912</v>
      </c>
      <c r="B711" s="3" t="s">
        <v>3494</v>
      </c>
      <c r="C711" s="3" t="s">
        <v>14</v>
      </c>
      <c r="D711" s="8" t="str">
        <f>HYPERLINK("http://npthd.inbcu.com/ViewContent.aspx?filename=NPMR_NBC_2017-06-26_E.MP4$10489$10504","Despicable Me 3")</f>
        <v>Despicable Me 3</v>
      </c>
      <c r="E711" s="3" t="s">
        <v>30</v>
      </c>
      <c r="F711" s="3" t="s">
        <v>4001</v>
      </c>
      <c r="G711" s="3" t="s">
        <v>4002</v>
      </c>
    </row>
    <row r="712" spans="1:7">
      <c r="A712" s="6">
        <v>42912</v>
      </c>
      <c r="B712" s="3" t="s">
        <v>3494</v>
      </c>
      <c r="C712" s="3" t="s">
        <v>18</v>
      </c>
      <c r="D712" s="8" t="str">
        <f>HYPERLINK("http://npthd.inbcu.com/ViewContent.aspx?filename=NPMR_NBC_2017-06-26_E.MP4$10504$10818","SPARTAN: ULTIMATE TEAM CHALLENGE: qualifiers - night 3")</f>
        <v>SPARTAN: ULTIMATE TEAM CHALLENGE: qualifiers - night 3</v>
      </c>
      <c r="E712" s="3" t="s">
        <v>1510</v>
      </c>
      <c r="F712" s="3" t="s">
        <v>4002</v>
      </c>
      <c r="G712" s="3" t="s">
        <v>3552</v>
      </c>
    </row>
    <row r="713" spans="1:7">
      <c r="A713" s="6">
        <v>42912</v>
      </c>
      <c r="B713" s="3" t="s">
        <v>3494</v>
      </c>
      <c r="C713" s="3" t="s">
        <v>14</v>
      </c>
      <c r="D713" s="8" t="str">
        <f>HYPERLINK("http://npthd.inbcu.com/ViewContent.aspx?filename=NPMR_NBC_2017-06-26_E.MP4$10818$10848","Spartan Race")</f>
        <v>Spartan Race</v>
      </c>
      <c r="E713" s="3" t="s">
        <v>38</v>
      </c>
      <c r="F713" s="3" t="s">
        <v>3552</v>
      </c>
      <c r="G713" s="3" t="s">
        <v>3553</v>
      </c>
    </row>
    <row r="714" spans="1:7">
      <c r="A714" s="6">
        <v>42912</v>
      </c>
      <c r="B714" s="3" t="s">
        <v>3494</v>
      </c>
      <c r="C714" s="3" t="s">
        <v>18</v>
      </c>
      <c r="D714" s="8" t="str">
        <f>HYPERLINK("http://npthd.inbcu.com/ViewContent.aspx?filename=NPMR_NBC_2017-06-26_E.MP4$10848$10854","SPARTAN: ULTIMATE TEAM CHALLENGE: qualifiers - night 3")</f>
        <v>SPARTAN: ULTIMATE TEAM CHALLENGE: qualifiers - night 3</v>
      </c>
      <c r="E714" s="3" t="s">
        <v>15</v>
      </c>
      <c r="F714" s="3" t="s">
        <v>3553</v>
      </c>
      <c r="G714" s="3" t="s">
        <v>3554</v>
      </c>
    </row>
    <row r="715" spans="1:7">
      <c r="A715" s="6">
        <v>42912</v>
      </c>
      <c r="B715" s="3" t="s">
        <v>3494</v>
      </c>
      <c r="C715" s="3" t="s">
        <v>32</v>
      </c>
      <c r="D715" s="8" t="str">
        <f>HYPERLINK("http://npthd.inbcu.com/ViewContent.aspx?filename=NPMR_NBC_2017-06-26_E.MP4$10854$10884","LOCAL")</f>
        <v>LOCAL</v>
      </c>
      <c r="E715" s="3" t="s">
        <v>38</v>
      </c>
      <c r="F715" s="3" t="s">
        <v>3554</v>
      </c>
      <c r="G715" s="3" t="s">
        <v>124</v>
      </c>
    </row>
    <row r="716" spans="1:7">
      <c r="A716" s="6">
        <v>42913</v>
      </c>
      <c r="B716" s="3" t="s">
        <v>3494</v>
      </c>
      <c r="C716" s="3" t="s">
        <v>18</v>
      </c>
      <c r="D716" s="8" t="str">
        <f>HYPERLINK("http://npthd.inbcu.com/ViewContent.aspx?filename=NPMR_NBC_2017-06-27_E.MP4$101$595","AMERICAS GOT TALENT: auditions 5")</f>
        <v>AMERICAS GOT TALENT: auditions 5</v>
      </c>
      <c r="E716" s="3" t="s">
        <v>386</v>
      </c>
      <c r="F716" s="3" t="s">
        <v>16</v>
      </c>
      <c r="G716" s="3" t="s">
        <v>4003</v>
      </c>
    </row>
    <row r="717" spans="1:7">
      <c r="A717" s="6">
        <v>42913</v>
      </c>
      <c r="B717" s="3" t="s">
        <v>3494</v>
      </c>
      <c r="C717" s="3" t="s">
        <v>21</v>
      </c>
      <c r="D717" s="8" t="str">
        <f>HYPERLINK("http://npthd.inbcu.com/ViewContent.aspx?filename=NPMR_NBC_2017-06-27_E.MP4$595$776","COMMERCIAL")</f>
        <v>COMMERCIAL</v>
      </c>
      <c r="E717" s="3" t="s">
        <v>108</v>
      </c>
      <c r="F717" s="3" t="s">
        <v>4003</v>
      </c>
      <c r="G717" s="3" t="s">
        <v>4004</v>
      </c>
    </row>
    <row r="718" spans="1:7">
      <c r="A718" s="6">
        <v>42913</v>
      </c>
      <c r="B718" s="3" t="s">
        <v>3494</v>
      </c>
      <c r="C718" s="3" t="s">
        <v>14</v>
      </c>
      <c r="D718" s="8" t="str">
        <f>HYPERLINK("http://npthd.inbcu.com/ViewContent.aspx?filename=NPMR_NBC_2017-06-27_E.MP4$776$806","NBC Thursday")</f>
        <v>NBC Thursday</v>
      </c>
      <c r="E718" s="3" t="s">
        <v>38</v>
      </c>
      <c r="F718" s="3" t="s">
        <v>4004</v>
      </c>
      <c r="G718" s="3" t="s">
        <v>4005</v>
      </c>
    </row>
    <row r="719" spans="1:7">
      <c r="A719" s="6">
        <v>42913</v>
      </c>
      <c r="B719" s="3" t="s">
        <v>3494</v>
      </c>
      <c r="C719" s="3" t="s">
        <v>18</v>
      </c>
      <c r="D719" s="8" t="str">
        <f>HYPERLINK("http://npthd.inbcu.com/ViewContent.aspx?filename=NPMR_NBC_2017-06-27_E.MP4$806$1319","AMERICAS GOT TALENT: auditions 5")</f>
        <v>AMERICAS GOT TALENT: auditions 5</v>
      </c>
      <c r="E719" s="3" t="s">
        <v>1488</v>
      </c>
      <c r="F719" s="3" t="s">
        <v>4005</v>
      </c>
      <c r="G719" s="3" t="s">
        <v>2808</v>
      </c>
    </row>
    <row r="720" spans="1:7">
      <c r="A720" s="6">
        <v>42913</v>
      </c>
      <c r="B720" s="3" t="s">
        <v>3494</v>
      </c>
      <c r="C720" s="3" t="s">
        <v>21</v>
      </c>
      <c r="D720" s="8" t="str">
        <f>HYPERLINK("http://npthd.inbcu.com/ViewContent.aspx?filename=NPMR_NBC_2017-06-27_E.MP4$1319$1424","COMMERCIAL")</f>
        <v>COMMERCIAL</v>
      </c>
      <c r="E720" s="3" t="s">
        <v>199</v>
      </c>
      <c r="F720" s="3" t="s">
        <v>2808</v>
      </c>
      <c r="G720" s="3" t="s">
        <v>1046</v>
      </c>
    </row>
    <row r="721" spans="1:7">
      <c r="A721" s="6">
        <v>42913</v>
      </c>
      <c r="B721" s="3" t="s">
        <v>3494</v>
      </c>
      <c r="C721" s="3" t="s">
        <v>14</v>
      </c>
      <c r="D721" s="8" t="str">
        <f>HYPERLINK("http://npthd.inbcu.com/ViewContent.aspx?filename=NPMR_NBC_2017-06-27_E.MP4$1424$1439","Carmichael Show, The")</f>
        <v>Carmichael Show, The</v>
      </c>
      <c r="E721" s="3" t="s">
        <v>30</v>
      </c>
      <c r="F721" s="3" t="s">
        <v>1046</v>
      </c>
      <c r="G721" s="3" t="s">
        <v>1047</v>
      </c>
    </row>
    <row r="722" spans="1:7">
      <c r="A722" s="6">
        <v>42913</v>
      </c>
      <c r="B722" s="3" t="s">
        <v>3494</v>
      </c>
      <c r="C722" s="3" t="s">
        <v>32</v>
      </c>
      <c r="D722" s="8" t="str">
        <f>HYPERLINK("http://npthd.inbcu.com/ViewContent.aspx?filename=NPMR_NBC_2017-06-27_E.MP4$1439$1533","LOCAL")</f>
        <v>LOCAL</v>
      </c>
      <c r="E722" s="3" t="s">
        <v>1917</v>
      </c>
      <c r="F722" s="3" t="s">
        <v>1047</v>
      </c>
      <c r="G722" s="3" t="s">
        <v>4006</v>
      </c>
    </row>
    <row r="723" spans="1:7">
      <c r="A723" s="6">
        <v>42913</v>
      </c>
      <c r="B723" s="3" t="s">
        <v>3494</v>
      </c>
      <c r="C723" s="3" t="s">
        <v>14</v>
      </c>
      <c r="D723" s="8" t="str">
        <f>HYPERLINK("http://npthd.inbcu.com/ViewContent.aspx?filename=NPMR_NBC_2017-06-27_E.MP4$1533$1548","Midnight Texas")</f>
        <v>Midnight Texas</v>
      </c>
      <c r="E723" s="3" t="s">
        <v>30</v>
      </c>
      <c r="F723" s="3" t="s">
        <v>4006</v>
      </c>
      <c r="G723" s="3" t="s">
        <v>4007</v>
      </c>
    </row>
    <row r="724" spans="1:7">
      <c r="A724" s="6">
        <v>42913</v>
      </c>
      <c r="B724" s="3" t="s">
        <v>3494</v>
      </c>
      <c r="C724" s="3" t="s">
        <v>18</v>
      </c>
      <c r="D724" s="8" t="str">
        <f>HYPERLINK("http://npthd.inbcu.com/ViewContent.aspx?filename=NPMR_NBC_2017-06-27_E.MP4$1548$2002","AMERICAS GOT TALENT: auditions 5")</f>
        <v>AMERICAS GOT TALENT: auditions 5</v>
      </c>
      <c r="E724" s="3" t="s">
        <v>3558</v>
      </c>
      <c r="F724" s="3" t="s">
        <v>4007</v>
      </c>
      <c r="G724" s="3" t="s">
        <v>4008</v>
      </c>
    </row>
    <row r="725" spans="1:7">
      <c r="A725" s="6">
        <v>42913</v>
      </c>
      <c r="B725" s="3" t="s">
        <v>3494</v>
      </c>
      <c r="C725" s="3" t="s">
        <v>14</v>
      </c>
      <c r="D725" s="8" t="str">
        <f>HYPERLINK("http://npthd.inbcu.com/ViewContent.aspx?filename=NPMR_NBC_2017-06-27_E.MP4$2002$2017","World of Dance")</f>
        <v>World of Dance</v>
      </c>
      <c r="E725" s="3" t="s">
        <v>30</v>
      </c>
      <c r="F725" s="3" t="s">
        <v>4008</v>
      </c>
      <c r="G725" s="3" t="s">
        <v>4009</v>
      </c>
    </row>
    <row r="726" spans="1:7">
      <c r="A726" s="6">
        <v>42913</v>
      </c>
      <c r="B726" s="3" t="s">
        <v>3494</v>
      </c>
      <c r="C726" s="3" t="s">
        <v>21</v>
      </c>
      <c r="D726" s="8" t="str">
        <f>HYPERLINK("http://npthd.inbcu.com/ViewContent.aspx?filename=NPMR_NBC_2017-06-27_E.MP4$2017$2182","COMMERCIAL")</f>
        <v>COMMERCIAL</v>
      </c>
      <c r="E726" s="3" t="s">
        <v>428</v>
      </c>
      <c r="F726" s="3" t="s">
        <v>4009</v>
      </c>
      <c r="G726" s="3" t="s">
        <v>4010</v>
      </c>
    </row>
    <row r="727" spans="1:7">
      <c r="A727" s="6">
        <v>42913</v>
      </c>
      <c r="B727" s="3" t="s">
        <v>3494</v>
      </c>
      <c r="C727" s="3" t="s">
        <v>14</v>
      </c>
      <c r="D727" s="8" t="str">
        <f>HYPERLINK("http://npthd.inbcu.com/ViewContent.aspx?filename=NPMR_NBC_2017-06-27_E.MP4$2182$2212","Macys July 4 Spectacular")</f>
        <v>Macys July 4 Spectacular</v>
      </c>
      <c r="E727" s="3" t="s">
        <v>38</v>
      </c>
      <c r="F727" s="3" t="s">
        <v>4010</v>
      </c>
      <c r="G727" s="3" t="s">
        <v>435</v>
      </c>
    </row>
    <row r="728" spans="1:7">
      <c r="A728" s="6">
        <v>42913</v>
      </c>
      <c r="B728" s="3" t="s">
        <v>3494</v>
      </c>
      <c r="C728" s="3" t="s">
        <v>18</v>
      </c>
      <c r="D728" s="8" t="str">
        <f>HYPERLINK("http://npthd.inbcu.com/ViewContent.aspx?filename=NPMR_NBC_2017-06-27_E.MP4$2212$2657","AMERICAS GOT TALENT: auditions 5")</f>
        <v>AMERICAS GOT TALENT: auditions 5</v>
      </c>
      <c r="E728" s="3" t="s">
        <v>426</v>
      </c>
      <c r="F728" s="3" t="s">
        <v>435</v>
      </c>
      <c r="G728" s="3" t="s">
        <v>2188</v>
      </c>
    </row>
    <row r="729" spans="1:7">
      <c r="A729" s="6">
        <v>42913</v>
      </c>
      <c r="B729" s="3" t="s">
        <v>3494</v>
      </c>
      <c r="C729" s="3" t="s">
        <v>21</v>
      </c>
      <c r="D729" s="8" t="str">
        <f>HYPERLINK("http://npthd.inbcu.com/ViewContent.aspx?filename=NPMR_NBC_2017-06-27_E.MP4$2657$2747","COMMERCIAL")</f>
        <v>COMMERCIAL</v>
      </c>
      <c r="E729" s="3" t="s">
        <v>46</v>
      </c>
      <c r="F729" s="3" t="s">
        <v>2188</v>
      </c>
      <c r="G729" s="3" t="s">
        <v>2402</v>
      </c>
    </row>
    <row r="730" spans="1:7">
      <c r="A730" s="6">
        <v>42913</v>
      </c>
      <c r="B730" s="3" t="s">
        <v>3494</v>
      </c>
      <c r="C730" s="3" t="s">
        <v>14</v>
      </c>
      <c r="D730" s="8" t="str">
        <f>HYPERLINK("http://npthd.inbcu.com/ViewContent.aspx?filename=NPMR_NBC_2017-06-27_E.MP4$2747$2752","Little Big Shots: Forever Young")</f>
        <v>Little Big Shots: Forever Young</v>
      </c>
      <c r="E730" s="3" t="s">
        <v>54</v>
      </c>
      <c r="F730" s="3" t="s">
        <v>2402</v>
      </c>
      <c r="G730" s="3" t="s">
        <v>4011</v>
      </c>
    </row>
    <row r="731" spans="1:7">
      <c r="A731" s="6">
        <v>42913</v>
      </c>
      <c r="B731" s="3" t="s">
        <v>3494</v>
      </c>
      <c r="C731" s="3" t="s">
        <v>14</v>
      </c>
      <c r="D731" s="8" t="str">
        <f>HYPERLINK("http://npthd.inbcu.com/ViewContent.aspx?filename=NPMR_NBC_2017-06-27_E.MP4$2752$2762","Tonight Show starring Jimmy Fallon, The")</f>
        <v>Tonight Show starring Jimmy Fallon, The</v>
      </c>
      <c r="E731" s="3" t="s">
        <v>197</v>
      </c>
      <c r="F731" s="3" t="s">
        <v>4011</v>
      </c>
      <c r="G731" s="3" t="s">
        <v>44</v>
      </c>
    </row>
    <row r="732" spans="1:7">
      <c r="A732" s="6">
        <v>42913</v>
      </c>
      <c r="B732" s="3" t="s">
        <v>3494</v>
      </c>
      <c r="C732" s="3" t="s">
        <v>32</v>
      </c>
      <c r="D732" s="8" t="str">
        <f>HYPERLINK("http://npthd.inbcu.com/ViewContent.aspx?filename=NPMR_NBC_2017-06-27_E.MP4$2762$2852","LOCAL")</f>
        <v>LOCAL</v>
      </c>
      <c r="E732" s="3" t="s">
        <v>46</v>
      </c>
      <c r="F732" s="3" t="s">
        <v>44</v>
      </c>
      <c r="G732" s="3" t="s">
        <v>4012</v>
      </c>
    </row>
    <row r="733" spans="1:7">
      <c r="A733" s="6">
        <v>42913</v>
      </c>
      <c r="B733" s="3" t="s">
        <v>3494</v>
      </c>
      <c r="C733" s="3" t="s">
        <v>14</v>
      </c>
      <c r="D733" s="8" t="str">
        <f>HYPERLINK("http://npthd.inbcu.com/ViewContent.aspx?filename=NPMR_NBC_2017-06-27_E.MP4$2852$2867","Midnight Texas")</f>
        <v>Midnight Texas</v>
      </c>
      <c r="E733" s="3" t="s">
        <v>30</v>
      </c>
      <c r="F733" s="3" t="s">
        <v>4012</v>
      </c>
      <c r="G733" s="3" t="s">
        <v>47</v>
      </c>
    </row>
    <row r="734" spans="1:7">
      <c r="A734" s="6">
        <v>42913</v>
      </c>
      <c r="B734" s="3" t="s">
        <v>3494</v>
      </c>
      <c r="C734" s="3" t="s">
        <v>18</v>
      </c>
      <c r="D734" s="8" t="str">
        <f>HYPERLINK("http://npthd.inbcu.com/ViewContent.aspx?filename=NPMR_NBC_2017-06-27_E.MP4$2867$3333","AMERICAS GOT TALENT: auditions 5")</f>
        <v>AMERICAS GOT TALENT: auditions 5</v>
      </c>
      <c r="E734" s="3" t="s">
        <v>2515</v>
      </c>
      <c r="F734" s="3" t="s">
        <v>47</v>
      </c>
      <c r="G734" s="3" t="s">
        <v>4013</v>
      </c>
    </row>
    <row r="735" spans="1:7">
      <c r="A735" s="6">
        <v>42913</v>
      </c>
      <c r="B735" s="3" t="s">
        <v>3494</v>
      </c>
      <c r="C735" s="3" t="s">
        <v>21</v>
      </c>
      <c r="D735" s="8" t="str">
        <f>HYPERLINK("http://npthd.inbcu.com/ViewContent.aspx?filename=NPMR_NBC_2017-06-27_E.MP4$3333$3513","COMMERCIAL")</f>
        <v>COMMERCIAL</v>
      </c>
      <c r="E735" s="3" t="s">
        <v>22</v>
      </c>
      <c r="F735" s="3" t="s">
        <v>4013</v>
      </c>
      <c r="G735" s="3" t="s">
        <v>4014</v>
      </c>
    </row>
    <row r="736" spans="1:7">
      <c r="A736" s="6">
        <v>42913</v>
      </c>
      <c r="B736" s="3" t="s">
        <v>3494</v>
      </c>
      <c r="C736" s="3" t="s">
        <v>14</v>
      </c>
      <c r="D736" s="8" t="str">
        <f>HYPERLINK("http://npthd.inbcu.com/ViewContent.aspx?filename=NPMR_NBC_2017-06-27_E.MP4$3513$3528","Daytona 500")</f>
        <v>Daytona 500</v>
      </c>
      <c r="E736" s="3" t="s">
        <v>30</v>
      </c>
      <c r="F736" s="3" t="s">
        <v>4014</v>
      </c>
      <c r="G736" s="3" t="s">
        <v>4015</v>
      </c>
    </row>
    <row r="737" spans="1:7">
      <c r="A737" s="6">
        <v>42913</v>
      </c>
      <c r="B737" s="3" t="s">
        <v>3494</v>
      </c>
      <c r="C737" s="3" t="s">
        <v>18</v>
      </c>
      <c r="D737" s="8" t="str">
        <f>HYPERLINK("http://npthd.inbcu.com/ViewContent.aspx?filename=NPMR_NBC_2017-06-27_E.MP4$3528$3979","AMERICAS GOT TALENT: auditions 5")</f>
        <v>AMERICAS GOT TALENT: auditions 5</v>
      </c>
      <c r="E737" s="3" t="s">
        <v>354</v>
      </c>
      <c r="F737" s="3" t="s">
        <v>4015</v>
      </c>
      <c r="G737" s="3" t="s">
        <v>4016</v>
      </c>
    </row>
    <row r="738" spans="1:7">
      <c r="A738" s="6">
        <v>42913</v>
      </c>
      <c r="B738" s="3" t="s">
        <v>3494</v>
      </c>
      <c r="C738" s="3" t="s">
        <v>21</v>
      </c>
      <c r="D738" s="8" t="str">
        <f>HYPERLINK("http://npthd.inbcu.com/ViewContent.aspx?filename=NPMR_NBC_2017-06-27_E.MP4$3979$4159","COMMERCIAL")</f>
        <v>COMMERCIAL</v>
      </c>
      <c r="E738" s="3" t="s">
        <v>22</v>
      </c>
      <c r="F738" s="3" t="s">
        <v>4016</v>
      </c>
      <c r="G738" s="3" t="s">
        <v>4017</v>
      </c>
    </row>
    <row r="739" spans="1:7">
      <c r="A739" s="6">
        <v>42913</v>
      </c>
      <c r="B739" s="3" t="s">
        <v>3494</v>
      </c>
      <c r="C739" s="3" t="s">
        <v>14</v>
      </c>
      <c r="D739" s="8" t="str">
        <f>HYPERLINK("http://npthd.inbcu.com/ViewContent.aspx?filename=NPMR_NBC_2017-06-27_E.MP4$4159$4174","American Ninja Warrior")</f>
        <v>American Ninja Warrior</v>
      </c>
      <c r="E739" s="3" t="s">
        <v>30</v>
      </c>
      <c r="F739" s="3" t="s">
        <v>4017</v>
      </c>
      <c r="G739" s="3" t="s">
        <v>4018</v>
      </c>
    </row>
    <row r="740" spans="1:7">
      <c r="A740" s="6">
        <v>42913</v>
      </c>
      <c r="B740" s="3" t="s">
        <v>3494</v>
      </c>
      <c r="C740" s="3" t="s">
        <v>18</v>
      </c>
      <c r="D740" s="8" t="str">
        <f>HYPERLINK("http://npthd.inbcu.com/ViewContent.aspx?filename=NPMR_NBC_2017-06-27_E.MP4$4174$4664","AMERICAS GOT TALENT: auditions 5")</f>
        <v>AMERICAS GOT TALENT: auditions 5</v>
      </c>
      <c r="E740" s="3" t="s">
        <v>227</v>
      </c>
      <c r="F740" s="3" t="s">
        <v>4018</v>
      </c>
      <c r="G740" s="3" t="s">
        <v>160</v>
      </c>
    </row>
    <row r="741" spans="1:7">
      <c r="A741" s="6">
        <v>42913</v>
      </c>
      <c r="B741" s="3" t="s">
        <v>3494</v>
      </c>
      <c r="C741" s="3" t="s">
        <v>21</v>
      </c>
      <c r="D741" s="8" t="str">
        <f>HYPERLINK("http://npthd.inbcu.com/ViewContent.aspx?filename=NPMR_NBC_2017-06-27_E.MP4$4664$4754","COMMERCIAL")</f>
        <v>COMMERCIAL</v>
      </c>
      <c r="E741" s="3" t="s">
        <v>46</v>
      </c>
      <c r="F741" s="3" t="s">
        <v>160</v>
      </c>
      <c r="G741" s="3" t="s">
        <v>4019</v>
      </c>
    </row>
    <row r="742" spans="1:7">
      <c r="A742" s="6">
        <v>42913</v>
      </c>
      <c r="B742" s="3" t="s">
        <v>3494</v>
      </c>
      <c r="C742" s="3" t="s">
        <v>14</v>
      </c>
      <c r="D742" s="8" t="str">
        <f>HYPERLINK("http://npthd.inbcu.com/ViewContent.aspx?filename=NPMR_NBC_2017-06-27_E.MP4$4754$4769","Hollywood Game Night")</f>
        <v>Hollywood Game Night</v>
      </c>
      <c r="E742" s="3" t="s">
        <v>30</v>
      </c>
      <c r="F742" s="3" t="s">
        <v>4019</v>
      </c>
      <c r="G742" s="3" t="s">
        <v>4020</v>
      </c>
    </row>
    <row r="743" spans="1:7">
      <c r="A743" s="6">
        <v>42913</v>
      </c>
      <c r="B743" s="3" t="s">
        <v>3494</v>
      </c>
      <c r="C743" s="3" t="s">
        <v>32</v>
      </c>
      <c r="D743" s="8" t="str">
        <f>HYPERLINK("http://npthd.inbcu.com/ViewContent.aspx?filename=NPMR_NBC_2017-06-27_E.MP4$4769$4863","LOCAL")</f>
        <v>LOCAL</v>
      </c>
      <c r="E743" s="3" t="s">
        <v>1917</v>
      </c>
      <c r="F743" s="3" t="s">
        <v>4020</v>
      </c>
      <c r="G743" s="3" t="s">
        <v>4021</v>
      </c>
    </row>
    <row r="744" spans="1:7">
      <c r="A744" s="6">
        <v>42913</v>
      </c>
      <c r="B744" s="3" t="s">
        <v>3494</v>
      </c>
      <c r="C744" s="3" t="s">
        <v>32</v>
      </c>
      <c r="D744" s="8" t="str">
        <f>HYPERLINK("http://npthd.inbcu.com/ViewContent.aspx?filename=NPMR_NBC_2017-06-27_E.MP4$4863$4868","LOCAL")</f>
        <v>LOCAL</v>
      </c>
      <c r="E744" s="3" t="s">
        <v>54</v>
      </c>
      <c r="F744" s="3" t="s">
        <v>4021</v>
      </c>
      <c r="G744" s="3" t="s">
        <v>4022</v>
      </c>
    </row>
    <row r="745" spans="1:7">
      <c r="A745" s="6">
        <v>42913</v>
      </c>
      <c r="B745" s="3" t="s">
        <v>3494</v>
      </c>
      <c r="C745" s="3" t="s">
        <v>18</v>
      </c>
      <c r="D745" s="8" t="str">
        <f>HYPERLINK("http://npthd.inbcu.com/ViewContent.aspx?filename=NPMR_NBC_2017-06-27_E.MP4$4868$5310","AMERICAS GOT TALENT: auditions 5")</f>
        <v>AMERICAS GOT TALENT: auditions 5</v>
      </c>
      <c r="E745" s="3" t="s">
        <v>950</v>
      </c>
      <c r="F745" s="3" t="s">
        <v>4022</v>
      </c>
      <c r="G745" s="3" t="s">
        <v>813</v>
      </c>
    </row>
    <row r="746" spans="1:7">
      <c r="A746" s="6">
        <v>42913</v>
      </c>
      <c r="B746" s="3" t="s">
        <v>3494</v>
      </c>
      <c r="C746" s="3" t="s">
        <v>21</v>
      </c>
      <c r="D746" s="8" t="str">
        <f>HYPERLINK("http://npthd.inbcu.com/ViewContent.aspx?filename=NPMR_NBC_2017-06-27_E.MP4$5310$5490","COMMERCIAL")</f>
        <v>COMMERCIAL</v>
      </c>
      <c r="E746" s="3" t="s">
        <v>22</v>
      </c>
      <c r="F746" s="3" t="s">
        <v>813</v>
      </c>
      <c r="G746" s="3" t="s">
        <v>4023</v>
      </c>
    </row>
    <row r="747" spans="1:7">
      <c r="A747" s="6">
        <v>42913</v>
      </c>
      <c r="B747" s="3" t="s">
        <v>3494</v>
      </c>
      <c r="C747" s="3" t="s">
        <v>14</v>
      </c>
      <c r="D747" s="8" t="str">
        <f>HYPERLINK("http://npthd.inbcu.com/ViewContent.aspx?filename=NPMR_NBC_2017-06-27_E.MP4$5490$5520","World of Dance")</f>
        <v>World of Dance</v>
      </c>
      <c r="E747" s="3" t="s">
        <v>38</v>
      </c>
      <c r="F747" s="3" t="s">
        <v>4023</v>
      </c>
      <c r="G747" s="3" t="s">
        <v>4024</v>
      </c>
    </row>
    <row r="748" spans="1:7">
      <c r="A748" s="6">
        <v>42913</v>
      </c>
      <c r="B748" s="3" t="s">
        <v>3494</v>
      </c>
      <c r="C748" s="3" t="s">
        <v>18</v>
      </c>
      <c r="D748" s="8" t="str">
        <f>HYPERLINK("http://npthd.inbcu.com/ViewContent.aspx?filename=NPMR_NBC_2017-06-27_E.MP4$5520$5936","AMERICAS GOT TALENT: auditions 5")</f>
        <v>AMERICAS GOT TALENT: auditions 5</v>
      </c>
      <c r="E748" s="3" t="s">
        <v>3577</v>
      </c>
      <c r="F748" s="3" t="s">
        <v>4024</v>
      </c>
      <c r="G748" s="3" t="s">
        <v>3831</v>
      </c>
    </row>
    <row r="749" spans="1:7">
      <c r="A749" s="6">
        <v>42913</v>
      </c>
      <c r="B749" s="3" t="s">
        <v>3494</v>
      </c>
      <c r="C749" s="3" t="s">
        <v>21</v>
      </c>
      <c r="D749" s="8" t="str">
        <f>HYPERLINK("http://npthd.inbcu.com/ViewContent.aspx?filename=NPMR_NBC_2017-06-27_E.MP4$5936$6056","COMMERCIAL")</f>
        <v>COMMERCIAL</v>
      </c>
      <c r="E749" s="3" t="s">
        <v>43</v>
      </c>
      <c r="F749" s="3" t="s">
        <v>3831</v>
      </c>
      <c r="G749" s="3" t="s">
        <v>4025</v>
      </c>
    </row>
    <row r="750" spans="1:7">
      <c r="A750" s="6">
        <v>42913</v>
      </c>
      <c r="B750" s="3" t="s">
        <v>3494</v>
      </c>
      <c r="C750" s="3" t="s">
        <v>14</v>
      </c>
      <c r="D750" s="8" t="str">
        <f>HYPERLINK("http://npthd.inbcu.com/ViewContent.aspx?filename=NPMR_NBC_2017-06-27_E.MP4$6056$6061","Daytona 500")</f>
        <v>Daytona 500</v>
      </c>
      <c r="E750" s="3" t="s">
        <v>54</v>
      </c>
      <c r="F750" s="3" t="s">
        <v>4025</v>
      </c>
      <c r="G750" s="3" t="s">
        <v>1439</v>
      </c>
    </row>
    <row r="751" spans="1:7">
      <c r="A751" s="6">
        <v>42913</v>
      </c>
      <c r="B751" s="3" t="s">
        <v>3494</v>
      </c>
      <c r="C751" s="3" t="s">
        <v>32</v>
      </c>
      <c r="D751" s="8" t="str">
        <f>HYPERLINK("http://npthd.inbcu.com/ViewContent.aspx?filename=NPMR_NBC_2017-06-27_E.MP4$6061$6151","LOCAL")</f>
        <v>LOCAL</v>
      </c>
      <c r="E751" s="3" t="s">
        <v>46</v>
      </c>
      <c r="F751" s="3" t="s">
        <v>1439</v>
      </c>
      <c r="G751" s="3" t="s">
        <v>2535</v>
      </c>
    </row>
    <row r="752" spans="1:7">
      <c r="A752" s="6">
        <v>42913</v>
      </c>
      <c r="B752" s="3" t="s">
        <v>3494</v>
      </c>
      <c r="C752" s="3" t="s">
        <v>14</v>
      </c>
      <c r="D752" s="8" t="str">
        <f>HYPERLINK("http://npthd.inbcu.com/ViewContent.aspx?filename=NPMR_NBC_2017-06-27_E.MP4$6151$6166","Little Big Shots: Forever Young")</f>
        <v>Little Big Shots: Forever Young</v>
      </c>
      <c r="E752" s="3" t="s">
        <v>30</v>
      </c>
      <c r="F752" s="3" t="s">
        <v>2535</v>
      </c>
      <c r="G752" s="3" t="s">
        <v>4026</v>
      </c>
    </row>
    <row r="753" spans="1:7">
      <c r="A753" s="6">
        <v>42913</v>
      </c>
      <c r="B753" s="3" t="s">
        <v>3494</v>
      </c>
      <c r="C753" s="3" t="s">
        <v>18</v>
      </c>
      <c r="D753" s="8" t="str">
        <f>HYPERLINK("http://npthd.inbcu.com/ViewContent.aspx?filename=NPMR_NBC_2017-06-27_E.MP4$6166$6628","AMERICAS GOT TALENT: auditions 5")</f>
        <v>AMERICAS GOT TALENT: auditions 5</v>
      </c>
      <c r="E753" s="3" t="s">
        <v>1526</v>
      </c>
      <c r="F753" s="3" t="s">
        <v>4026</v>
      </c>
      <c r="G753" s="3" t="s">
        <v>4027</v>
      </c>
    </row>
    <row r="754" spans="1:7">
      <c r="A754" s="6">
        <v>42913</v>
      </c>
      <c r="B754" s="3" t="s">
        <v>3494</v>
      </c>
      <c r="C754" s="3" t="s">
        <v>21</v>
      </c>
      <c r="D754" s="8" t="str">
        <f>HYPERLINK("http://npthd.inbcu.com/ViewContent.aspx?filename=NPMR_NBC_2017-06-27_E.MP4$6628$6808","COMMERCIAL")</f>
        <v>COMMERCIAL</v>
      </c>
      <c r="E754" s="3" t="s">
        <v>22</v>
      </c>
      <c r="F754" s="3" t="s">
        <v>4027</v>
      </c>
      <c r="G754" s="3" t="s">
        <v>1734</v>
      </c>
    </row>
    <row r="755" spans="1:7">
      <c r="A755" s="6">
        <v>42913</v>
      </c>
      <c r="B755" s="3" t="s">
        <v>3494</v>
      </c>
      <c r="C755" s="3" t="s">
        <v>14</v>
      </c>
      <c r="D755" s="8" t="str">
        <f>HYPERLINK("http://npthd.inbcu.com/ViewContent.aspx?filename=NPMR_NBC_2017-06-27_E.MP4$6808$6823","World of Dance")</f>
        <v>World of Dance</v>
      </c>
      <c r="E755" s="3" t="s">
        <v>30</v>
      </c>
      <c r="F755" s="3" t="s">
        <v>1734</v>
      </c>
      <c r="G755" s="3" t="s">
        <v>4028</v>
      </c>
    </row>
    <row r="756" spans="1:7">
      <c r="A756" s="6">
        <v>42913</v>
      </c>
      <c r="B756" s="3" t="s">
        <v>3494</v>
      </c>
      <c r="C756" s="3" t="s">
        <v>18</v>
      </c>
      <c r="D756" s="8" t="str">
        <f>HYPERLINK("http://npthd.inbcu.com/ViewContent.aspx?filename=NPMR_NBC_2017-06-27_E.MP4$6823$7264","AMERICAS GOT TALENT: auditions 5")</f>
        <v>AMERICAS GOT TALENT: auditions 5</v>
      </c>
      <c r="E756" s="3" t="s">
        <v>318</v>
      </c>
      <c r="F756" s="3" t="s">
        <v>4028</v>
      </c>
      <c r="G756" s="3" t="s">
        <v>1366</v>
      </c>
    </row>
    <row r="757" spans="1:7">
      <c r="A757" s="6">
        <v>42913</v>
      </c>
      <c r="B757" s="3" t="s">
        <v>3494</v>
      </c>
      <c r="C757" s="3" t="s">
        <v>14</v>
      </c>
      <c r="D757" s="8" t="str">
        <f>HYPERLINK("http://npthd.inbcu.com/ViewContent.aspx?filename=NPMR_NBC_2017-06-27_E.MP4$7264$7294","Americas Got Talent")</f>
        <v>Americas Got Talent</v>
      </c>
      <c r="E757" s="3" t="s">
        <v>38</v>
      </c>
      <c r="F757" s="3" t="s">
        <v>1366</v>
      </c>
      <c r="G757" s="3" t="s">
        <v>3531</v>
      </c>
    </row>
    <row r="758" spans="1:7">
      <c r="A758" s="6">
        <v>42913</v>
      </c>
      <c r="B758" s="3" t="s">
        <v>3494</v>
      </c>
      <c r="C758" s="3" t="s">
        <v>18</v>
      </c>
      <c r="D758" s="8" t="str">
        <f>HYPERLINK("http://npthd.inbcu.com/ViewContent.aspx?filename=NPMR_NBC_2017-06-27_E.MP4$7294$7300","AMERICAS GOT TALENT: auditions 5")</f>
        <v>AMERICAS GOT TALENT: auditions 5</v>
      </c>
      <c r="E758" s="3" t="s">
        <v>15</v>
      </c>
      <c r="F758" s="3" t="s">
        <v>3531</v>
      </c>
      <c r="G758" s="3" t="s">
        <v>1008</v>
      </c>
    </row>
    <row r="759" spans="1:7">
      <c r="A759" s="6">
        <v>42913</v>
      </c>
      <c r="B759" s="3" t="s">
        <v>3494</v>
      </c>
      <c r="C759" s="3" t="s">
        <v>18</v>
      </c>
      <c r="D759" s="8" t="str">
        <f>HYPERLINK("http://npthd.inbcu.com/ViewContent.aspx?filename=NPMR_NBC_2017-06-27_E.MP4$7300$7943","WORLD OF DANCE: the duels 2")</f>
        <v>WORLD OF DANCE: the duels 2</v>
      </c>
      <c r="E759" s="3" t="s">
        <v>4029</v>
      </c>
      <c r="F759" s="3" t="s">
        <v>1008</v>
      </c>
      <c r="G759" s="3" t="s">
        <v>3587</v>
      </c>
    </row>
    <row r="760" spans="1:7">
      <c r="A760" s="6">
        <v>42913</v>
      </c>
      <c r="B760" s="3" t="s">
        <v>3494</v>
      </c>
      <c r="C760" s="3" t="s">
        <v>21</v>
      </c>
      <c r="D760" s="8" t="str">
        <f>HYPERLINK("http://npthd.inbcu.com/ViewContent.aspx?filename=NPMR_NBC_2017-06-27_E.MP4$7943$8124","COMMERCIAL")</f>
        <v>COMMERCIAL</v>
      </c>
      <c r="E760" s="3" t="s">
        <v>108</v>
      </c>
      <c r="F760" s="3" t="s">
        <v>3587</v>
      </c>
      <c r="G760" s="3" t="s">
        <v>4030</v>
      </c>
    </row>
    <row r="761" spans="1:7">
      <c r="A761" s="6">
        <v>42913</v>
      </c>
      <c r="B761" s="3" t="s">
        <v>3494</v>
      </c>
      <c r="C761" s="3" t="s">
        <v>14</v>
      </c>
      <c r="D761" s="8" t="str">
        <f>HYPERLINK("http://npthd.inbcu.com/ViewContent.aspx?filename=NPMR_NBC_2017-06-27_E.MP4$8124$8139","Little Big Shots: Forever Young")</f>
        <v>Little Big Shots: Forever Young</v>
      </c>
      <c r="E761" s="3" t="s">
        <v>30</v>
      </c>
      <c r="F761" s="3" t="s">
        <v>4030</v>
      </c>
      <c r="G761" s="3" t="s">
        <v>4031</v>
      </c>
    </row>
    <row r="762" spans="1:7">
      <c r="A762" s="6">
        <v>42913</v>
      </c>
      <c r="B762" s="3" t="s">
        <v>3494</v>
      </c>
      <c r="C762" s="3" t="s">
        <v>32</v>
      </c>
      <c r="D762" s="8" t="str">
        <f>HYPERLINK("http://npthd.inbcu.com/ViewContent.aspx?filename=NPMR_NBC_2017-06-27_E.MP4$8139$8170","LOCAL")</f>
        <v>LOCAL</v>
      </c>
      <c r="E762" s="3" t="s">
        <v>98</v>
      </c>
      <c r="F762" s="3" t="s">
        <v>4031</v>
      </c>
      <c r="G762" s="3" t="s">
        <v>755</v>
      </c>
    </row>
    <row r="763" spans="1:7">
      <c r="A763" s="6">
        <v>42913</v>
      </c>
      <c r="B763" s="3" t="s">
        <v>3494</v>
      </c>
      <c r="C763" s="3" t="s">
        <v>18</v>
      </c>
      <c r="D763" s="8" t="str">
        <f>HYPERLINK("http://npthd.inbcu.com/ViewContent.aspx?filename=NPMR_NBC_2017-06-27_E.MP4$8170$8546","WORLD OF DANCE: the duels 2")</f>
        <v>WORLD OF DANCE: the duels 2</v>
      </c>
      <c r="E763" s="3" t="s">
        <v>79</v>
      </c>
      <c r="F763" s="3" t="s">
        <v>755</v>
      </c>
      <c r="G763" s="3" t="s">
        <v>4032</v>
      </c>
    </row>
    <row r="764" spans="1:7">
      <c r="A764" s="6">
        <v>42913</v>
      </c>
      <c r="B764" s="3" t="s">
        <v>3494</v>
      </c>
      <c r="C764" s="3" t="s">
        <v>21</v>
      </c>
      <c r="D764" s="8" t="str">
        <f>HYPERLINK("http://npthd.inbcu.com/ViewContent.aspx?filename=NPMR_NBC_2017-06-27_E.MP4$8546$8725","COMMERCIAL")</f>
        <v>COMMERCIAL</v>
      </c>
      <c r="E764" s="3" t="s">
        <v>1141</v>
      </c>
      <c r="F764" s="3" t="s">
        <v>4032</v>
      </c>
      <c r="G764" s="3" t="s">
        <v>1243</v>
      </c>
    </row>
    <row r="765" spans="1:7">
      <c r="A765" s="6">
        <v>42913</v>
      </c>
      <c r="B765" s="3" t="s">
        <v>3494</v>
      </c>
      <c r="C765" s="3" t="s">
        <v>14</v>
      </c>
      <c r="D765" s="8" t="str">
        <f>HYPERLINK("http://npthd.inbcu.com/ViewContent.aspx?filename=NPMR_NBC_2017-06-27_E.MP4$8725$8741","Today")</f>
        <v>Today</v>
      </c>
      <c r="E765" s="3" t="s">
        <v>64</v>
      </c>
      <c r="F765" s="3" t="s">
        <v>1243</v>
      </c>
      <c r="G765" s="3" t="s">
        <v>3994</v>
      </c>
    </row>
    <row r="766" spans="1:7">
      <c r="A766" s="6">
        <v>42913</v>
      </c>
      <c r="B766" s="3" t="s">
        <v>3494</v>
      </c>
      <c r="C766" s="3" t="s">
        <v>18</v>
      </c>
      <c r="D766" s="8" t="str">
        <f>HYPERLINK("http://npthd.inbcu.com/ViewContent.aspx?filename=NPMR_NBC_2017-06-27_E.MP4$8741$9047","WORLD OF DANCE: the duels 2")</f>
        <v>WORLD OF DANCE: the duels 2</v>
      </c>
      <c r="E766" s="3" t="s">
        <v>3086</v>
      </c>
      <c r="F766" s="3" t="s">
        <v>3994</v>
      </c>
      <c r="G766" s="3" t="s">
        <v>4033</v>
      </c>
    </row>
    <row r="767" spans="1:7">
      <c r="A767" s="6">
        <v>42913</v>
      </c>
      <c r="B767" s="3" t="s">
        <v>3494</v>
      </c>
      <c r="C767" s="3" t="s">
        <v>21</v>
      </c>
      <c r="D767" s="8" t="str">
        <f>HYPERLINK("http://npthd.inbcu.com/ViewContent.aspx?filename=NPMR_NBC_2017-06-27_E.MP4$9047$9107","COMMERCIAL")</f>
        <v>COMMERCIAL</v>
      </c>
      <c r="E767" s="3" t="s">
        <v>66</v>
      </c>
      <c r="F767" s="3" t="s">
        <v>4033</v>
      </c>
      <c r="G767" s="3" t="s">
        <v>3995</v>
      </c>
    </row>
    <row r="768" spans="1:7">
      <c r="A768" s="6">
        <v>42913</v>
      </c>
      <c r="B768" s="3" t="s">
        <v>3494</v>
      </c>
      <c r="C768" s="3" t="s">
        <v>14</v>
      </c>
      <c r="D768" s="8" t="str">
        <f>HYPERLINK("http://npthd.inbcu.com/ViewContent.aspx?filename=NPMR_NBC_2017-06-27_E.MP4$9107$9112","Late Night with Seth Meyers")</f>
        <v>Late Night with Seth Meyers</v>
      </c>
      <c r="E768" s="3" t="s">
        <v>54</v>
      </c>
      <c r="F768" s="3" t="s">
        <v>3995</v>
      </c>
      <c r="G768" s="3" t="s">
        <v>4034</v>
      </c>
    </row>
    <row r="769" spans="1:7">
      <c r="A769" s="6">
        <v>42913</v>
      </c>
      <c r="B769" s="3" t="s">
        <v>3494</v>
      </c>
      <c r="C769" s="3" t="s">
        <v>32</v>
      </c>
      <c r="D769" s="8" t="str">
        <f>HYPERLINK("http://npthd.inbcu.com/ViewContent.aspx?filename=NPMR_NBC_2017-06-27_E.MP4$9112$9277","LOCAL")</f>
        <v>LOCAL</v>
      </c>
      <c r="E769" s="3" t="s">
        <v>428</v>
      </c>
      <c r="F769" s="3" t="s">
        <v>4034</v>
      </c>
      <c r="G769" s="3" t="s">
        <v>4035</v>
      </c>
    </row>
    <row r="770" spans="1:7">
      <c r="A770" s="6">
        <v>42913</v>
      </c>
      <c r="B770" s="3" t="s">
        <v>3494</v>
      </c>
      <c r="C770" s="3" t="s">
        <v>14</v>
      </c>
      <c r="D770" s="8" t="str">
        <f>HYPERLINK("http://npthd.inbcu.com/ViewContent.aspx?filename=NPMR_NBC_2017-06-27_E.MP4$9277$9281","Despicable Me 3")</f>
        <v>Despicable Me 3</v>
      </c>
      <c r="E770" s="3" t="s">
        <v>84</v>
      </c>
      <c r="F770" s="3" t="s">
        <v>4035</v>
      </c>
      <c r="G770" s="3" t="s">
        <v>4036</v>
      </c>
    </row>
    <row r="771" spans="1:7">
      <c r="A771" s="6">
        <v>42913</v>
      </c>
      <c r="B771" s="3" t="s">
        <v>3494</v>
      </c>
      <c r="C771" s="3" t="s">
        <v>14</v>
      </c>
      <c r="D771" s="8" t="str">
        <f>HYPERLINK("http://npthd.inbcu.com/ViewContent.aspx?filename=NPMR_NBC_2017-06-27_E.MP4$9281$9291","Tonight Show starring Jimmy Fallon, The")</f>
        <v>Tonight Show starring Jimmy Fallon, The</v>
      </c>
      <c r="E771" s="3" t="s">
        <v>197</v>
      </c>
      <c r="F771" s="3" t="s">
        <v>4036</v>
      </c>
      <c r="G771" s="3" t="s">
        <v>4037</v>
      </c>
    </row>
    <row r="772" spans="1:7">
      <c r="A772" s="6">
        <v>42913</v>
      </c>
      <c r="B772" s="3" t="s">
        <v>3494</v>
      </c>
      <c r="C772" s="3" t="s">
        <v>18</v>
      </c>
      <c r="D772" s="8" t="str">
        <f>HYPERLINK("http://npthd.inbcu.com/ViewContent.aspx?filename=NPMR_NBC_2017-06-27_E.MP4$9291$9847","WORLD OF DANCE: the duels 2")</f>
        <v>WORLD OF DANCE: the duels 2</v>
      </c>
      <c r="E772" s="3" t="s">
        <v>1585</v>
      </c>
      <c r="F772" s="3" t="s">
        <v>4037</v>
      </c>
      <c r="G772" s="3" t="s">
        <v>4038</v>
      </c>
    </row>
    <row r="773" spans="1:7">
      <c r="A773" s="6">
        <v>42913</v>
      </c>
      <c r="B773" s="3" t="s">
        <v>3494</v>
      </c>
      <c r="C773" s="3" t="s">
        <v>21</v>
      </c>
      <c r="D773" s="8" t="str">
        <f>HYPERLINK("http://npthd.inbcu.com/ViewContent.aspx?filename=NPMR_NBC_2017-06-27_E.MP4$9847$9998","COMMERCIAL")</f>
        <v>COMMERCIAL</v>
      </c>
      <c r="E773" s="3" t="s">
        <v>91</v>
      </c>
      <c r="F773" s="3" t="s">
        <v>4038</v>
      </c>
      <c r="G773" s="3" t="s">
        <v>1253</v>
      </c>
    </row>
    <row r="774" spans="1:7">
      <c r="A774" s="6">
        <v>42913</v>
      </c>
      <c r="B774" s="3" t="s">
        <v>3494</v>
      </c>
      <c r="C774" s="3" t="s">
        <v>14</v>
      </c>
      <c r="D774" s="8" t="str">
        <f>HYPERLINK("http://npthd.inbcu.com/ViewContent.aspx?filename=NPMR_NBC_2017-06-27_E.MP4$9998$10028","NBC Thursday")</f>
        <v>NBC Thursday</v>
      </c>
      <c r="E774" s="3" t="s">
        <v>38</v>
      </c>
      <c r="F774" s="3" t="s">
        <v>1253</v>
      </c>
      <c r="G774" s="3" t="s">
        <v>4039</v>
      </c>
    </row>
    <row r="775" spans="1:7">
      <c r="A775" s="6">
        <v>42913</v>
      </c>
      <c r="B775" s="3" t="s">
        <v>3494</v>
      </c>
      <c r="C775" s="3" t="s">
        <v>18</v>
      </c>
      <c r="D775" s="8" t="str">
        <f>HYPERLINK("http://npthd.inbcu.com/ViewContent.aspx?filename=NPMR_NBC_2017-06-27_E.MP4$10028$10353","WORLD OF DANCE: the duels 2")</f>
        <v>WORLD OF DANCE: the duels 2</v>
      </c>
      <c r="E775" s="3" t="s">
        <v>609</v>
      </c>
      <c r="F775" s="3" t="s">
        <v>4039</v>
      </c>
      <c r="G775" s="3" t="s">
        <v>4040</v>
      </c>
    </row>
    <row r="776" spans="1:7">
      <c r="A776" s="6">
        <v>42913</v>
      </c>
      <c r="B776" s="3" t="s">
        <v>3494</v>
      </c>
      <c r="C776" s="3" t="s">
        <v>21</v>
      </c>
      <c r="D776" s="8" t="str">
        <f>HYPERLINK("http://npthd.inbcu.com/ViewContent.aspx?filename=NPMR_NBC_2017-06-27_E.MP4$10353$10473","COMMERCIAL")</f>
        <v>COMMERCIAL</v>
      </c>
      <c r="E776" s="3" t="s">
        <v>43</v>
      </c>
      <c r="F776" s="3" t="s">
        <v>4040</v>
      </c>
      <c r="G776" s="3" t="s">
        <v>1532</v>
      </c>
    </row>
    <row r="777" spans="1:7">
      <c r="A777" s="6">
        <v>42913</v>
      </c>
      <c r="B777" s="3" t="s">
        <v>3494</v>
      </c>
      <c r="C777" s="3" t="s">
        <v>32</v>
      </c>
      <c r="D777" s="8" t="str">
        <f>HYPERLINK("http://npthd.inbcu.com/ViewContent.aspx?filename=NPMR_NBC_2017-06-27_E.MP4$10473$10488","LOCAL")</f>
        <v>LOCAL</v>
      </c>
      <c r="E777" s="3" t="s">
        <v>30</v>
      </c>
      <c r="F777" s="3" t="s">
        <v>1532</v>
      </c>
      <c r="G777" s="3" t="s">
        <v>4041</v>
      </c>
    </row>
    <row r="778" spans="1:7">
      <c r="A778" s="6">
        <v>42913</v>
      </c>
      <c r="B778" s="3" t="s">
        <v>3494</v>
      </c>
      <c r="C778" s="3" t="s">
        <v>14</v>
      </c>
      <c r="D778" s="8" t="str">
        <f>HYPERLINK("http://npthd.inbcu.com/ViewContent.aspx?filename=NPMR_NBC_2017-06-27_E.MP4$10488$10518","Macys July 4 Spectacular")</f>
        <v>Macys July 4 Spectacular</v>
      </c>
      <c r="E778" s="3" t="s">
        <v>38</v>
      </c>
      <c r="F778" s="3" t="s">
        <v>4041</v>
      </c>
      <c r="G778" s="3" t="s">
        <v>4042</v>
      </c>
    </row>
    <row r="779" spans="1:7">
      <c r="A779" s="6">
        <v>42913</v>
      </c>
      <c r="B779" s="3" t="s">
        <v>3494</v>
      </c>
      <c r="C779" s="3" t="s">
        <v>18</v>
      </c>
      <c r="D779" s="8" t="str">
        <f>HYPERLINK("http://npthd.inbcu.com/ViewContent.aspx?filename=NPMR_NBC_2017-06-27_E.MP4$10518$10835","WORLD OF DANCE: the duels 2")</f>
        <v>WORLD OF DANCE: the duels 2</v>
      </c>
      <c r="E779" s="3" t="s">
        <v>3252</v>
      </c>
      <c r="F779" s="3" t="s">
        <v>4042</v>
      </c>
      <c r="G779" s="3" t="s">
        <v>3552</v>
      </c>
    </row>
    <row r="780" spans="1:7">
      <c r="A780" s="6">
        <v>42913</v>
      </c>
      <c r="B780" s="3" t="s">
        <v>3494</v>
      </c>
      <c r="C780" s="3" t="s">
        <v>14</v>
      </c>
      <c r="D780" s="8" t="str">
        <f>HYPERLINK("http://npthd.inbcu.com/ViewContent.aspx?filename=NPMR_NBC_2017-06-27_E.MP4$10835$10865","World of Dance")</f>
        <v>World of Dance</v>
      </c>
      <c r="E780" s="3" t="s">
        <v>38</v>
      </c>
      <c r="F780" s="3" t="s">
        <v>3552</v>
      </c>
      <c r="G780" s="3" t="s">
        <v>3553</v>
      </c>
    </row>
    <row r="781" spans="1:7">
      <c r="A781" s="6">
        <v>42913</v>
      </c>
      <c r="B781" s="3" t="s">
        <v>3494</v>
      </c>
      <c r="C781" s="3" t="s">
        <v>18</v>
      </c>
      <c r="D781" s="8" t="str">
        <f>HYPERLINK("http://npthd.inbcu.com/ViewContent.aspx?filename=NPMR_NBC_2017-06-27_E.MP4$10865$10871","WORLD OF DANCE: the duels 2")</f>
        <v>WORLD OF DANCE: the duels 2</v>
      </c>
      <c r="E781" s="3" t="s">
        <v>15</v>
      </c>
      <c r="F781" s="3" t="s">
        <v>3553</v>
      </c>
      <c r="G781" s="3" t="s">
        <v>3554</v>
      </c>
    </row>
    <row r="782" spans="1:7">
      <c r="A782" s="6">
        <v>42913</v>
      </c>
      <c r="B782" s="3" t="s">
        <v>3494</v>
      </c>
      <c r="C782" s="3" t="s">
        <v>32</v>
      </c>
      <c r="D782" s="8" t="str">
        <f>HYPERLINK("http://npthd.inbcu.com/ViewContent.aspx?filename=NPMR_NBC_2017-06-27_E.MP4$10871$10901","LOCAL")</f>
        <v>LOCAL</v>
      </c>
      <c r="E782" s="3" t="s">
        <v>38</v>
      </c>
      <c r="F782" s="3" t="s">
        <v>3554</v>
      </c>
      <c r="G782" s="3" t="s">
        <v>124</v>
      </c>
    </row>
    <row r="783" spans="1:7">
      <c r="A783" s="6">
        <v>42914</v>
      </c>
      <c r="B783" s="3" t="s">
        <v>3494</v>
      </c>
      <c r="C783" s="3" t="s">
        <v>18</v>
      </c>
      <c r="D783" s="8" t="str">
        <f>HYPERLINK("http://npthd.inbcu.com/ViewContent.aspx?filename=NPMR_NBC_2017-06-28_E.MP4$101$580","LITTLE BIG SHOTS: FOREVER YOUNG: age aint nothing but a number")</f>
        <v>LITTLE BIG SHOTS: FOREVER YOUNG: age aint nothing but a number</v>
      </c>
      <c r="E783" s="3" t="s">
        <v>1129</v>
      </c>
      <c r="F783" s="3" t="s">
        <v>16</v>
      </c>
      <c r="G783" s="3" t="s">
        <v>4043</v>
      </c>
    </row>
    <row r="784" spans="1:7">
      <c r="A784" s="6">
        <v>42914</v>
      </c>
      <c r="B784" s="3" t="s">
        <v>3494</v>
      </c>
      <c r="C784" s="3" t="s">
        <v>21</v>
      </c>
      <c r="D784" s="8" t="str">
        <f>HYPERLINK("http://npthd.inbcu.com/ViewContent.aspx?filename=NPMR_NBC_2017-06-28_E.MP4$580$759","COMMERCIAL")</f>
        <v>COMMERCIAL</v>
      </c>
      <c r="E784" s="3" t="s">
        <v>1141</v>
      </c>
      <c r="F784" s="3" t="s">
        <v>4043</v>
      </c>
      <c r="G784" s="3" t="s">
        <v>4044</v>
      </c>
    </row>
    <row r="785" spans="1:7">
      <c r="A785" s="6">
        <v>42914</v>
      </c>
      <c r="B785" s="3" t="s">
        <v>3494</v>
      </c>
      <c r="C785" s="3" t="s">
        <v>14</v>
      </c>
      <c r="D785" s="8" t="str">
        <f>HYPERLINK("http://npthd.inbcu.com/ViewContent.aspx?filename=NPMR_NBC_2017-06-28_E.MP4$759$790","Macys July 4 Spectacular")</f>
        <v>Macys July 4 Spectacular</v>
      </c>
      <c r="E785" s="3" t="s">
        <v>98</v>
      </c>
      <c r="F785" s="3" t="s">
        <v>4044</v>
      </c>
      <c r="G785" s="3" t="s">
        <v>2954</v>
      </c>
    </row>
    <row r="786" spans="1:7">
      <c r="A786" s="6">
        <v>42914</v>
      </c>
      <c r="B786" s="3" t="s">
        <v>3494</v>
      </c>
      <c r="C786" s="3" t="s">
        <v>18</v>
      </c>
      <c r="D786" s="8" t="str">
        <f>HYPERLINK("http://npthd.inbcu.com/ViewContent.aspx?filename=NPMR_NBC_2017-06-28_E.MP4$790$1200","LITTLE BIG SHOTS: FOREVER YOUNG: age aint nothing but a number")</f>
        <v>LITTLE BIG SHOTS: FOREVER YOUNG: age aint nothing but a number</v>
      </c>
      <c r="E786" s="3" t="s">
        <v>1049</v>
      </c>
      <c r="F786" s="3" t="s">
        <v>2954</v>
      </c>
      <c r="G786" s="3" t="s">
        <v>4045</v>
      </c>
    </row>
    <row r="787" spans="1:7">
      <c r="A787" s="6">
        <v>42914</v>
      </c>
      <c r="B787" s="3" t="s">
        <v>3494</v>
      </c>
      <c r="C787" s="3" t="s">
        <v>21</v>
      </c>
      <c r="D787" s="8" t="str">
        <f>HYPERLINK("http://npthd.inbcu.com/ViewContent.aspx?filename=NPMR_NBC_2017-06-28_E.MP4$1200$1291","COMMERCIAL")</f>
        <v>COMMERCIAL</v>
      </c>
      <c r="E787" s="3" t="s">
        <v>77</v>
      </c>
      <c r="F787" s="3" t="s">
        <v>4045</v>
      </c>
      <c r="G787" s="3" t="s">
        <v>4046</v>
      </c>
    </row>
    <row r="788" spans="1:7">
      <c r="A788" s="6">
        <v>42914</v>
      </c>
      <c r="B788" s="3" t="s">
        <v>3494</v>
      </c>
      <c r="C788" s="3" t="s">
        <v>14</v>
      </c>
      <c r="D788" s="8" t="str">
        <f>HYPERLINK("http://npthd.inbcu.com/ViewContent.aspx?filename=NPMR_NBC_2017-06-28_E.MP4$1291$1296","Hollywood Game Night")</f>
        <v>Hollywood Game Night</v>
      </c>
      <c r="E788" s="3" t="s">
        <v>54</v>
      </c>
      <c r="F788" s="3" t="s">
        <v>4046</v>
      </c>
      <c r="G788" s="3" t="s">
        <v>4047</v>
      </c>
    </row>
    <row r="789" spans="1:7">
      <c r="A789" s="6">
        <v>42914</v>
      </c>
      <c r="B789" s="3" t="s">
        <v>3494</v>
      </c>
      <c r="C789" s="3" t="s">
        <v>32</v>
      </c>
      <c r="D789" s="8" t="str">
        <f>HYPERLINK("http://npthd.inbcu.com/ViewContent.aspx?filename=NPMR_NBC_2017-06-28_E.MP4$1296$1390","LOCAL")</f>
        <v>LOCAL</v>
      </c>
      <c r="E789" s="3" t="s">
        <v>1917</v>
      </c>
      <c r="F789" s="3" t="s">
        <v>4047</v>
      </c>
      <c r="G789" s="3" t="s">
        <v>1189</v>
      </c>
    </row>
    <row r="790" spans="1:7">
      <c r="A790" s="6">
        <v>42914</v>
      </c>
      <c r="B790" s="3" t="s">
        <v>3494</v>
      </c>
      <c r="C790" s="3" t="s">
        <v>14</v>
      </c>
      <c r="D790" s="8" t="str">
        <f>HYPERLINK("http://npthd.inbcu.com/ViewContent.aspx?filename=NPMR_NBC_2017-06-28_E.MP4$1390$1405","Despicable Me 3")</f>
        <v>Despicable Me 3</v>
      </c>
      <c r="E790" s="3" t="s">
        <v>30</v>
      </c>
      <c r="F790" s="3" t="s">
        <v>1189</v>
      </c>
      <c r="G790" s="3" t="s">
        <v>4048</v>
      </c>
    </row>
    <row r="791" spans="1:7">
      <c r="A791" s="6">
        <v>42914</v>
      </c>
      <c r="B791" s="3" t="s">
        <v>3494</v>
      </c>
      <c r="C791" s="3" t="s">
        <v>14</v>
      </c>
      <c r="D791" s="8" t="str">
        <f>HYPERLINK("http://npthd.inbcu.com/ViewContent.aspx?filename=NPMR_NBC_2017-06-28_E.MP4$1405$1420","Night Shift, The")</f>
        <v>Night Shift, The</v>
      </c>
      <c r="E791" s="3" t="s">
        <v>30</v>
      </c>
      <c r="F791" s="3" t="s">
        <v>4048</v>
      </c>
      <c r="G791" s="3" t="s">
        <v>3172</v>
      </c>
    </row>
    <row r="792" spans="1:7">
      <c r="A792" s="6">
        <v>42914</v>
      </c>
      <c r="B792" s="3" t="s">
        <v>3494</v>
      </c>
      <c r="C792" s="3" t="s">
        <v>18</v>
      </c>
      <c r="D792" s="8" t="str">
        <f>HYPERLINK("http://npthd.inbcu.com/ViewContent.aspx?filename=NPMR_NBC_2017-06-28_E.MP4$1420$1865","LITTLE BIG SHOTS: FOREVER YOUNG: age aint nothing but a number")</f>
        <v>LITTLE BIG SHOTS: FOREVER YOUNG: age aint nothing but a number</v>
      </c>
      <c r="E792" s="3" t="s">
        <v>426</v>
      </c>
      <c r="F792" s="3" t="s">
        <v>3172</v>
      </c>
      <c r="G792" s="3" t="s">
        <v>4049</v>
      </c>
    </row>
    <row r="793" spans="1:7">
      <c r="A793" s="6">
        <v>42914</v>
      </c>
      <c r="B793" s="3" t="s">
        <v>3494</v>
      </c>
      <c r="C793" s="3" t="s">
        <v>21</v>
      </c>
      <c r="D793" s="8" t="str">
        <f>HYPERLINK("http://npthd.inbcu.com/ViewContent.aspx?filename=NPMR_NBC_2017-06-28_E.MP4$1865$2014","COMMERCIAL")</f>
        <v>COMMERCIAL</v>
      </c>
      <c r="E793" s="3" t="s">
        <v>952</v>
      </c>
      <c r="F793" s="3" t="s">
        <v>4049</v>
      </c>
      <c r="G793" s="3" t="s">
        <v>4050</v>
      </c>
    </row>
    <row r="794" spans="1:7">
      <c r="A794" s="6">
        <v>42914</v>
      </c>
      <c r="B794" s="3" t="s">
        <v>3494</v>
      </c>
      <c r="C794" s="3" t="s">
        <v>14</v>
      </c>
      <c r="D794" s="8" t="str">
        <f>HYPERLINK("http://npthd.inbcu.com/ViewContent.aspx?filename=NPMR_NBC_2017-06-28_E.MP4$2014$2045","Hollywood Game Night / The Wall")</f>
        <v>Hollywood Game Night / The Wall</v>
      </c>
      <c r="E794" s="3" t="s">
        <v>98</v>
      </c>
      <c r="F794" s="3" t="s">
        <v>4050</v>
      </c>
      <c r="G794" s="3" t="s">
        <v>4051</v>
      </c>
    </row>
    <row r="795" spans="1:7">
      <c r="A795" s="6">
        <v>42914</v>
      </c>
      <c r="B795" s="3" t="s">
        <v>3494</v>
      </c>
      <c r="C795" s="3" t="s">
        <v>18</v>
      </c>
      <c r="D795" s="8" t="str">
        <f>HYPERLINK("http://npthd.inbcu.com/ViewContent.aspx?filename=NPMR_NBC_2017-06-28_E.MP4$2045$2516","LITTLE BIG SHOTS: FOREVER YOUNG: age aint nothing but a number")</f>
        <v>LITTLE BIG SHOTS: FOREVER YOUNG: age aint nothing but a number</v>
      </c>
      <c r="E795" s="3" t="s">
        <v>795</v>
      </c>
      <c r="F795" s="3" t="s">
        <v>4051</v>
      </c>
      <c r="G795" s="3" t="s">
        <v>4052</v>
      </c>
    </row>
    <row r="796" spans="1:7">
      <c r="A796" s="6">
        <v>42914</v>
      </c>
      <c r="B796" s="3" t="s">
        <v>3494</v>
      </c>
      <c r="C796" s="3" t="s">
        <v>21</v>
      </c>
      <c r="D796" s="8" t="str">
        <f>HYPERLINK("http://npthd.inbcu.com/ViewContent.aspx?filename=NPMR_NBC_2017-06-28_E.MP4$2516$2541","COMMERCIAL")</f>
        <v>COMMERCIAL</v>
      </c>
      <c r="E796" s="3" t="s">
        <v>582</v>
      </c>
      <c r="F796" s="3" t="s">
        <v>4052</v>
      </c>
      <c r="G796" s="3" t="s">
        <v>3462</v>
      </c>
    </row>
    <row r="797" spans="1:7">
      <c r="A797" s="6">
        <v>42914</v>
      </c>
      <c r="B797" s="3" t="s">
        <v>3494</v>
      </c>
      <c r="C797" s="3" t="s">
        <v>14</v>
      </c>
      <c r="D797" s="8" t="str">
        <f>HYPERLINK("http://npthd.inbcu.com/ViewContent.aspx?filename=NPMR_NBC_2017-06-28_E.MP4$2541$2561","Despicable Me 3")</f>
        <v>Despicable Me 3</v>
      </c>
      <c r="E797" s="3" t="s">
        <v>1805</v>
      </c>
      <c r="F797" s="3" t="s">
        <v>3462</v>
      </c>
      <c r="G797" s="3" t="s">
        <v>4053</v>
      </c>
    </row>
    <row r="798" spans="1:7">
      <c r="A798" s="6">
        <v>42914</v>
      </c>
      <c r="B798" s="3" t="s">
        <v>3494</v>
      </c>
      <c r="C798" s="3" t="s">
        <v>32</v>
      </c>
      <c r="D798" s="8" t="str">
        <f>HYPERLINK("http://npthd.inbcu.com/ViewContent.aspx?filename=NPMR_NBC_2017-06-28_E.MP4$2561$2731","LOCAL")</f>
        <v>LOCAL</v>
      </c>
      <c r="E798" s="3" t="s">
        <v>4054</v>
      </c>
      <c r="F798" s="3" t="s">
        <v>4053</v>
      </c>
      <c r="G798" s="3" t="s">
        <v>2460</v>
      </c>
    </row>
    <row r="799" spans="1:7">
      <c r="A799" s="6">
        <v>42914</v>
      </c>
      <c r="B799" s="3" t="s">
        <v>3494</v>
      </c>
      <c r="C799" s="3" t="s">
        <v>14</v>
      </c>
      <c r="D799" s="8" t="str">
        <f>HYPERLINK("http://npthd.inbcu.com/ViewContent.aspx?filename=NPMR_NBC_2017-06-28_E.MP4$2731$2746","Daytona 500")</f>
        <v>Daytona 500</v>
      </c>
      <c r="E799" s="3" t="s">
        <v>30</v>
      </c>
      <c r="F799" s="3" t="s">
        <v>2460</v>
      </c>
      <c r="G799" s="3" t="s">
        <v>440</v>
      </c>
    </row>
    <row r="800" spans="1:7">
      <c r="A800" s="6">
        <v>42914</v>
      </c>
      <c r="B800" s="3" t="s">
        <v>3494</v>
      </c>
      <c r="C800" s="3" t="s">
        <v>18</v>
      </c>
      <c r="D800" s="8" t="str">
        <f>HYPERLINK("http://npthd.inbcu.com/ViewContent.aspx?filename=NPMR_NBC_2017-06-28_E.MP4$2746$3102","LITTLE BIG SHOTS: FOREVER YOUNG: age aint nothing but a number")</f>
        <v>LITTLE BIG SHOTS: FOREVER YOUNG: age aint nothing but a number</v>
      </c>
      <c r="E800" s="3" t="s">
        <v>4055</v>
      </c>
      <c r="F800" s="3" t="s">
        <v>440</v>
      </c>
      <c r="G800" s="3" t="s">
        <v>4056</v>
      </c>
    </row>
    <row r="801" spans="1:7">
      <c r="A801" s="6">
        <v>42914</v>
      </c>
      <c r="B801" s="3" t="s">
        <v>3494</v>
      </c>
      <c r="C801" s="3" t="s">
        <v>21</v>
      </c>
      <c r="D801" s="8" t="str">
        <f>HYPERLINK("http://npthd.inbcu.com/ViewContent.aspx?filename=NPMR_NBC_2017-06-28_E.MP4$3102$3283","COMMERCIAL")</f>
        <v>COMMERCIAL</v>
      </c>
      <c r="E801" s="3" t="s">
        <v>108</v>
      </c>
      <c r="F801" s="3" t="s">
        <v>4056</v>
      </c>
      <c r="G801" s="3" t="s">
        <v>4057</v>
      </c>
    </row>
    <row r="802" spans="1:7">
      <c r="A802" s="6">
        <v>42914</v>
      </c>
      <c r="B802" s="3" t="s">
        <v>3494</v>
      </c>
      <c r="C802" s="3" t="s">
        <v>14</v>
      </c>
      <c r="D802" s="8" t="str">
        <f>HYPERLINK("http://npthd.inbcu.com/ViewContent.aspx?filename=NPMR_NBC_2017-06-28_E.MP4$3283$3298","Carmichael Show, The")</f>
        <v>Carmichael Show, The</v>
      </c>
      <c r="E802" s="3" t="s">
        <v>30</v>
      </c>
      <c r="F802" s="3" t="s">
        <v>4057</v>
      </c>
      <c r="G802" s="3" t="s">
        <v>149</v>
      </c>
    </row>
    <row r="803" spans="1:7">
      <c r="A803" s="6">
        <v>42914</v>
      </c>
      <c r="B803" s="3" t="s">
        <v>3494</v>
      </c>
      <c r="C803" s="3" t="s">
        <v>18</v>
      </c>
      <c r="D803" s="8" t="str">
        <f>HYPERLINK("http://npthd.inbcu.com/ViewContent.aspx?filename=NPMR_NBC_2017-06-28_E.MP4$3298$3671","LITTLE BIG SHOTS: FOREVER YOUNG: age aint nothing but a number")</f>
        <v>LITTLE BIG SHOTS: FOREVER YOUNG: age aint nothing but a number</v>
      </c>
      <c r="E803" s="3" t="s">
        <v>1829</v>
      </c>
      <c r="F803" s="3" t="s">
        <v>149</v>
      </c>
      <c r="G803" s="3" t="s">
        <v>1059</v>
      </c>
    </row>
    <row r="804" spans="1:7">
      <c r="A804" s="6">
        <v>42914</v>
      </c>
      <c r="B804" s="3" t="s">
        <v>3494</v>
      </c>
      <c r="C804" s="3" t="s">
        <v>14</v>
      </c>
      <c r="D804" s="8" t="str">
        <f>HYPERLINK("http://npthd.inbcu.com/ViewContent.aspx?filename=NPMR_NBC_2017-06-28_E.MP4$3671$3694","Little Big Shots")</f>
        <v>Little Big Shots</v>
      </c>
      <c r="E804" s="3" t="s">
        <v>2512</v>
      </c>
      <c r="F804" s="3" t="s">
        <v>1059</v>
      </c>
      <c r="G804" s="3" t="s">
        <v>3673</v>
      </c>
    </row>
    <row r="805" spans="1:7">
      <c r="A805" s="6">
        <v>42914</v>
      </c>
      <c r="B805" s="3" t="s">
        <v>3494</v>
      </c>
      <c r="C805" s="3" t="s">
        <v>18</v>
      </c>
      <c r="D805" s="8" t="str">
        <f>HYPERLINK("http://npthd.inbcu.com/ViewContent.aspx?filename=NPMR_NBC_2017-06-28_E.MP4$3694$3701","LITTLE BIG SHOTS: FOREVER YOUNG: age aint nothing but a number")</f>
        <v>LITTLE BIG SHOTS: FOREVER YOUNG: age aint nothing but a number</v>
      </c>
      <c r="E805" s="3" t="s">
        <v>567</v>
      </c>
      <c r="F805" s="3" t="s">
        <v>3673</v>
      </c>
      <c r="G805" s="3" t="s">
        <v>242</v>
      </c>
    </row>
    <row r="806" spans="1:7">
      <c r="A806" s="6">
        <v>42914</v>
      </c>
      <c r="B806" s="3" t="s">
        <v>3494</v>
      </c>
      <c r="C806" s="3" t="s">
        <v>18</v>
      </c>
      <c r="D806" s="8" t="str">
        <f>HYPERLINK("http://npthd.inbcu.com/ViewContent.aspx?filename=NPMR_NBC_2017-06-28_E.MP4$3701$3797","THE CARMICHAEL SHOW: shoot-up-able")</f>
        <v>THE CARMICHAEL SHOW: shoot-up-able</v>
      </c>
      <c r="E806" s="3" t="s">
        <v>2101</v>
      </c>
      <c r="F806" s="3" t="s">
        <v>242</v>
      </c>
      <c r="G806" s="3" t="s">
        <v>4058</v>
      </c>
    </row>
    <row r="807" spans="1:7">
      <c r="A807" s="6">
        <v>42914</v>
      </c>
      <c r="B807" s="3" t="s">
        <v>3494</v>
      </c>
      <c r="C807" s="3" t="s">
        <v>21</v>
      </c>
      <c r="D807" s="8" t="str">
        <f>HYPERLINK("http://npthd.inbcu.com/ViewContent.aspx?filename=NPMR_NBC_2017-06-28_E.MP4$3797$3948","COMMERCIAL")</f>
        <v>COMMERCIAL</v>
      </c>
      <c r="E807" s="3" t="s">
        <v>91</v>
      </c>
      <c r="F807" s="3" t="s">
        <v>4058</v>
      </c>
      <c r="G807" s="3" t="s">
        <v>4059</v>
      </c>
    </row>
    <row r="808" spans="1:7">
      <c r="A808" s="6">
        <v>42914</v>
      </c>
      <c r="B808" s="3" t="s">
        <v>3494</v>
      </c>
      <c r="C808" s="3" t="s">
        <v>14</v>
      </c>
      <c r="D808" s="8" t="str">
        <f>HYPERLINK("http://npthd.inbcu.com/ViewContent.aspx?filename=NPMR_NBC_2017-06-28_E.MP4$3948$3978","NBC Thursday")</f>
        <v>NBC Thursday</v>
      </c>
      <c r="E808" s="3" t="s">
        <v>38</v>
      </c>
      <c r="F808" s="3" t="s">
        <v>4059</v>
      </c>
      <c r="G808" s="3" t="s">
        <v>2627</v>
      </c>
    </row>
    <row r="809" spans="1:7">
      <c r="A809" s="6">
        <v>42914</v>
      </c>
      <c r="B809" s="3" t="s">
        <v>3494</v>
      </c>
      <c r="C809" s="3" t="s">
        <v>18</v>
      </c>
      <c r="D809" s="8" t="str">
        <f>HYPERLINK("http://npthd.inbcu.com/ViewContent.aspx?filename=NPMR_NBC_2017-06-28_E.MP4$3978$4570","THE CARMICHAEL SHOW: shoot-up-able")</f>
        <v>THE CARMICHAEL SHOW: shoot-up-able</v>
      </c>
      <c r="E809" s="3" t="s">
        <v>2928</v>
      </c>
      <c r="F809" s="3" t="s">
        <v>2627</v>
      </c>
      <c r="G809" s="3" t="s">
        <v>4060</v>
      </c>
    </row>
    <row r="810" spans="1:7">
      <c r="A810" s="6">
        <v>42914</v>
      </c>
      <c r="B810" s="3" t="s">
        <v>3494</v>
      </c>
      <c r="C810" s="3" t="s">
        <v>21</v>
      </c>
      <c r="D810" s="8" t="str">
        <f>HYPERLINK("http://npthd.inbcu.com/ViewContent.aspx?filename=NPMR_NBC_2017-06-28_E.MP4$4570$4630","COMMERCIAL")</f>
        <v>COMMERCIAL</v>
      </c>
      <c r="E810" s="3" t="s">
        <v>66</v>
      </c>
      <c r="F810" s="3" t="s">
        <v>4060</v>
      </c>
      <c r="G810" s="3" t="s">
        <v>4061</v>
      </c>
    </row>
    <row r="811" spans="1:7">
      <c r="A811" s="6">
        <v>42914</v>
      </c>
      <c r="B811" s="3" t="s">
        <v>3494</v>
      </c>
      <c r="C811" s="3" t="s">
        <v>14</v>
      </c>
      <c r="D811" s="8" t="str">
        <f>HYPERLINK("http://npthd.inbcu.com/ViewContent.aspx?filename=NPMR_NBC_2017-06-28_E.MP4$4630$4636","Despicable Me 3")</f>
        <v>Despicable Me 3</v>
      </c>
      <c r="E811" s="3" t="s">
        <v>15</v>
      </c>
      <c r="F811" s="3" t="s">
        <v>4061</v>
      </c>
      <c r="G811" s="3" t="s">
        <v>1901</v>
      </c>
    </row>
    <row r="812" spans="1:7">
      <c r="A812" s="6">
        <v>42914</v>
      </c>
      <c r="B812" s="3" t="s">
        <v>3494</v>
      </c>
      <c r="C812" s="3" t="s">
        <v>32</v>
      </c>
      <c r="D812" s="8" t="str">
        <f>HYPERLINK("http://npthd.inbcu.com/ViewContent.aspx?filename=NPMR_NBC_2017-06-28_E.MP4$4636$4730","LOCAL")</f>
        <v>LOCAL</v>
      </c>
      <c r="E812" s="3" t="s">
        <v>1917</v>
      </c>
      <c r="F812" s="3" t="s">
        <v>1901</v>
      </c>
      <c r="G812" s="3" t="s">
        <v>4062</v>
      </c>
    </row>
    <row r="813" spans="1:7">
      <c r="A813" s="6">
        <v>42914</v>
      </c>
      <c r="B813" s="3" t="s">
        <v>3494</v>
      </c>
      <c r="C813" s="3" t="s">
        <v>14</v>
      </c>
      <c r="D813" s="8" t="str">
        <f>HYPERLINK("http://npthd.inbcu.com/ViewContent.aspx?filename=NPMR_NBC_2017-06-28_E.MP4$4730$4735","Carmichael Show, The")</f>
        <v>Carmichael Show, The</v>
      </c>
      <c r="E813" s="3" t="s">
        <v>54</v>
      </c>
      <c r="F813" s="3" t="s">
        <v>4062</v>
      </c>
      <c r="G813" s="3" t="s">
        <v>4063</v>
      </c>
    </row>
    <row r="814" spans="1:7">
      <c r="A814" s="6">
        <v>42914</v>
      </c>
      <c r="B814" s="3" t="s">
        <v>3494</v>
      </c>
      <c r="C814" s="3" t="s">
        <v>18</v>
      </c>
      <c r="D814" s="8" t="str">
        <f>HYPERLINK("http://npthd.inbcu.com/ViewContent.aspx?filename=NPMR_NBC_2017-06-28_E.MP4$4735$5263","THE CARMICHAEL SHOW: shoot-up-able")</f>
        <v>THE CARMICHAEL SHOW: shoot-up-able</v>
      </c>
      <c r="E814" s="3" t="s">
        <v>532</v>
      </c>
      <c r="F814" s="3" t="s">
        <v>4063</v>
      </c>
      <c r="G814" s="3" t="s">
        <v>4064</v>
      </c>
    </row>
    <row r="815" spans="1:7">
      <c r="A815" s="6">
        <v>42914</v>
      </c>
      <c r="B815" s="3" t="s">
        <v>3494</v>
      </c>
      <c r="C815" s="3" t="s">
        <v>21</v>
      </c>
      <c r="D815" s="8" t="str">
        <f>HYPERLINK("http://npthd.inbcu.com/ViewContent.aspx?filename=NPMR_NBC_2017-06-28_E.MP4$5263$5413","COMMERCIAL")</f>
        <v>COMMERCIAL</v>
      </c>
      <c r="E815" s="3" t="s">
        <v>28</v>
      </c>
      <c r="F815" s="3" t="s">
        <v>4064</v>
      </c>
      <c r="G815" s="3" t="s">
        <v>3470</v>
      </c>
    </row>
    <row r="816" spans="1:7">
      <c r="A816" s="6">
        <v>42914</v>
      </c>
      <c r="B816" s="3" t="s">
        <v>3494</v>
      </c>
      <c r="C816" s="3" t="s">
        <v>14</v>
      </c>
      <c r="D816" s="8" t="str">
        <f>HYPERLINK("http://npthd.inbcu.com/ViewContent.aspx?filename=NPMR_NBC_2017-06-28_E.MP4$5413$5444","Marlon")</f>
        <v>Marlon</v>
      </c>
      <c r="E816" s="3" t="s">
        <v>98</v>
      </c>
      <c r="F816" s="3" t="s">
        <v>3470</v>
      </c>
      <c r="G816" s="3" t="s">
        <v>4065</v>
      </c>
    </row>
    <row r="817" spans="1:7">
      <c r="A817" s="6">
        <v>42914</v>
      </c>
      <c r="B817" s="3" t="s">
        <v>3494</v>
      </c>
      <c r="C817" s="3" t="s">
        <v>18</v>
      </c>
      <c r="D817" s="8" t="str">
        <f>HYPERLINK("http://npthd.inbcu.com/ViewContent.aspx?filename=NPMR_NBC_2017-06-28_E.MP4$5444$5501","THE CARMICHAEL SHOW: shoot-up-able")</f>
        <v>THE CARMICHAEL SHOW: shoot-up-able</v>
      </c>
      <c r="E817" s="3" t="s">
        <v>2897</v>
      </c>
      <c r="F817" s="3" t="s">
        <v>4065</v>
      </c>
      <c r="G817" s="3" t="s">
        <v>550</v>
      </c>
    </row>
    <row r="818" spans="1:7">
      <c r="A818" s="6">
        <v>42914</v>
      </c>
      <c r="B818" s="3" t="s">
        <v>3494</v>
      </c>
      <c r="C818" s="3" t="s">
        <v>18</v>
      </c>
      <c r="D818" s="8" t="str">
        <f>HYPERLINK("http://npthd.inbcu.com/ViewContent.aspx?filename=NPMR_NBC_2017-06-28_E.MP4$5501$5692","THE CARMICHAEL SHOW: porn addiction")</f>
        <v>THE CARMICHAEL SHOW: porn addiction</v>
      </c>
      <c r="E818" s="3" t="s">
        <v>1039</v>
      </c>
      <c r="F818" s="3" t="s">
        <v>550</v>
      </c>
      <c r="G818" s="3" t="s">
        <v>4066</v>
      </c>
    </row>
    <row r="819" spans="1:7">
      <c r="A819" s="6">
        <v>42914</v>
      </c>
      <c r="B819" s="3" t="s">
        <v>3494</v>
      </c>
      <c r="C819" s="3" t="s">
        <v>21</v>
      </c>
      <c r="D819" s="8" t="str">
        <f>HYPERLINK("http://npthd.inbcu.com/ViewContent.aspx?filename=NPMR_NBC_2017-06-28_E.MP4$5692$5812","COMMERCIAL")</f>
        <v>COMMERCIAL</v>
      </c>
      <c r="E819" s="3" t="s">
        <v>43</v>
      </c>
      <c r="F819" s="3" t="s">
        <v>4066</v>
      </c>
      <c r="G819" s="3" t="s">
        <v>4067</v>
      </c>
    </row>
    <row r="820" spans="1:7">
      <c r="A820" s="6">
        <v>42914</v>
      </c>
      <c r="B820" s="3" t="s">
        <v>3494</v>
      </c>
      <c r="C820" s="3" t="s">
        <v>14</v>
      </c>
      <c r="D820" s="8" t="str">
        <f>HYPERLINK("http://npthd.inbcu.com/ViewContent.aspx?filename=NPMR_NBC_2017-06-28_E.MP4$5812$5827","Wall, The")</f>
        <v>Wall, The</v>
      </c>
      <c r="E820" s="3" t="s">
        <v>30</v>
      </c>
      <c r="F820" s="3" t="s">
        <v>4067</v>
      </c>
      <c r="G820" s="3" t="s">
        <v>1571</v>
      </c>
    </row>
    <row r="821" spans="1:7">
      <c r="A821" s="6">
        <v>42914</v>
      </c>
      <c r="B821" s="3" t="s">
        <v>3494</v>
      </c>
      <c r="C821" s="3" t="s">
        <v>14</v>
      </c>
      <c r="D821" s="8" t="str">
        <f>HYPERLINK("http://npthd.inbcu.com/ViewContent.aspx?filename=NPMR_NBC_2017-06-28_E.MP4$5827$5842","Marlon")</f>
        <v>Marlon</v>
      </c>
      <c r="E821" s="3" t="s">
        <v>30</v>
      </c>
      <c r="F821" s="3" t="s">
        <v>1571</v>
      </c>
      <c r="G821" s="3" t="s">
        <v>2024</v>
      </c>
    </row>
    <row r="822" spans="1:7">
      <c r="A822" s="6">
        <v>42914</v>
      </c>
      <c r="B822" s="3" t="s">
        <v>3494</v>
      </c>
      <c r="C822" s="3" t="s">
        <v>18</v>
      </c>
      <c r="D822" s="8" t="str">
        <f>HYPERLINK("http://npthd.inbcu.com/ViewContent.aspx?filename=NPMR_NBC_2017-06-28_E.MP4$5842$6335","THE CARMICHAEL SHOW: porn addiction")</f>
        <v>THE CARMICHAEL SHOW: porn addiction</v>
      </c>
      <c r="E822" s="3" t="s">
        <v>2751</v>
      </c>
      <c r="F822" s="3" t="s">
        <v>2024</v>
      </c>
      <c r="G822" s="3" t="s">
        <v>3268</v>
      </c>
    </row>
    <row r="823" spans="1:7">
      <c r="A823" s="6">
        <v>42914</v>
      </c>
      <c r="B823" s="3" t="s">
        <v>3494</v>
      </c>
      <c r="C823" s="3" t="s">
        <v>21</v>
      </c>
      <c r="D823" s="8" t="str">
        <f>HYPERLINK("http://npthd.inbcu.com/ViewContent.aspx?filename=NPMR_NBC_2017-06-28_E.MP4$6335$6456","COMMERCIAL")</f>
        <v>COMMERCIAL</v>
      </c>
      <c r="E823" s="3" t="s">
        <v>175</v>
      </c>
      <c r="F823" s="3" t="s">
        <v>3268</v>
      </c>
      <c r="G823" s="3" t="s">
        <v>4068</v>
      </c>
    </row>
    <row r="824" spans="1:7">
      <c r="A824" s="6">
        <v>42914</v>
      </c>
      <c r="B824" s="3" t="s">
        <v>3494</v>
      </c>
      <c r="C824" s="3" t="s">
        <v>14</v>
      </c>
      <c r="D824" s="8" t="str">
        <f>HYPERLINK("http://npthd.inbcu.com/ViewContent.aspx?filename=NPMR_NBC_2017-06-28_E.MP4$6456$6461","American Ninja Warrior")</f>
        <v>American Ninja Warrior</v>
      </c>
      <c r="E824" s="3" t="s">
        <v>54</v>
      </c>
      <c r="F824" s="3" t="s">
        <v>4068</v>
      </c>
      <c r="G824" s="3" t="s">
        <v>4069</v>
      </c>
    </row>
    <row r="825" spans="1:7">
      <c r="A825" s="6">
        <v>42914</v>
      </c>
      <c r="B825" s="3" t="s">
        <v>3494</v>
      </c>
      <c r="C825" s="3" t="s">
        <v>32</v>
      </c>
      <c r="D825" s="8" t="str">
        <f>HYPERLINK("http://npthd.inbcu.com/ViewContent.aspx?filename=NPMR_NBC_2017-06-28_E.MP4$6461$6552","LOCAL")</f>
        <v>LOCAL</v>
      </c>
      <c r="E825" s="3" t="s">
        <v>77</v>
      </c>
      <c r="F825" s="3" t="s">
        <v>4069</v>
      </c>
      <c r="G825" s="3" t="s">
        <v>2642</v>
      </c>
    </row>
    <row r="826" spans="1:7">
      <c r="A826" s="6">
        <v>42914</v>
      </c>
      <c r="B826" s="3" t="s">
        <v>3494</v>
      </c>
      <c r="C826" s="3" t="s">
        <v>14</v>
      </c>
      <c r="D826" s="8" t="str">
        <f>HYPERLINK("http://npthd.inbcu.com/ViewContent.aspx?filename=NPMR_NBC_2017-06-28_E.MP4$6552$6557","Despicable Me 3")</f>
        <v>Despicable Me 3</v>
      </c>
      <c r="E826" s="3" t="s">
        <v>54</v>
      </c>
      <c r="F826" s="3" t="s">
        <v>2642</v>
      </c>
      <c r="G826" s="3" t="s">
        <v>4070</v>
      </c>
    </row>
    <row r="827" spans="1:7">
      <c r="A827" s="6">
        <v>42914</v>
      </c>
      <c r="B827" s="3" t="s">
        <v>3494</v>
      </c>
      <c r="C827" s="3" t="s">
        <v>18</v>
      </c>
      <c r="D827" s="8" t="str">
        <f>HYPERLINK("http://npthd.inbcu.com/ViewContent.aspx?filename=NPMR_NBC_2017-06-28_E.MP4$6557$7093","THE CARMICHAEL SHOW: porn addiction")</f>
        <v>THE CARMICHAEL SHOW: porn addiction</v>
      </c>
      <c r="E827" s="3" t="s">
        <v>1434</v>
      </c>
      <c r="F827" s="3" t="s">
        <v>4070</v>
      </c>
      <c r="G827" s="3" t="s">
        <v>4071</v>
      </c>
    </row>
    <row r="828" spans="1:7">
      <c r="A828" s="6">
        <v>42914</v>
      </c>
      <c r="B828" s="3" t="s">
        <v>3494</v>
      </c>
      <c r="C828" s="3" t="s">
        <v>21</v>
      </c>
      <c r="D828" s="8" t="str">
        <f>HYPERLINK("http://npthd.inbcu.com/ViewContent.aspx?filename=NPMR_NBC_2017-06-28_E.MP4$7093$7228","COMMERCIAL")</f>
        <v>COMMERCIAL</v>
      </c>
      <c r="E828" s="3" t="s">
        <v>459</v>
      </c>
      <c r="F828" s="3" t="s">
        <v>4071</v>
      </c>
      <c r="G828" s="3" t="s">
        <v>4072</v>
      </c>
    </row>
    <row r="829" spans="1:7">
      <c r="A829" s="6">
        <v>42914</v>
      </c>
      <c r="B829" s="3" t="s">
        <v>3494</v>
      </c>
      <c r="C829" s="3" t="s">
        <v>14</v>
      </c>
      <c r="D829" s="8" t="str">
        <f>HYPERLINK("http://npthd.inbcu.com/ViewContent.aspx?filename=NPMR_NBC_2017-06-28_E.MP4$7228$7244","Hollywood Game Night")</f>
        <v>Hollywood Game Night</v>
      </c>
      <c r="E829" s="3" t="s">
        <v>64</v>
      </c>
      <c r="F829" s="3" t="s">
        <v>4072</v>
      </c>
      <c r="G829" s="3" t="s">
        <v>1232</v>
      </c>
    </row>
    <row r="830" spans="1:7">
      <c r="A830" s="6">
        <v>42914</v>
      </c>
      <c r="B830" s="3" t="s">
        <v>3494</v>
      </c>
      <c r="C830" s="3" t="s">
        <v>14</v>
      </c>
      <c r="D830" s="8" t="str">
        <f>HYPERLINK("http://npthd.inbcu.com/ViewContent.aspx?filename=NPMR_NBC_2017-06-28_E.MP4$7244$7254","Tonight Show starring Jimmy Fallon, The")</f>
        <v>Tonight Show starring Jimmy Fallon, The</v>
      </c>
      <c r="E830" s="3" t="s">
        <v>197</v>
      </c>
      <c r="F830" s="3" t="s">
        <v>1232</v>
      </c>
      <c r="G830" s="3" t="s">
        <v>2479</v>
      </c>
    </row>
    <row r="831" spans="1:7">
      <c r="A831" s="6">
        <v>42914</v>
      </c>
      <c r="B831" s="3" t="s">
        <v>3494</v>
      </c>
      <c r="C831" s="3" t="s">
        <v>14</v>
      </c>
      <c r="D831" s="8" t="str">
        <f>HYPERLINK("http://npthd.inbcu.com/ViewContent.aspx?filename=NPMR_NBC_2017-06-28_E.MP4$7254$7259","Marlon")</f>
        <v>Marlon</v>
      </c>
      <c r="E831" s="3" t="s">
        <v>54</v>
      </c>
      <c r="F831" s="3" t="s">
        <v>2479</v>
      </c>
      <c r="G831" s="3" t="s">
        <v>1233</v>
      </c>
    </row>
    <row r="832" spans="1:7">
      <c r="A832" s="6">
        <v>42914</v>
      </c>
      <c r="B832" s="3" t="s">
        <v>3494</v>
      </c>
      <c r="C832" s="3" t="s">
        <v>18</v>
      </c>
      <c r="D832" s="8" t="str">
        <f>HYPERLINK("http://npthd.inbcu.com/ViewContent.aspx?filename=NPMR_NBC_2017-06-28_E.MP4$7259$7301","THE CARMICHAEL SHOW: porn addiction")</f>
        <v>THE CARMICHAEL SHOW: porn addiction</v>
      </c>
      <c r="E832" s="3" t="s">
        <v>512</v>
      </c>
      <c r="F832" s="3" t="s">
        <v>1233</v>
      </c>
      <c r="G832" s="3" t="s">
        <v>394</v>
      </c>
    </row>
    <row r="833" spans="1:7">
      <c r="A833" s="6">
        <v>42914</v>
      </c>
      <c r="B833" s="3" t="s">
        <v>3494</v>
      </c>
      <c r="C833" s="3" t="s">
        <v>18</v>
      </c>
      <c r="D833" s="8" t="str">
        <f>HYPERLINK("http://npthd.inbcu.com/ViewContent.aspx?filename=NPMR_NBC_2017-06-28_E.MP4$7301$7856","THIS IS US: the game plan")</f>
        <v>THIS IS US: the game plan</v>
      </c>
      <c r="E833" s="3" t="s">
        <v>1659</v>
      </c>
      <c r="F833" s="3" t="s">
        <v>394</v>
      </c>
      <c r="G833" s="3" t="s">
        <v>4073</v>
      </c>
    </row>
    <row r="834" spans="1:7">
      <c r="A834" s="6">
        <v>42914</v>
      </c>
      <c r="B834" s="3" t="s">
        <v>3494</v>
      </c>
      <c r="C834" s="3" t="s">
        <v>21</v>
      </c>
      <c r="D834" s="8" t="str">
        <f>HYPERLINK("http://npthd.inbcu.com/ViewContent.aspx?filename=NPMR_NBC_2017-06-28_E.MP4$7856$8037","COMMERCIAL")</f>
        <v>COMMERCIAL</v>
      </c>
      <c r="E834" s="3" t="s">
        <v>108</v>
      </c>
      <c r="F834" s="3" t="s">
        <v>4073</v>
      </c>
      <c r="G834" s="3" t="s">
        <v>3441</v>
      </c>
    </row>
    <row r="835" spans="1:7">
      <c r="A835" s="6">
        <v>42914</v>
      </c>
      <c r="B835" s="3" t="s">
        <v>3494</v>
      </c>
      <c r="C835" s="3" t="s">
        <v>14</v>
      </c>
      <c r="D835" s="8" t="str">
        <f>HYPERLINK("http://npthd.inbcu.com/ViewContent.aspx?filename=NPMR_NBC_2017-06-28_E.MP4$8037$8053","Wall, The")</f>
        <v>Wall, The</v>
      </c>
      <c r="E835" s="3" t="s">
        <v>64</v>
      </c>
      <c r="F835" s="3" t="s">
        <v>3441</v>
      </c>
      <c r="G835" s="3" t="s">
        <v>4074</v>
      </c>
    </row>
    <row r="836" spans="1:7">
      <c r="A836" s="6">
        <v>42914</v>
      </c>
      <c r="B836" s="3" t="s">
        <v>3494</v>
      </c>
      <c r="C836" s="3" t="s">
        <v>32</v>
      </c>
      <c r="D836" s="8" t="str">
        <f>HYPERLINK("http://npthd.inbcu.com/ViewContent.aspx?filename=NPMR_NBC_2017-06-28_E.MP4$8053$8084","LOCAL")</f>
        <v>LOCAL</v>
      </c>
      <c r="E836" s="3" t="s">
        <v>98</v>
      </c>
      <c r="F836" s="3" t="s">
        <v>4074</v>
      </c>
      <c r="G836" s="3" t="s">
        <v>4075</v>
      </c>
    </row>
    <row r="837" spans="1:7">
      <c r="A837" s="6">
        <v>42914</v>
      </c>
      <c r="B837" s="3" t="s">
        <v>3494</v>
      </c>
      <c r="C837" s="3" t="s">
        <v>18</v>
      </c>
      <c r="D837" s="8" t="str">
        <f>HYPERLINK("http://npthd.inbcu.com/ViewContent.aspx?filename=NPMR_NBC_2017-06-28_E.MP4$8084$8382","THIS IS US: the game plan")</f>
        <v>THIS IS US: the game plan</v>
      </c>
      <c r="E837" s="3" t="s">
        <v>1207</v>
      </c>
      <c r="F837" s="3" t="s">
        <v>4075</v>
      </c>
      <c r="G837" s="3" t="s">
        <v>4076</v>
      </c>
    </row>
    <row r="838" spans="1:7">
      <c r="A838" s="6">
        <v>42914</v>
      </c>
      <c r="B838" s="3" t="s">
        <v>3494</v>
      </c>
      <c r="C838" s="3" t="s">
        <v>21</v>
      </c>
      <c r="D838" s="8" t="str">
        <f>HYPERLINK("http://npthd.inbcu.com/ViewContent.aspx?filename=NPMR_NBC_2017-06-28_E.MP4$8382$8563","COMMERCIAL")</f>
        <v>COMMERCIAL</v>
      </c>
      <c r="E838" s="3" t="s">
        <v>108</v>
      </c>
      <c r="F838" s="3" t="s">
        <v>4076</v>
      </c>
      <c r="G838" s="3" t="s">
        <v>4077</v>
      </c>
    </row>
    <row r="839" spans="1:7">
      <c r="A839" s="6">
        <v>42914</v>
      </c>
      <c r="B839" s="3" t="s">
        <v>3494</v>
      </c>
      <c r="C839" s="3" t="s">
        <v>14</v>
      </c>
      <c r="D839" s="8" t="str">
        <f>HYPERLINK("http://npthd.inbcu.com/ViewContent.aspx?filename=NPMR_NBC_2017-06-28_E.MP4$8563$8577","Despicable Me 3")</f>
        <v>Despicable Me 3</v>
      </c>
      <c r="E839" s="3" t="s">
        <v>342</v>
      </c>
      <c r="F839" s="3" t="s">
        <v>4077</v>
      </c>
      <c r="G839" s="3" t="s">
        <v>4078</v>
      </c>
    </row>
    <row r="840" spans="1:7">
      <c r="A840" s="6">
        <v>42914</v>
      </c>
      <c r="B840" s="3" t="s">
        <v>3494</v>
      </c>
      <c r="C840" s="3" t="s">
        <v>14</v>
      </c>
      <c r="D840" s="8" t="str">
        <f>HYPERLINK("http://npthd.inbcu.com/ViewContent.aspx?filename=NPMR_NBC_2017-06-28_E.MP4$8577$8593","Today")</f>
        <v>Today</v>
      </c>
      <c r="E840" s="3" t="s">
        <v>64</v>
      </c>
      <c r="F840" s="3" t="s">
        <v>4078</v>
      </c>
      <c r="G840" s="3" t="s">
        <v>1518</v>
      </c>
    </row>
    <row r="841" spans="1:7">
      <c r="A841" s="6">
        <v>42914</v>
      </c>
      <c r="B841" s="3" t="s">
        <v>3494</v>
      </c>
      <c r="C841" s="3" t="s">
        <v>18</v>
      </c>
      <c r="D841" s="8" t="str">
        <f>HYPERLINK("http://npthd.inbcu.com/ViewContent.aspx?filename=NPMR_NBC_2017-06-28_E.MP4$8593$8876","THIS IS US: the game plan")</f>
        <v>THIS IS US: the game plan</v>
      </c>
      <c r="E841" s="3" t="s">
        <v>1007</v>
      </c>
      <c r="F841" s="3" t="s">
        <v>1518</v>
      </c>
      <c r="G841" s="3" t="s">
        <v>3102</v>
      </c>
    </row>
    <row r="842" spans="1:7">
      <c r="A842" s="6">
        <v>42914</v>
      </c>
      <c r="B842" s="3" t="s">
        <v>3494</v>
      </c>
      <c r="C842" s="3" t="s">
        <v>21</v>
      </c>
      <c r="D842" s="8" t="str">
        <f>HYPERLINK("http://npthd.inbcu.com/ViewContent.aspx?filename=NPMR_NBC_2017-06-28_E.MP4$8876$8939","COMMERCIAL")</f>
        <v>COMMERCIAL</v>
      </c>
      <c r="E842" s="3" t="s">
        <v>1344</v>
      </c>
      <c r="F842" s="3" t="s">
        <v>3102</v>
      </c>
      <c r="G842" s="3" t="s">
        <v>4079</v>
      </c>
    </row>
    <row r="843" spans="1:7">
      <c r="A843" s="6">
        <v>42914</v>
      </c>
      <c r="B843" s="3" t="s">
        <v>3494</v>
      </c>
      <c r="C843" s="3" t="s">
        <v>14</v>
      </c>
      <c r="D843" s="8" t="str">
        <f>HYPERLINK("http://npthd.inbcu.com/ViewContent.aspx?filename=NPMR_NBC_2017-06-28_E.MP4$8939$8954","Late Night with Seth Meyers")</f>
        <v>Late Night with Seth Meyers</v>
      </c>
      <c r="E843" s="3" t="s">
        <v>30</v>
      </c>
      <c r="F843" s="3" t="s">
        <v>4079</v>
      </c>
      <c r="G843" s="3" t="s">
        <v>4080</v>
      </c>
    </row>
    <row r="844" spans="1:7">
      <c r="A844" s="6">
        <v>42914</v>
      </c>
      <c r="B844" s="3" t="s">
        <v>3494</v>
      </c>
      <c r="C844" s="3" t="s">
        <v>32</v>
      </c>
      <c r="D844" s="8" t="str">
        <f>HYPERLINK("http://npthd.inbcu.com/ViewContent.aspx?filename=NPMR_NBC_2017-06-28_E.MP4$8954$9089","LOCAL")</f>
        <v>LOCAL</v>
      </c>
      <c r="E844" s="3" t="s">
        <v>459</v>
      </c>
      <c r="F844" s="3" t="s">
        <v>4080</v>
      </c>
      <c r="G844" s="3" t="s">
        <v>4081</v>
      </c>
    </row>
    <row r="845" spans="1:7">
      <c r="A845" s="6">
        <v>42914</v>
      </c>
      <c r="B845" s="3" t="s">
        <v>3494</v>
      </c>
      <c r="C845" s="3" t="s">
        <v>14</v>
      </c>
      <c r="D845" s="8" t="str">
        <f>HYPERLINK("http://npthd.inbcu.com/ViewContent.aspx?filename=NPMR_NBC_2017-06-28_E.MP4$9089$9103","American Ninja Warrior")</f>
        <v>American Ninja Warrior</v>
      </c>
      <c r="E845" s="3" t="s">
        <v>342</v>
      </c>
      <c r="F845" s="3" t="s">
        <v>4081</v>
      </c>
      <c r="G845" s="3" t="s">
        <v>4082</v>
      </c>
    </row>
    <row r="846" spans="1:7">
      <c r="A846" s="6">
        <v>42914</v>
      </c>
      <c r="B846" s="3" t="s">
        <v>3494</v>
      </c>
      <c r="C846" s="3" t="s">
        <v>18</v>
      </c>
      <c r="D846" s="8" t="str">
        <f>HYPERLINK("http://npthd.inbcu.com/ViewContent.aspx?filename=NPMR_NBC_2017-06-28_E.MP4$9103$9521","THIS IS US: the game plan")</f>
        <v>THIS IS US: the game plan</v>
      </c>
      <c r="E846" s="3" t="s">
        <v>1743</v>
      </c>
      <c r="F846" s="3" t="s">
        <v>4082</v>
      </c>
      <c r="G846" s="3" t="s">
        <v>4083</v>
      </c>
    </row>
    <row r="847" spans="1:7">
      <c r="A847" s="6">
        <v>42914</v>
      </c>
      <c r="B847" s="3" t="s">
        <v>3494</v>
      </c>
      <c r="C847" s="3" t="s">
        <v>21</v>
      </c>
      <c r="D847" s="8" t="str">
        <f>HYPERLINK("http://npthd.inbcu.com/ViewContent.aspx?filename=NPMR_NBC_2017-06-28_E.MP4$9521$9702","COMMERCIAL")</f>
        <v>COMMERCIAL</v>
      </c>
      <c r="E847" s="3" t="s">
        <v>108</v>
      </c>
      <c r="F847" s="3" t="s">
        <v>4083</v>
      </c>
      <c r="G847" s="3" t="s">
        <v>2232</v>
      </c>
    </row>
    <row r="848" spans="1:7">
      <c r="A848" s="6">
        <v>42914</v>
      </c>
      <c r="B848" s="3" t="s">
        <v>3494</v>
      </c>
      <c r="C848" s="3" t="s">
        <v>14</v>
      </c>
      <c r="D848" s="8" t="str">
        <f>HYPERLINK("http://npthd.inbcu.com/ViewContent.aspx?filename=NPMR_NBC_2017-06-28_E.MP4$9702$9733","NBC Thursday")</f>
        <v>NBC Thursday</v>
      </c>
      <c r="E848" s="3" t="s">
        <v>98</v>
      </c>
      <c r="F848" s="3" t="s">
        <v>2232</v>
      </c>
      <c r="G848" s="3" t="s">
        <v>4084</v>
      </c>
    </row>
    <row r="849" spans="1:7">
      <c r="A849" s="6">
        <v>42914</v>
      </c>
      <c r="B849" s="3" t="s">
        <v>3494</v>
      </c>
      <c r="C849" s="3" t="s">
        <v>18</v>
      </c>
      <c r="D849" s="8" t="str">
        <f>HYPERLINK("http://npthd.inbcu.com/ViewContent.aspx?filename=NPMR_NBC_2017-06-28_E.MP4$9733$10355","THIS IS US: the game plan")</f>
        <v>THIS IS US: the game plan</v>
      </c>
      <c r="E849" s="3" t="s">
        <v>3904</v>
      </c>
      <c r="F849" s="3" t="s">
        <v>4084</v>
      </c>
      <c r="G849" s="3" t="s">
        <v>4085</v>
      </c>
    </row>
    <row r="850" spans="1:7">
      <c r="A850" s="6">
        <v>42914</v>
      </c>
      <c r="B850" s="3" t="s">
        <v>3494</v>
      </c>
      <c r="C850" s="3" t="s">
        <v>21</v>
      </c>
      <c r="D850" s="8" t="str">
        <f>HYPERLINK("http://npthd.inbcu.com/ViewContent.aspx?filename=NPMR_NBC_2017-06-28_E.MP4$10355$10508","COMMERCIAL")</f>
        <v>COMMERCIAL</v>
      </c>
      <c r="E850" s="3" t="s">
        <v>1735</v>
      </c>
      <c r="F850" s="3" t="s">
        <v>4085</v>
      </c>
      <c r="G850" s="3" t="s">
        <v>4086</v>
      </c>
    </row>
    <row r="851" spans="1:7">
      <c r="A851" s="6">
        <v>42914</v>
      </c>
      <c r="B851" s="3" t="s">
        <v>3494</v>
      </c>
      <c r="C851" s="3" t="s">
        <v>32</v>
      </c>
      <c r="D851" s="8" t="str">
        <f>HYPERLINK("http://npthd.inbcu.com/ViewContent.aspx?filename=NPMR_NBC_2017-06-28_E.MP4$10508$10523","LOCAL")</f>
        <v>LOCAL</v>
      </c>
      <c r="E851" s="3" t="s">
        <v>30</v>
      </c>
      <c r="F851" s="3" t="s">
        <v>4086</v>
      </c>
      <c r="G851" s="3" t="s">
        <v>3050</v>
      </c>
    </row>
    <row r="852" spans="1:7">
      <c r="A852" s="6">
        <v>42914</v>
      </c>
      <c r="B852" s="3" t="s">
        <v>3494</v>
      </c>
      <c r="C852" s="3" t="s">
        <v>14</v>
      </c>
      <c r="D852" s="8" t="str">
        <f>HYPERLINK("http://npthd.inbcu.com/ViewContent.aspx?filename=NPMR_NBC_2017-06-28_E.MP4$10523$10538","Macys July 4 Spectacular")</f>
        <v>Macys July 4 Spectacular</v>
      </c>
      <c r="E852" s="3" t="s">
        <v>30</v>
      </c>
      <c r="F852" s="3" t="s">
        <v>3050</v>
      </c>
      <c r="G852" s="3" t="s">
        <v>4087</v>
      </c>
    </row>
    <row r="853" spans="1:7">
      <c r="A853" s="6">
        <v>42914</v>
      </c>
      <c r="B853" s="3" t="s">
        <v>3494</v>
      </c>
      <c r="C853" s="3" t="s">
        <v>14</v>
      </c>
      <c r="D853" s="8" t="str">
        <f>HYPERLINK("http://npthd.inbcu.com/ViewContent.aspx?filename=NPMR_NBC_2017-06-28_E.MP4$10538$10553","Midnight Texas")</f>
        <v>Midnight Texas</v>
      </c>
      <c r="E853" s="3" t="s">
        <v>30</v>
      </c>
      <c r="F853" s="3" t="s">
        <v>4087</v>
      </c>
      <c r="G853" s="3" t="s">
        <v>3698</v>
      </c>
    </row>
    <row r="854" spans="1:7">
      <c r="A854" s="6">
        <v>42914</v>
      </c>
      <c r="B854" s="3" t="s">
        <v>3494</v>
      </c>
      <c r="C854" s="3" t="s">
        <v>18</v>
      </c>
      <c r="D854" s="8" t="str">
        <f>HYPERLINK("http://npthd.inbcu.com/ViewContent.aspx?filename=NPMR_NBC_2017-06-28_E.MP4$10553$10835","THIS IS US: the game plan")</f>
        <v>THIS IS US: the game plan</v>
      </c>
      <c r="E854" s="3" t="s">
        <v>3125</v>
      </c>
      <c r="F854" s="3" t="s">
        <v>3698</v>
      </c>
      <c r="G854" s="3" t="s">
        <v>3552</v>
      </c>
    </row>
    <row r="855" spans="1:7">
      <c r="A855" s="6">
        <v>42914</v>
      </c>
      <c r="B855" s="3" t="s">
        <v>3494</v>
      </c>
      <c r="C855" s="3" t="s">
        <v>14</v>
      </c>
      <c r="D855" s="8" t="str">
        <f>HYPERLINK("http://npthd.inbcu.com/ViewContent.aspx?filename=NPMR_NBC_2017-06-28_E.MP4$10835$10865","This Is Us")</f>
        <v>This Is Us</v>
      </c>
      <c r="E855" s="3" t="s">
        <v>38</v>
      </c>
      <c r="F855" s="3" t="s">
        <v>3552</v>
      </c>
      <c r="G855" s="3" t="s">
        <v>3553</v>
      </c>
    </row>
    <row r="856" spans="1:7">
      <c r="A856" s="6">
        <v>42914</v>
      </c>
      <c r="B856" s="3" t="s">
        <v>3494</v>
      </c>
      <c r="C856" s="3" t="s">
        <v>18</v>
      </c>
      <c r="D856" s="8" t="str">
        <f>HYPERLINK("http://npthd.inbcu.com/ViewContent.aspx?filename=NPMR_NBC_2017-06-28_E.MP4$10865$10871","THIS IS US: the game plan")</f>
        <v>THIS IS US: the game plan</v>
      </c>
      <c r="E856" s="3" t="s">
        <v>15</v>
      </c>
      <c r="F856" s="3" t="s">
        <v>3553</v>
      </c>
      <c r="G856" s="3" t="s">
        <v>3554</v>
      </c>
    </row>
    <row r="857" spans="1:7">
      <c r="A857" s="6">
        <v>42914</v>
      </c>
      <c r="B857" s="3" t="s">
        <v>3494</v>
      </c>
      <c r="C857" s="3" t="s">
        <v>32</v>
      </c>
      <c r="D857" s="8" t="str">
        <f>HYPERLINK("http://npthd.inbcu.com/ViewContent.aspx?filename=NPMR_NBC_2017-06-28_E.MP4$10871$10901","LOCAL")</f>
        <v>LOCAL</v>
      </c>
      <c r="E857" s="3" t="s">
        <v>38</v>
      </c>
      <c r="F857" s="3" t="s">
        <v>3554</v>
      </c>
      <c r="G857" s="3" t="s">
        <v>124</v>
      </c>
    </row>
    <row r="858" spans="1:7">
      <c r="A858" s="6">
        <v>42919</v>
      </c>
      <c r="B858" s="3" t="s">
        <v>3494</v>
      </c>
      <c r="C858" s="3" t="s">
        <v>18</v>
      </c>
      <c r="D858" s="8" t="str">
        <f>HYPERLINK("http://npthd.inbcu.com/ViewContent.aspx?filename=NPMR_NBC_2017-07-03_E.MP4$96$768","AMERICAN NINJA WARRIOR: kansas city qualifiers")</f>
        <v>AMERICAN NINJA WARRIOR: kansas city qualifiers</v>
      </c>
      <c r="E858" s="3" t="s">
        <v>4088</v>
      </c>
      <c r="F858" s="3" t="s">
        <v>16</v>
      </c>
      <c r="G858" s="3" t="s">
        <v>4089</v>
      </c>
    </row>
    <row r="859" spans="1:7">
      <c r="A859" s="6">
        <v>42919</v>
      </c>
      <c r="B859" s="3" t="s">
        <v>3494</v>
      </c>
      <c r="C859" s="3" t="s">
        <v>21</v>
      </c>
      <c r="D859" s="8" t="str">
        <f>HYPERLINK("http://npthd.inbcu.com/ViewContent.aspx?filename=NPMR_NBC_2017-07-03_E.MP4$768$919","COMMERCIAL")</f>
        <v>COMMERCIAL</v>
      </c>
      <c r="E859" s="3" t="s">
        <v>91</v>
      </c>
      <c r="F859" s="3" t="s">
        <v>4089</v>
      </c>
      <c r="G859" s="3" t="s">
        <v>4090</v>
      </c>
    </row>
    <row r="860" spans="1:7">
      <c r="A860" s="6">
        <v>42919</v>
      </c>
      <c r="B860" s="3" t="s">
        <v>3494</v>
      </c>
      <c r="C860" s="3" t="s">
        <v>14</v>
      </c>
      <c r="D860" s="8" t="str">
        <f>HYPERLINK("http://npthd.inbcu.com/ViewContent.aspx?filename=NPMR_NBC_2017-07-03_E.MP4$919$949","Macys July 4 Spectacular")</f>
        <v>Macys July 4 Spectacular</v>
      </c>
      <c r="E860" s="3" t="s">
        <v>38</v>
      </c>
      <c r="F860" s="3" t="s">
        <v>4090</v>
      </c>
      <c r="G860" s="3" t="s">
        <v>4091</v>
      </c>
    </row>
    <row r="861" spans="1:7">
      <c r="A861" s="6">
        <v>42919</v>
      </c>
      <c r="B861" s="3" t="s">
        <v>3494</v>
      </c>
      <c r="C861" s="3" t="s">
        <v>18</v>
      </c>
      <c r="D861" s="8" t="str">
        <f>HYPERLINK("http://npthd.inbcu.com/ViewContent.aspx?filename=NPMR_NBC_2017-07-03_E.MP4$949$1467","AMERICAN NINJA WARRIOR: kansas city qualifiers")</f>
        <v>AMERICAN NINJA WARRIOR: kansas city qualifiers</v>
      </c>
      <c r="E861" s="3" t="s">
        <v>1095</v>
      </c>
      <c r="F861" s="3" t="s">
        <v>4091</v>
      </c>
      <c r="G861" s="3" t="s">
        <v>3919</v>
      </c>
    </row>
    <row r="862" spans="1:7">
      <c r="A862" s="6">
        <v>42919</v>
      </c>
      <c r="B862" s="3" t="s">
        <v>3494</v>
      </c>
      <c r="C862" s="3" t="s">
        <v>21</v>
      </c>
      <c r="D862" s="8" t="str">
        <f>HYPERLINK("http://npthd.inbcu.com/ViewContent.aspx?filename=NPMR_NBC_2017-07-03_E.MP4$1467$1558","COMMERCIAL")</f>
        <v>COMMERCIAL</v>
      </c>
      <c r="E862" s="3" t="s">
        <v>77</v>
      </c>
      <c r="F862" s="3" t="s">
        <v>3919</v>
      </c>
      <c r="G862" s="3" t="s">
        <v>4092</v>
      </c>
    </row>
    <row r="863" spans="1:7">
      <c r="A863" s="6">
        <v>42919</v>
      </c>
      <c r="B863" s="3" t="s">
        <v>3494</v>
      </c>
      <c r="C863" s="3" t="s">
        <v>14</v>
      </c>
      <c r="D863" s="8" t="str">
        <f>HYPERLINK("http://npthd.inbcu.com/ViewContent.aspx?filename=NPMR_NBC_2017-07-03_E.MP4$1558$1563","Midnight Texas")</f>
        <v>Midnight Texas</v>
      </c>
      <c r="E863" s="3" t="s">
        <v>54</v>
      </c>
      <c r="F863" s="3" t="s">
        <v>4092</v>
      </c>
      <c r="G863" s="3" t="s">
        <v>4093</v>
      </c>
    </row>
    <row r="864" spans="1:7">
      <c r="A864" s="6">
        <v>42919</v>
      </c>
      <c r="B864" s="3" t="s">
        <v>3494</v>
      </c>
      <c r="C864" s="3" t="s">
        <v>32</v>
      </c>
      <c r="D864" s="8" t="str">
        <f>HYPERLINK("http://npthd.inbcu.com/ViewContent.aspx?filename=NPMR_NBC_2017-07-03_E.MP4$1563$1657","LOCAL")</f>
        <v>LOCAL</v>
      </c>
      <c r="E864" s="3" t="s">
        <v>1917</v>
      </c>
      <c r="F864" s="3" t="s">
        <v>4093</v>
      </c>
      <c r="G864" s="3" t="s">
        <v>3060</v>
      </c>
    </row>
    <row r="865" spans="1:7">
      <c r="A865" s="6">
        <v>42919</v>
      </c>
      <c r="B865" s="3" t="s">
        <v>3494</v>
      </c>
      <c r="C865" s="3" t="s">
        <v>1618</v>
      </c>
      <c r="D865" s="8" t="str">
        <f>HYPERLINK("http://npthd.inbcu.com/ViewContent.aspx?filename=NPMR_NBC_2017-07-03_E.MP4$1657$1687","PSA")</f>
        <v>PSA</v>
      </c>
      <c r="E865" s="3" t="s">
        <v>38</v>
      </c>
      <c r="F865" s="3" t="s">
        <v>3060</v>
      </c>
      <c r="G865" s="3" t="s">
        <v>4094</v>
      </c>
    </row>
    <row r="866" spans="1:7">
      <c r="A866" s="6">
        <v>42919</v>
      </c>
      <c r="B866" s="3" t="s">
        <v>3494</v>
      </c>
      <c r="C866" s="3" t="s">
        <v>18</v>
      </c>
      <c r="D866" s="8" t="str">
        <f>HYPERLINK("http://npthd.inbcu.com/ViewContent.aspx?filename=NPMR_NBC_2017-07-03_E.MP4$1687$2106","AMERICAN NINJA WARRIOR: kansas city qualifiers")</f>
        <v>AMERICAN NINJA WARRIOR: kansas city qualifiers</v>
      </c>
      <c r="E866" s="3" t="s">
        <v>361</v>
      </c>
      <c r="F866" s="3" t="s">
        <v>4094</v>
      </c>
      <c r="G866" s="3" t="s">
        <v>4095</v>
      </c>
    </row>
    <row r="867" spans="1:7">
      <c r="A867" s="6">
        <v>42919</v>
      </c>
      <c r="B867" s="3" t="s">
        <v>3494</v>
      </c>
      <c r="C867" s="3" t="s">
        <v>14</v>
      </c>
      <c r="D867" s="8" t="str">
        <f>HYPERLINK("http://npthd.inbcu.com/ViewContent.aspx?filename=NPMR_NBC_2017-07-03_E.MP4$2106$2111","Spartan Race")</f>
        <v>Spartan Race</v>
      </c>
      <c r="E867" s="3" t="s">
        <v>54</v>
      </c>
      <c r="F867" s="3" t="s">
        <v>4095</v>
      </c>
      <c r="G867" s="3" t="s">
        <v>1482</v>
      </c>
    </row>
    <row r="868" spans="1:7">
      <c r="A868" s="6">
        <v>42919</v>
      </c>
      <c r="B868" s="3" t="s">
        <v>3494</v>
      </c>
      <c r="C868" s="3" t="s">
        <v>21</v>
      </c>
      <c r="D868" s="8" t="str">
        <f>HYPERLINK("http://npthd.inbcu.com/ViewContent.aspx?filename=NPMR_NBC_2017-07-03_E.MP4$2111$2261","COMMERCIAL")</f>
        <v>COMMERCIAL</v>
      </c>
      <c r="E868" s="3" t="s">
        <v>28</v>
      </c>
      <c r="F868" s="3" t="s">
        <v>1482</v>
      </c>
      <c r="G868" s="3" t="s">
        <v>4096</v>
      </c>
    </row>
    <row r="869" spans="1:7">
      <c r="A869" s="6">
        <v>42919</v>
      </c>
      <c r="B869" s="3" t="s">
        <v>3494</v>
      </c>
      <c r="C869" s="3" t="s">
        <v>14</v>
      </c>
      <c r="D869" s="8" t="str">
        <f>HYPERLINK("http://npthd.inbcu.com/ViewContent.aspx?filename=NPMR_NBC_2017-07-03_E.MP4$2261$2291","AGT/WOD")</f>
        <v>AGT/WOD</v>
      </c>
      <c r="E869" s="3" t="s">
        <v>38</v>
      </c>
      <c r="F869" s="3" t="s">
        <v>4096</v>
      </c>
      <c r="G869" s="3" t="s">
        <v>4097</v>
      </c>
    </row>
    <row r="870" spans="1:7">
      <c r="A870" s="6">
        <v>42919</v>
      </c>
      <c r="B870" s="3" t="s">
        <v>3494</v>
      </c>
      <c r="C870" s="3" t="s">
        <v>14</v>
      </c>
      <c r="D870" s="8" t="str">
        <f>HYPERLINK("http://npthd.inbcu.com/ViewContent.aspx?filename=NPMR_NBC_2017-07-03_E.MP4$2291$2321","Midnight Texas")</f>
        <v>Midnight Texas</v>
      </c>
      <c r="E870" s="3" t="s">
        <v>38</v>
      </c>
      <c r="F870" s="3" t="s">
        <v>4097</v>
      </c>
      <c r="G870" s="3" t="s">
        <v>4098</v>
      </c>
    </row>
    <row r="871" spans="1:7">
      <c r="A871" s="6">
        <v>42919</v>
      </c>
      <c r="B871" s="3" t="s">
        <v>3494</v>
      </c>
      <c r="C871" s="3" t="s">
        <v>18</v>
      </c>
      <c r="D871" s="8" t="str">
        <f>HYPERLINK("http://npthd.inbcu.com/ViewContent.aspx?filename=NPMR_NBC_2017-07-03_E.MP4$2321$2759","AMERICAN NINJA WARRIOR: kansas city qualifiers")</f>
        <v>AMERICAN NINJA WARRIOR: kansas city qualifiers</v>
      </c>
      <c r="E871" s="3" t="s">
        <v>4099</v>
      </c>
      <c r="F871" s="3" t="s">
        <v>4098</v>
      </c>
      <c r="G871" s="3" t="s">
        <v>3417</v>
      </c>
    </row>
    <row r="872" spans="1:7">
      <c r="A872" s="6">
        <v>42919</v>
      </c>
      <c r="B872" s="3" t="s">
        <v>3494</v>
      </c>
      <c r="C872" s="3" t="s">
        <v>21</v>
      </c>
      <c r="D872" s="8" t="str">
        <f>HYPERLINK("http://npthd.inbcu.com/ViewContent.aspx?filename=NPMR_NBC_2017-07-03_E.MP4$2759$2850","COMMERCIAL")</f>
        <v>COMMERCIAL</v>
      </c>
      <c r="E872" s="3" t="s">
        <v>77</v>
      </c>
      <c r="F872" s="3" t="s">
        <v>3417</v>
      </c>
      <c r="G872" s="3" t="s">
        <v>2008</v>
      </c>
    </row>
    <row r="873" spans="1:7">
      <c r="A873" s="6">
        <v>42919</v>
      </c>
      <c r="B873" s="3" t="s">
        <v>3494</v>
      </c>
      <c r="C873" s="3" t="s">
        <v>14</v>
      </c>
      <c r="D873" s="8" t="str">
        <f>HYPERLINK("http://npthd.inbcu.com/ViewContent.aspx?filename=NPMR_NBC_2017-07-03_E.MP4$2850$2855","Macys July 4 Spectacular")</f>
        <v>Macys July 4 Spectacular</v>
      </c>
      <c r="E873" s="3" t="s">
        <v>54</v>
      </c>
      <c r="F873" s="3" t="s">
        <v>2008</v>
      </c>
      <c r="G873" s="3" t="s">
        <v>3717</v>
      </c>
    </row>
    <row r="874" spans="1:7">
      <c r="A874" s="6">
        <v>42919</v>
      </c>
      <c r="B874" s="3" t="s">
        <v>3494</v>
      </c>
      <c r="C874" s="3" t="s">
        <v>32</v>
      </c>
      <c r="D874" s="8" t="str">
        <f>HYPERLINK("http://npthd.inbcu.com/ViewContent.aspx?filename=NPMR_NBC_2017-07-03_E.MP4$2855$2945","LOCAL")</f>
        <v>LOCAL</v>
      </c>
      <c r="E874" s="3" t="s">
        <v>46</v>
      </c>
      <c r="F874" s="3" t="s">
        <v>3717</v>
      </c>
      <c r="G874" s="3" t="s">
        <v>4100</v>
      </c>
    </row>
    <row r="875" spans="1:7">
      <c r="A875" s="6">
        <v>42919</v>
      </c>
      <c r="B875" s="3" t="s">
        <v>3494</v>
      </c>
      <c r="C875" s="3" t="s">
        <v>14</v>
      </c>
      <c r="D875" s="8" t="str">
        <f>HYPERLINK("http://npthd.inbcu.com/ViewContent.aspx?filename=NPMR_NBC_2017-07-03_E.MP4$2945$2960","Spartan Race")</f>
        <v>Spartan Race</v>
      </c>
      <c r="E875" s="3" t="s">
        <v>30</v>
      </c>
      <c r="F875" s="3" t="s">
        <v>4100</v>
      </c>
      <c r="G875" s="3" t="s">
        <v>3377</v>
      </c>
    </row>
    <row r="876" spans="1:7">
      <c r="A876" s="6">
        <v>42919</v>
      </c>
      <c r="B876" s="3" t="s">
        <v>3494</v>
      </c>
      <c r="C876" s="3" t="s">
        <v>18</v>
      </c>
      <c r="D876" s="8" t="str">
        <f>HYPERLINK("http://npthd.inbcu.com/ViewContent.aspx?filename=NPMR_NBC_2017-07-03_E.MP4$2960$3361","AMERICAN NINJA WARRIOR: kansas city qualifiers")</f>
        <v>AMERICAN NINJA WARRIOR: kansas city qualifiers</v>
      </c>
      <c r="E876" s="3" t="s">
        <v>421</v>
      </c>
      <c r="F876" s="3" t="s">
        <v>3377</v>
      </c>
      <c r="G876" s="3" t="s">
        <v>4101</v>
      </c>
    </row>
    <row r="877" spans="1:7">
      <c r="A877" s="6">
        <v>42919</v>
      </c>
      <c r="B877" s="3" t="s">
        <v>3494</v>
      </c>
      <c r="C877" s="3" t="s">
        <v>21</v>
      </c>
      <c r="D877" s="8" t="str">
        <f>HYPERLINK("http://npthd.inbcu.com/ViewContent.aspx?filename=NPMR_NBC_2017-07-03_E.MP4$3361$3541","COMMERCIAL")</f>
        <v>COMMERCIAL</v>
      </c>
      <c r="E877" s="3" t="s">
        <v>22</v>
      </c>
      <c r="F877" s="3" t="s">
        <v>4101</v>
      </c>
      <c r="G877" s="3" t="s">
        <v>4102</v>
      </c>
    </row>
    <row r="878" spans="1:7">
      <c r="A878" s="6">
        <v>42919</v>
      </c>
      <c r="B878" s="3" t="s">
        <v>3494</v>
      </c>
      <c r="C878" s="3" t="s">
        <v>14</v>
      </c>
      <c r="D878" s="8" t="str">
        <f>HYPERLINK("http://npthd.inbcu.com/ViewContent.aspx?filename=NPMR_NBC_2017-07-03_E.MP4$3541$3556","Fast and Furious (DVD)")</f>
        <v>Fast and Furious (DVD)</v>
      </c>
      <c r="E878" s="3" t="s">
        <v>30</v>
      </c>
      <c r="F878" s="3" t="s">
        <v>4102</v>
      </c>
      <c r="G878" s="3" t="s">
        <v>4103</v>
      </c>
    </row>
    <row r="879" spans="1:7">
      <c r="A879" s="6">
        <v>42919</v>
      </c>
      <c r="B879" s="3" t="s">
        <v>3494</v>
      </c>
      <c r="C879" s="3" t="s">
        <v>18</v>
      </c>
      <c r="D879" s="8" t="str">
        <f>HYPERLINK("http://npthd.inbcu.com/ViewContent.aspx?filename=NPMR_NBC_2017-07-03_E.MP4$3556$3974","AMERICAN NINJA WARRIOR: kansas city qualifiers")</f>
        <v>AMERICAN NINJA WARRIOR: kansas city qualifiers</v>
      </c>
      <c r="E879" s="3" t="s">
        <v>1743</v>
      </c>
      <c r="F879" s="3" t="s">
        <v>4103</v>
      </c>
      <c r="G879" s="3" t="s">
        <v>4016</v>
      </c>
    </row>
    <row r="880" spans="1:7">
      <c r="A880" s="6">
        <v>42919</v>
      </c>
      <c r="B880" s="3" t="s">
        <v>3494</v>
      </c>
      <c r="C880" s="3" t="s">
        <v>21</v>
      </c>
      <c r="D880" s="8" t="str">
        <f>HYPERLINK("http://npthd.inbcu.com/ViewContent.aspx?filename=NPMR_NBC_2017-07-03_E.MP4$3974$4154","COMMERCIAL")</f>
        <v>COMMERCIAL</v>
      </c>
      <c r="E880" s="3" t="s">
        <v>22</v>
      </c>
      <c r="F880" s="3" t="s">
        <v>4016</v>
      </c>
      <c r="G880" s="3" t="s">
        <v>4017</v>
      </c>
    </row>
    <row r="881" spans="1:7">
      <c r="A881" s="6">
        <v>42919</v>
      </c>
      <c r="B881" s="3" t="s">
        <v>3494</v>
      </c>
      <c r="C881" s="3" t="s">
        <v>14</v>
      </c>
      <c r="D881" s="8" t="str">
        <f>HYPERLINK("http://npthd.inbcu.com/ViewContent.aspx?filename=NPMR_NBC_2017-07-03_E.MP4$4154$4185","Brave, The")</f>
        <v>Brave, The</v>
      </c>
      <c r="E881" s="3" t="s">
        <v>98</v>
      </c>
      <c r="F881" s="3" t="s">
        <v>4017</v>
      </c>
      <c r="G881" s="3" t="s">
        <v>4104</v>
      </c>
    </row>
    <row r="882" spans="1:7">
      <c r="A882" s="6">
        <v>42919</v>
      </c>
      <c r="B882" s="3" t="s">
        <v>3494</v>
      </c>
      <c r="C882" s="3" t="s">
        <v>18</v>
      </c>
      <c r="D882" s="8" t="str">
        <f>HYPERLINK("http://npthd.inbcu.com/ViewContent.aspx?filename=NPMR_NBC_2017-07-03_E.MP4$4185$4806","AMERICAN NINJA WARRIOR: kansas city qualifiers")</f>
        <v>AMERICAN NINJA WARRIOR: kansas city qualifiers</v>
      </c>
      <c r="E882" s="3" t="s">
        <v>3426</v>
      </c>
      <c r="F882" s="3" t="s">
        <v>4104</v>
      </c>
      <c r="G882" s="3" t="s">
        <v>3732</v>
      </c>
    </row>
    <row r="883" spans="1:7">
      <c r="A883" s="6">
        <v>42919</v>
      </c>
      <c r="B883" s="3" t="s">
        <v>3494</v>
      </c>
      <c r="C883" s="3" t="s">
        <v>21</v>
      </c>
      <c r="D883" s="8" t="str">
        <f>HYPERLINK("http://npthd.inbcu.com/ViewContent.aspx?filename=NPMR_NBC_2017-07-03_E.MP4$4806$4927","COMMERCIAL")</f>
        <v>COMMERCIAL</v>
      </c>
      <c r="E883" s="3" t="s">
        <v>175</v>
      </c>
      <c r="F883" s="3" t="s">
        <v>3732</v>
      </c>
      <c r="G883" s="3" t="s">
        <v>4105</v>
      </c>
    </row>
    <row r="884" spans="1:7">
      <c r="A884" s="6">
        <v>42919</v>
      </c>
      <c r="B884" s="3" t="s">
        <v>3494</v>
      </c>
      <c r="C884" s="3" t="s">
        <v>14</v>
      </c>
      <c r="D884" s="8" t="str">
        <f>HYPERLINK("http://npthd.inbcu.com/ViewContent.aspx?filename=NPMR_NBC_2017-07-03_E.MP4$4927$4932","Midnight Texas")</f>
        <v>Midnight Texas</v>
      </c>
      <c r="E884" s="3" t="s">
        <v>54</v>
      </c>
      <c r="F884" s="3" t="s">
        <v>4105</v>
      </c>
      <c r="G884" s="3" t="s">
        <v>4106</v>
      </c>
    </row>
    <row r="885" spans="1:7">
      <c r="A885" s="6">
        <v>42919</v>
      </c>
      <c r="B885" s="3" t="s">
        <v>3494</v>
      </c>
      <c r="C885" s="3" t="s">
        <v>32</v>
      </c>
      <c r="D885" s="8" t="str">
        <f>HYPERLINK("http://npthd.inbcu.com/ViewContent.aspx?filename=NPMR_NBC_2017-07-03_E.MP4$4932$5026","LOCAL")</f>
        <v>LOCAL</v>
      </c>
      <c r="E885" s="3" t="s">
        <v>1917</v>
      </c>
      <c r="F885" s="3" t="s">
        <v>4106</v>
      </c>
      <c r="G885" s="3" t="s">
        <v>4107</v>
      </c>
    </row>
    <row r="886" spans="1:7">
      <c r="A886" s="6">
        <v>42919</v>
      </c>
      <c r="B886" s="3" t="s">
        <v>3494</v>
      </c>
      <c r="C886" s="3" t="s">
        <v>14</v>
      </c>
      <c r="D886" s="8" t="str">
        <f>HYPERLINK("http://npthd.inbcu.com/ViewContent.aspx?filename=NPMR_NBC_2017-07-03_E.MP4$5026$5041","Wall, The")</f>
        <v>Wall, The</v>
      </c>
      <c r="E886" s="3" t="s">
        <v>30</v>
      </c>
      <c r="F886" s="3" t="s">
        <v>4107</v>
      </c>
      <c r="G886" s="3" t="s">
        <v>4108</v>
      </c>
    </row>
    <row r="887" spans="1:7">
      <c r="A887" s="6">
        <v>42919</v>
      </c>
      <c r="B887" s="3" t="s">
        <v>3494</v>
      </c>
      <c r="C887" s="3" t="s">
        <v>18</v>
      </c>
      <c r="D887" s="8" t="str">
        <f>HYPERLINK("http://npthd.inbcu.com/ViewContent.aspx?filename=NPMR_NBC_2017-07-03_E.MP4$5041$5433","AMERICAN NINJA WARRIOR: kansas city qualifiers")</f>
        <v>AMERICAN NINJA WARRIOR: kansas city qualifiers</v>
      </c>
      <c r="E887" s="3" t="s">
        <v>1222</v>
      </c>
      <c r="F887" s="3" t="s">
        <v>4108</v>
      </c>
      <c r="G887" s="3" t="s">
        <v>4109</v>
      </c>
    </row>
    <row r="888" spans="1:7">
      <c r="A888" s="6">
        <v>42919</v>
      </c>
      <c r="B888" s="3" t="s">
        <v>3494</v>
      </c>
      <c r="C888" s="3" t="s">
        <v>21</v>
      </c>
      <c r="D888" s="8" t="str">
        <f>HYPERLINK("http://npthd.inbcu.com/ViewContent.aspx?filename=NPMR_NBC_2017-07-03_E.MP4$5433$5613","COMMERCIAL")</f>
        <v>COMMERCIAL</v>
      </c>
      <c r="E888" s="3" t="s">
        <v>22</v>
      </c>
      <c r="F888" s="3" t="s">
        <v>4109</v>
      </c>
      <c r="G888" s="3" t="s">
        <v>4110</v>
      </c>
    </row>
    <row r="889" spans="1:7">
      <c r="A889" s="6">
        <v>42919</v>
      </c>
      <c r="B889" s="3" t="s">
        <v>3494</v>
      </c>
      <c r="C889" s="3" t="s">
        <v>14</v>
      </c>
      <c r="D889" s="8" t="str">
        <f>HYPERLINK("http://npthd.inbcu.com/ViewContent.aspx?filename=NPMR_NBC_2017-07-03_E.MP4$5613$5628","Hollywood Game Night")</f>
        <v>Hollywood Game Night</v>
      </c>
      <c r="E889" s="3" t="s">
        <v>30</v>
      </c>
      <c r="F889" s="3" t="s">
        <v>4110</v>
      </c>
      <c r="G889" s="3" t="s">
        <v>4111</v>
      </c>
    </row>
    <row r="890" spans="1:7">
      <c r="A890" s="6">
        <v>42919</v>
      </c>
      <c r="B890" s="3" t="s">
        <v>3494</v>
      </c>
      <c r="C890" s="3" t="s">
        <v>14</v>
      </c>
      <c r="D890" s="8" t="str">
        <f>HYPERLINK("http://npthd.inbcu.com/ViewContent.aspx?filename=NPMR_NBC_2017-07-03_E.MP4$5628$5634","Macys July 4 Spectacular")</f>
        <v>Macys July 4 Spectacular</v>
      </c>
      <c r="E890" s="3" t="s">
        <v>15</v>
      </c>
      <c r="F890" s="3" t="s">
        <v>4111</v>
      </c>
      <c r="G890" s="3" t="s">
        <v>4112</v>
      </c>
    </row>
    <row r="891" spans="1:7">
      <c r="A891" s="6">
        <v>42919</v>
      </c>
      <c r="B891" s="3" t="s">
        <v>3494</v>
      </c>
      <c r="C891" s="3" t="s">
        <v>18</v>
      </c>
      <c r="D891" s="8" t="str">
        <f>HYPERLINK("http://npthd.inbcu.com/ViewContent.aspx?filename=NPMR_NBC_2017-07-03_E.MP4$5634$6062","AMERICAN NINJA WARRIOR: kansas city qualifiers")</f>
        <v>AMERICAN NINJA WARRIOR: kansas city qualifiers</v>
      </c>
      <c r="E891" s="3" t="s">
        <v>61</v>
      </c>
      <c r="F891" s="3" t="s">
        <v>4112</v>
      </c>
      <c r="G891" s="3" t="s">
        <v>4113</v>
      </c>
    </row>
    <row r="892" spans="1:7">
      <c r="A892" s="6">
        <v>42919</v>
      </c>
      <c r="B892" s="3" t="s">
        <v>3494</v>
      </c>
      <c r="C892" s="3" t="s">
        <v>21</v>
      </c>
      <c r="D892" s="8" t="str">
        <f>HYPERLINK("http://npthd.inbcu.com/ViewContent.aspx?filename=NPMR_NBC_2017-07-03_E.MP4$6062$6183","COMMERCIAL")</f>
        <v>COMMERCIAL</v>
      </c>
      <c r="E892" s="3" t="s">
        <v>175</v>
      </c>
      <c r="F892" s="3" t="s">
        <v>4113</v>
      </c>
      <c r="G892" s="3" t="s">
        <v>4114</v>
      </c>
    </row>
    <row r="893" spans="1:7">
      <c r="A893" s="6">
        <v>42919</v>
      </c>
      <c r="B893" s="3" t="s">
        <v>3494</v>
      </c>
      <c r="C893" s="3" t="s">
        <v>14</v>
      </c>
      <c r="D893" s="8" t="str">
        <f>HYPERLINK("http://npthd.inbcu.com/ViewContent.aspx?filename=NPMR_NBC_2017-07-03_E.MP4$6183$6188","Spartan Race")</f>
        <v>Spartan Race</v>
      </c>
      <c r="E893" s="3" t="s">
        <v>54</v>
      </c>
      <c r="F893" s="3" t="s">
        <v>4114</v>
      </c>
      <c r="G893" s="3" t="s">
        <v>4115</v>
      </c>
    </row>
    <row r="894" spans="1:7">
      <c r="A894" s="6">
        <v>42919</v>
      </c>
      <c r="B894" s="3" t="s">
        <v>3494</v>
      </c>
      <c r="C894" s="3" t="s">
        <v>32</v>
      </c>
      <c r="D894" s="8" t="str">
        <f>HYPERLINK("http://npthd.inbcu.com/ViewContent.aspx?filename=NPMR_NBC_2017-07-03_E.MP4$6188$6278","LOCAL")</f>
        <v>LOCAL</v>
      </c>
      <c r="E894" s="3" t="s">
        <v>46</v>
      </c>
      <c r="F894" s="3" t="s">
        <v>4115</v>
      </c>
      <c r="G894" s="3" t="s">
        <v>4116</v>
      </c>
    </row>
    <row r="895" spans="1:7">
      <c r="A895" s="6">
        <v>42919</v>
      </c>
      <c r="B895" s="3" t="s">
        <v>3494</v>
      </c>
      <c r="C895" s="3" t="s">
        <v>14</v>
      </c>
      <c r="D895" s="8" t="str">
        <f>HYPERLINK("http://npthd.inbcu.com/ViewContent.aspx?filename=NPMR_NBC_2017-07-03_E.MP4$6278$6294","Little Big Shots: Forever Young")</f>
        <v>Little Big Shots: Forever Young</v>
      </c>
      <c r="E895" s="3" t="s">
        <v>64</v>
      </c>
      <c r="F895" s="3" t="s">
        <v>4116</v>
      </c>
      <c r="G895" s="3" t="s">
        <v>3089</v>
      </c>
    </row>
    <row r="896" spans="1:7">
      <c r="A896" s="6">
        <v>42919</v>
      </c>
      <c r="B896" s="3" t="s">
        <v>3494</v>
      </c>
      <c r="C896" s="3" t="s">
        <v>18</v>
      </c>
      <c r="D896" s="8" t="str">
        <f>HYPERLINK("http://npthd.inbcu.com/ViewContent.aspx?filename=NPMR_NBC_2017-07-03_E.MP4$6294$6646","AMERICAN NINJA WARRIOR: kansas city qualifiers")</f>
        <v>AMERICAN NINJA WARRIOR: kansas city qualifiers</v>
      </c>
      <c r="E896" s="3" t="s">
        <v>3973</v>
      </c>
      <c r="F896" s="3" t="s">
        <v>3089</v>
      </c>
      <c r="G896" s="3" t="s">
        <v>4117</v>
      </c>
    </row>
    <row r="897" spans="1:7">
      <c r="A897" s="6">
        <v>42919</v>
      </c>
      <c r="B897" s="3" t="s">
        <v>3494</v>
      </c>
      <c r="C897" s="3" t="s">
        <v>21</v>
      </c>
      <c r="D897" s="8" t="str">
        <f>HYPERLINK("http://npthd.inbcu.com/ViewContent.aspx?filename=NPMR_NBC_2017-07-03_E.MP4$6646$6737","COMMERCIAL")</f>
        <v>COMMERCIAL</v>
      </c>
      <c r="E897" s="3" t="s">
        <v>77</v>
      </c>
      <c r="F897" s="3" t="s">
        <v>4117</v>
      </c>
      <c r="G897" s="3" t="s">
        <v>4118</v>
      </c>
    </row>
    <row r="898" spans="1:7">
      <c r="A898" s="6">
        <v>42919</v>
      </c>
      <c r="B898" s="3" t="s">
        <v>3494</v>
      </c>
      <c r="C898" s="3" t="s">
        <v>14</v>
      </c>
      <c r="D898" s="8" t="str">
        <f>HYPERLINK("http://npthd.inbcu.com/ViewContent.aspx?filename=NPMR_NBC_2017-07-03_E.MP4$6737$6752","Fast and Furious (DVD)")</f>
        <v>Fast and Furious (DVD)</v>
      </c>
      <c r="E898" s="3" t="s">
        <v>30</v>
      </c>
      <c r="F898" s="3" t="s">
        <v>4118</v>
      </c>
      <c r="G898" s="3" t="s">
        <v>743</v>
      </c>
    </row>
    <row r="899" spans="1:7">
      <c r="A899" s="6">
        <v>42919</v>
      </c>
      <c r="B899" s="3" t="s">
        <v>3494</v>
      </c>
      <c r="C899" s="3" t="s">
        <v>32</v>
      </c>
      <c r="D899" s="8" t="str">
        <f>HYPERLINK("http://npthd.inbcu.com/ViewContent.aspx?filename=NPMR_NBC_2017-07-03_E.MP4$6752$6826","LOCAL")</f>
        <v>LOCAL</v>
      </c>
      <c r="E899" s="3" t="s">
        <v>4119</v>
      </c>
      <c r="F899" s="3" t="s">
        <v>743</v>
      </c>
      <c r="G899" s="3" t="s">
        <v>4120</v>
      </c>
    </row>
    <row r="900" spans="1:7">
      <c r="A900" s="6">
        <v>42919</v>
      </c>
      <c r="B900" s="3" t="s">
        <v>3494</v>
      </c>
      <c r="C900" s="3" t="s">
        <v>14</v>
      </c>
      <c r="D900" s="8" t="str">
        <f>HYPERLINK("http://npthd.inbcu.com/ViewContent.aspx?filename=NPMR_NBC_2017-07-03_E.MP4$6826$6842","Macys July 4 Spectacular")</f>
        <v>Macys July 4 Spectacular</v>
      </c>
      <c r="E900" s="3" t="s">
        <v>64</v>
      </c>
      <c r="F900" s="3" t="s">
        <v>4120</v>
      </c>
      <c r="G900" s="3" t="s">
        <v>4121</v>
      </c>
    </row>
    <row r="901" spans="1:7">
      <c r="A901" s="6">
        <v>42919</v>
      </c>
      <c r="B901" s="3" t="s">
        <v>3494</v>
      </c>
      <c r="C901" s="3" t="s">
        <v>14</v>
      </c>
      <c r="D901" s="8" t="str">
        <f>HYPERLINK("http://npthd.inbcu.com/ViewContent.aspx?filename=NPMR_NBC_2017-07-03_E.MP4$6842$6857","Spartan Race")</f>
        <v>Spartan Race</v>
      </c>
      <c r="E901" s="3" t="s">
        <v>30</v>
      </c>
      <c r="F901" s="3" t="s">
        <v>4121</v>
      </c>
      <c r="G901" s="3" t="s">
        <v>4122</v>
      </c>
    </row>
    <row r="902" spans="1:7">
      <c r="A902" s="6">
        <v>42919</v>
      </c>
      <c r="B902" s="3" t="s">
        <v>3494</v>
      </c>
      <c r="C902" s="3" t="s">
        <v>18</v>
      </c>
      <c r="D902" s="8" t="str">
        <f>HYPERLINK("http://npthd.inbcu.com/ViewContent.aspx?filename=NPMR_NBC_2017-07-03_E.MP4$6857$7259","AMERICAN NINJA WARRIOR: kansas city qualifiers")</f>
        <v>AMERICAN NINJA WARRIOR: kansas city qualifiers</v>
      </c>
      <c r="E902" s="3" t="s">
        <v>1044</v>
      </c>
      <c r="F902" s="3" t="s">
        <v>4122</v>
      </c>
      <c r="G902" s="3" t="s">
        <v>1366</v>
      </c>
    </row>
    <row r="903" spans="1:7">
      <c r="A903" s="6">
        <v>42919</v>
      </c>
      <c r="B903" s="3" t="s">
        <v>3494</v>
      </c>
      <c r="C903" s="3" t="s">
        <v>14</v>
      </c>
      <c r="D903" s="8" t="str">
        <f>HYPERLINK("http://npthd.inbcu.com/ViewContent.aspx?filename=NPMR_NBC_2017-07-03_E.MP4$7259$7275","American Ninja Warrior")</f>
        <v>American Ninja Warrior</v>
      </c>
      <c r="E903" s="3" t="s">
        <v>64</v>
      </c>
      <c r="F903" s="3" t="s">
        <v>1366</v>
      </c>
      <c r="G903" s="3" t="s">
        <v>182</v>
      </c>
    </row>
    <row r="904" spans="1:7">
      <c r="A904" s="6">
        <v>42919</v>
      </c>
      <c r="B904" s="3" t="s">
        <v>3494</v>
      </c>
      <c r="C904" s="3" t="s">
        <v>14</v>
      </c>
      <c r="D904" s="8" t="str">
        <f>HYPERLINK("http://npthd.inbcu.com/ViewContent.aspx?filename=NPMR_NBC_2017-07-03_E.MP4$7275$7290","Spartan Race")</f>
        <v>Spartan Race</v>
      </c>
      <c r="E904" s="3" t="s">
        <v>30</v>
      </c>
      <c r="F904" s="3" t="s">
        <v>182</v>
      </c>
      <c r="G904" s="3" t="s">
        <v>183</v>
      </c>
    </row>
    <row r="905" spans="1:7">
      <c r="A905" s="6">
        <v>42919</v>
      </c>
      <c r="B905" s="3" t="s">
        <v>3494</v>
      </c>
      <c r="C905" s="3" t="s">
        <v>18</v>
      </c>
      <c r="D905" s="8" t="str">
        <f>HYPERLINK("http://npthd.inbcu.com/ViewContent.aspx?filename=NPMR_NBC_2017-07-03_E.MP4$7290$7296","AMERICAN NINJA WARRIOR: kansas city qualifiers")</f>
        <v>AMERICAN NINJA WARRIOR: kansas city qualifiers</v>
      </c>
      <c r="E905" s="3" t="s">
        <v>15</v>
      </c>
      <c r="F905" s="3" t="s">
        <v>183</v>
      </c>
      <c r="G905" s="3" t="s">
        <v>394</v>
      </c>
    </row>
    <row r="906" spans="1:7">
      <c r="A906" s="6">
        <v>42919</v>
      </c>
      <c r="B906" s="3" t="s">
        <v>3494</v>
      </c>
      <c r="C906" s="3" t="s">
        <v>18</v>
      </c>
      <c r="D906" s="8" t="str">
        <f>HYPERLINK("http://npthd.inbcu.com/ViewContent.aspx?filename=NPMR_NBC_2017-07-03_E.MP4$7296$8039","SPARTAN: ULTIMATE TEAM CHALLENGE: qualifiers - night 4")</f>
        <v>SPARTAN: ULTIMATE TEAM CHALLENGE: qualifiers - night 4</v>
      </c>
      <c r="E906" s="3" t="s">
        <v>1292</v>
      </c>
      <c r="F906" s="3" t="s">
        <v>394</v>
      </c>
      <c r="G906" s="3" t="s">
        <v>4123</v>
      </c>
    </row>
    <row r="907" spans="1:7">
      <c r="A907" s="6">
        <v>42919</v>
      </c>
      <c r="B907" s="3" t="s">
        <v>3494</v>
      </c>
      <c r="C907" s="3" t="s">
        <v>21</v>
      </c>
      <c r="D907" s="8" t="str">
        <f>HYPERLINK("http://npthd.inbcu.com/ViewContent.aspx?filename=NPMR_NBC_2017-07-03_E.MP4$8039$8189","COMMERCIAL")</f>
        <v>COMMERCIAL</v>
      </c>
      <c r="E907" s="3" t="s">
        <v>28</v>
      </c>
      <c r="F907" s="3" t="s">
        <v>4123</v>
      </c>
      <c r="G907" s="3" t="s">
        <v>4124</v>
      </c>
    </row>
    <row r="908" spans="1:7">
      <c r="A908" s="6">
        <v>42919</v>
      </c>
      <c r="B908" s="3" t="s">
        <v>3494</v>
      </c>
      <c r="C908" s="3" t="s">
        <v>14</v>
      </c>
      <c r="D908" s="8" t="str">
        <f>HYPERLINK("http://npthd.inbcu.com/ViewContent.aspx?filename=NPMR_NBC_2017-07-03_E.MP4$8189$8204","Today")</f>
        <v>Today</v>
      </c>
      <c r="E908" s="3" t="s">
        <v>30</v>
      </c>
      <c r="F908" s="3" t="s">
        <v>4124</v>
      </c>
      <c r="G908" s="3" t="s">
        <v>4125</v>
      </c>
    </row>
    <row r="909" spans="1:7">
      <c r="A909" s="6">
        <v>42919</v>
      </c>
      <c r="B909" s="3" t="s">
        <v>3494</v>
      </c>
      <c r="C909" s="3" t="s">
        <v>32</v>
      </c>
      <c r="D909" s="8" t="str">
        <f>HYPERLINK("http://npthd.inbcu.com/ViewContent.aspx?filename=NPMR_NBC_2017-07-03_E.MP4$8204$8235","LOCAL")</f>
        <v>LOCAL</v>
      </c>
      <c r="E909" s="3" t="s">
        <v>98</v>
      </c>
      <c r="F909" s="3" t="s">
        <v>4125</v>
      </c>
      <c r="G909" s="3" t="s">
        <v>4126</v>
      </c>
    </row>
    <row r="910" spans="1:7">
      <c r="A910" s="6">
        <v>42919</v>
      </c>
      <c r="B910" s="3" t="s">
        <v>3494</v>
      </c>
      <c r="C910" s="3" t="s">
        <v>18</v>
      </c>
      <c r="D910" s="8" t="str">
        <f>HYPERLINK("http://npthd.inbcu.com/ViewContent.aspx?filename=NPMR_NBC_2017-07-03_E.MP4$8235$8536","SPARTAN: ULTIMATE TEAM CHALLENGE: qualifiers - night 4")</f>
        <v>SPARTAN: ULTIMATE TEAM CHALLENGE: qualifiers - night 4</v>
      </c>
      <c r="E910" s="3" t="s">
        <v>3722</v>
      </c>
      <c r="F910" s="3" t="s">
        <v>4126</v>
      </c>
      <c r="G910" s="3" t="s">
        <v>4127</v>
      </c>
    </row>
    <row r="911" spans="1:7">
      <c r="A911" s="6">
        <v>42919</v>
      </c>
      <c r="B911" s="3" t="s">
        <v>3494</v>
      </c>
      <c r="C911" s="3" t="s">
        <v>21</v>
      </c>
      <c r="D911" s="8" t="str">
        <f>HYPERLINK("http://npthd.inbcu.com/ViewContent.aspx?filename=NPMR_NBC_2017-07-03_E.MP4$8536$8716","COMMERCIAL")</f>
        <v>COMMERCIAL</v>
      </c>
      <c r="E911" s="3" t="s">
        <v>22</v>
      </c>
      <c r="F911" s="3" t="s">
        <v>4127</v>
      </c>
      <c r="G911" s="3" t="s">
        <v>2878</v>
      </c>
    </row>
    <row r="912" spans="1:7">
      <c r="A912" s="6">
        <v>42919</v>
      </c>
      <c r="B912" s="3" t="s">
        <v>3494</v>
      </c>
      <c r="C912" s="3" t="s">
        <v>14</v>
      </c>
      <c r="D912" s="8" t="str">
        <f>HYPERLINK("http://npthd.inbcu.com/ViewContent.aspx?filename=NPMR_NBC_2017-07-03_E.MP4$8716$8746","Macys July 4 Spectacular")</f>
        <v>Macys July 4 Spectacular</v>
      </c>
      <c r="E912" s="3" t="s">
        <v>38</v>
      </c>
      <c r="F912" s="3" t="s">
        <v>2878</v>
      </c>
      <c r="G912" s="3" t="s">
        <v>4128</v>
      </c>
    </row>
    <row r="913" spans="1:7">
      <c r="A913" s="6">
        <v>42919</v>
      </c>
      <c r="B913" s="3" t="s">
        <v>3494</v>
      </c>
      <c r="C913" s="3" t="s">
        <v>18</v>
      </c>
      <c r="D913" s="8" t="str">
        <f>HYPERLINK("http://npthd.inbcu.com/ViewContent.aspx?filename=NPMR_NBC_2017-07-03_E.MP4$8746$9063","SPARTAN: ULTIMATE TEAM CHALLENGE: qualifiers - night 4")</f>
        <v>SPARTAN: ULTIMATE TEAM CHALLENGE: qualifiers - night 4</v>
      </c>
      <c r="E913" s="3" t="s">
        <v>3252</v>
      </c>
      <c r="F913" s="3" t="s">
        <v>4128</v>
      </c>
      <c r="G913" s="3" t="s">
        <v>3104</v>
      </c>
    </row>
    <row r="914" spans="1:7">
      <c r="A914" s="6">
        <v>42919</v>
      </c>
      <c r="B914" s="3" t="s">
        <v>3494</v>
      </c>
      <c r="C914" s="3" t="s">
        <v>21</v>
      </c>
      <c r="D914" s="8" t="str">
        <f>HYPERLINK("http://npthd.inbcu.com/ViewContent.aspx?filename=NPMR_NBC_2017-07-03_E.MP4$9063$9123","COMMERCIAL")</f>
        <v>COMMERCIAL</v>
      </c>
      <c r="E914" s="3" t="s">
        <v>66</v>
      </c>
      <c r="F914" s="3" t="s">
        <v>3104</v>
      </c>
      <c r="G914" s="3" t="s">
        <v>4129</v>
      </c>
    </row>
    <row r="915" spans="1:7">
      <c r="A915" s="6">
        <v>42919</v>
      </c>
      <c r="B915" s="3" t="s">
        <v>3494</v>
      </c>
      <c r="C915" s="3" t="s">
        <v>14</v>
      </c>
      <c r="D915" s="8" t="str">
        <f>HYPERLINK("http://npthd.inbcu.com/ViewContent.aspx?filename=NPMR_NBC_2017-07-03_E.MP4$9123$9128","Late Night with Seth Meyers")</f>
        <v>Late Night with Seth Meyers</v>
      </c>
      <c r="E915" s="3" t="s">
        <v>54</v>
      </c>
      <c r="F915" s="3" t="s">
        <v>4129</v>
      </c>
      <c r="G915" s="3" t="s">
        <v>4130</v>
      </c>
    </row>
    <row r="916" spans="1:7">
      <c r="A916" s="6">
        <v>42919</v>
      </c>
      <c r="B916" s="3" t="s">
        <v>3494</v>
      </c>
      <c r="C916" s="3" t="s">
        <v>32</v>
      </c>
      <c r="D916" s="8" t="str">
        <f>HYPERLINK("http://npthd.inbcu.com/ViewContent.aspx?filename=NPMR_NBC_2017-07-03_E.MP4$9128$9293","LOCAL")</f>
        <v>LOCAL</v>
      </c>
      <c r="E916" s="3" t="s">
        <v>428</v>
      </c>
      <c r="F916" s="3" t="s">
        <v>4130</v>
      </c>
      <c r="G916" s="3" t="s">
        <v>4131</v>
      </c>
    </row>
    <row r="917" spans="1:7">
      <c r="A917" s="6">
        <v>42919</v>
      </c>
      <c r="B917" s="3" t="s">
        <v>3494</v>
      </c>
      <c r="C917" s="3" t="s">
        <v>14</v>
      </c>
      <c r="D917" s="8" t="str">
        <f>HYPERLINK("http://npthd.inbcu.com/ViewContent.aspx?filename=NPMR_NBC_2017-07-03_E.MP4$9293$9302","Tonight Show starring Jimmy Fallon, The")</f>
        <v>Tonight Show starring Jimmy Fallon, The</v>
      </c>
      <c r="E917" s="3" t="s">
        <v>2074</v>
      </c>
      <c r="F917" s="3" t="s">
        <v>4131</v>
      </c>
      <c r="G917" s="3" t="s">
        <v>4132</v>
      </c>
    </row>
    <row r="918" spans="1:7">
      <c r="A918" s="6">
        <v>42919</v>
      </c>
      <c r="B918" s="3" t="s">
        <v>3494</v>
      </c>
      <c r="C918" s="3" t="s">
        <v>14</v>
      </c>
      <c r="D918" s="8" t="str">
        <f>HYPERLINK("http://npthd.inbcu.com/ViewContent.aspx?filename=NPMR_NBC_2017-07-03_E.MP4$9302$9307","Macys July 4 Spectacular")</f>
        <v>Macys July 4 Spectacular</v>
      </c>
      <c r="E918" s="3" t="s">
        <v>54</v>
      </c>
      <c r="F918" s="3" t="s">
        <v>4132</v>
      </c>
      <c r="G918" s="3" t="s">
        <v>4133</v>
      </c>
    </row>
    <row r="919" spans="1:7">
      <c r="A919" s="6">
        <v>42919</v>
      </c>
      <c r="B919" s="3" t="s">
        <v>3494</v>
      </c>
      <c r="C919" s="3" t="s">
        <v>18</v>
      </c>
      <c r="D919" s="8" t="str">
        <f>HYPERLINK("http://npthd.inbcu.com/ViewContent.aspx?filename=NPMR_NBC_2017-07-03_E.MP4$9307$9871","SPARTAN: ULTIMATE TEAM CHALLENGE: qualifiers - night 4")</f>
        <v>SPARTAN: ULTIMATE TEAM CHALLENGE: qualifiers - night 4</v>
      </c>
      <c r="E919" s="3" t="s">
        <v>3186</v>
      </c>
      <c r="F919" s="3" t="s">
        <v>4133</v>
      </c>
      <c r="G919" s="3" t="s">
        <v>2660</v>
      </c>
    </row>
    <row r="920" spans="1:7">
      <c r="A920" s="6">
        <v>42919</v>
      </c>
      <c r="B920" s="3" t="s">
        <v>3494</v>
      </c>
      <c r="C920" s="3" t="s">
        <v>21</v>
      </c>
      <c r="D920" s="8" t="str">
        <f>HYPERLINK("http://npthd.inbcu.com/ViewContent.aspx?filename=NPMR_NBC_2017-07-03_E.MP4$9871$10021","COMMERCIAL")</f>
        <v>COMMERCIAL</v>
      </c>
      <c r="E920" s="3" t="s">
        <v>28</v>
      </c>
      <c r="F920" s="3" t="s">
        <v>2660</v>
      </c>
      <c r="G920" s="3" t="s">
        <v>413</v>
      </c>
    </row>
    <row r="921" spans="1:7">
      <c r="A921" s="6">
        <v>42919</v>
      </c>
      <c r="B921" s="3" t="s">
        <v>3494</v>
      </c>
      <c r="C921" s="3" t="s">
        <v>14</v>
      </c>
      <c r="D921" s="8" t="str">
        <f>HYPERLINK("http://npthd.inbcu.com/ViewContent.aspx?filename=NPMR_NBC_2017-07-03_E.MP4$10021$10051","Spartan Race")</f>
        <v>Spartan Race</v>
      </c>
      <c r="E921" s="3" t="s">
        <v>38</v>
      </c>
      <c r="F921" s="3" t="s">
        <v>413</v>
      </c>
      <c r="G921" s="3" t="s">
        <v>4134</v>
      </c>
    </row>
    <row r="922" spans="1:7">
      <c r="A922" s="6">
        <v>42919</v>
      </c>
      <c r="B922" s="3" t="s">
        <v>3494</v>
      </c>
      <c r="C922" s="3" t="s">
        <v>14</v>
      </c>
      <c r="D922" s="8" t="str">
        <f>HYPERLINK("http://npthd.inbcu.com/ViewContent.aspx?filename=NPMR_NBC_2017-07-03_E.MP4$10051$10066","Wall, The")</f>
        <v>Wall, The</v>
      </c>
      <c r="E922" s="3" t="s">
        <v>30</v>
      </c>
      <c r="F922" s="3" t="s">
        <v>4134</v>
      </c>
      <c r="G922" s="3" t="s">
        <v>4135</v>
      </c>
    </row>
    <row r="923" spans="1:7">
      <c r="A923" s="6">
        <v>42919</v>
      </c>
      <c r="B923" s="3" t="s">
        <v>3494</v>
      </c>
      <c r="C923" s="3" t="s">
        <v>14</v>
      </c>
      <c r="D923" s="8" t="str">
        <f>HYPERLINK("http://npthd.inbcu.com/ViewContent.aspx?filename=NPMR_NBC_2017-07-03_E.MP4$10066$10081","Midnight Texas")</f>
        <v>Midnight Texas</v>
      </c>
      <c r="E923" s="3" t="s">
        <v>30</v>
      </c>
      <c r="F923" s="3" t="s">
        <v>4135</v>
      </c>
      <c r="G923" s="3" t="s">
        <v>4136</v>
      </c>
    </row>
    <row r="924" spans="1:7">
      <c r="A924" s="6">
        <v>42919</v>
      </c>
      <c r="B924" s="3" t="s">
        <v>3494</v>
      </c>
      <c r="C924" s="3" t="s">
        <v>18</v>
      </c>
      <c r="D924" s="8" t="str">
        <f>HYPERLINK("http://npthd.inbcu.com/ViewContent.aspx?filename=NPMR_NBC_2017-07-03_E.MP4$10081$10382","SPARTAN: ULTIMATE TEAM CHALLENGE: qualifiers - night 4")</f>
        <v>SPARTAN: ULTIMATE TEAM CHALLENGE: qualifiers - night 4</v>
      </c>
      <c r="E924" s="3" t="s">
        <v>3722</v>
      </c>
      <c r="F924" s="3" t="s">
        <v>4136</v>
      </c>
      <c r="G924" s="3" t="s">
        <v>4137</v>
      </c>
    </row>
    <row r="925" spans="1:7">
      <c r="A925" s="6">
        <v>42919</v>
      </c>
      <c r="B925" s="3" t="s">
        <v>3494</v>
      </c>
      <c r="C925" s="3" t="s">
        <v>21</v>
      </c>
      <c r="D925" s="8" t="str">
        <f>HYPERLINK("http://npthd.inbcu.com/ViewContent.aspx?filename=NPMR_NBC_2017-07-03_E.MP4$10382$10532","COMMERCIAL")</f>
        <v>COMMERCIAL</v>
      </c>
      <c r="E925" s="3" t="s">
        <v>28</v>
      </c>
      <c r="F925" s="3" t="s">
        <v>4137</v>
      </c>
      <c r="G925" s="3" t="s">
        <v>4138</v>
      </c>
    </row>
    <row r="926" spans="1:7">
      <c r="A926" s="6">
        <v>42919</v>
      </c>
      <c r="B926" s="3" t="s">
        <v>3494</v>
      </c>
      <c r="C926" s="3" t="s">
        <v>32</v>
      </c>
      <c r="D926" s="8" t="str">
        <f>HYPERLINK("http://npthd.inbcu.com/ViewContent.aspx?filename=NPMR_NBC_2017-07-03_E.MP4$10532$10547","LOCAL")</f>
        <v>LOCAL</v>
      </c>
      <c r="E926" s="3" t="s">
        <v>30</v>
      </c>
      <c r="F926" s="3" t="s">
        <v>4138</v>
      </c>
      <c r="G926" s="3" t="s">
        <v>416</v>
      </c>
    </row>
    <row r="927" spans="1:7">
      <c r="A927" s="6">
        <v>42919</v>
      </c>
      <c r="B927" s="3" t="s">
        <v>3494</v>
      </c>
      <c r="C927" s="3" t="s">
        <v>14</v>
      </c>
      <c r="D927" s="8" t="str">
        <f>HYPERLINK("http://npthd.inbcu.com/ViewContent.aspx?filename=NPMR_NBC_2017-07-03_E.MP4$10547$10562","Fast and Furious (DVD)")</f>
        <v>Fast and Furious (DVD)</v>
      </c>
      <c r="E927" s="3" t="s">
        <v>30</v>
      </c>
      <c r="F927" s="3" t="s">
        <v>416</v>
      </c>
      <c r="G927" s="3" t="s">
        <v>417</v>
      </c>
    </row>
    <row r="928" spans="1:7">
      <c r="A928" s="6">
        <v>42919</v>
      </c>
      <c r="B928" s="3" t="s">
        <v>3494</v>
      </c>
      <c r="C928" s="3" t="s">
        <v>18</v>
      </c>
      <c r="D928" s="8" t="str">
        <f>HYPERLINK("http://npthd.inbcu.com/ViewContent.aspx?filename=NPMR_NBC_2017-07-03_E.MP4$10562$10830","SPARTAN: ULTIMATE TEAM CHALLENGE: qualifiers - night 4")</f>
        <v>SPARTAN: ULTIMATE TEAM CHALLENGE: qualifiers - night 4</v>
      </c>
      <c r="E928" s="3" t="s">
        <v>801</v>
      </c>
      <c r="F928" s="3" t="s">
        <v>417</v>
      </c>
      <c r="G928" s="3" t="s">
        <v>3552</v>
      </c>
    </row>
    <row r="929" spans="1:7">
      <c r="A929" s="6">
        <v>42919</v>
      </c>
      <c r="B929" s="3" t="s">
        <v>3494</v>
      </c>
      <c r="C929" s="3" t="s">
        <v>14</v>
      </c>
      <c r="D929" s="8" t="str">
        <f>HYPERLINK("http://npthd.inbcu.com/ViewContent.aspx?filename=NPMR_NBC_2017-07-03_E.MP4$10830$10860","Spartan Race")</f>
        <v>Spartan Race</v>
      </c>
      <c r="E929" s="3" t="s">
        <v>38</v>
      </c>
      <c r="F929" s="3" t="s">
        <v>3552</v>
      </c>
      <c r="G929" s="3" t="s">
        <v>3553</v>
      </c>
    </row>
    <row r="930" spans="1:7">
      <c r="A930" s="6">
        <v>42919</v>
      </c>
      <c r="B930" s="3" t="s">
        <v>3494</v>
      </c>
      <c r="C930" s="3" t="s">
        <v>18</v>
      </c>
      <c r="D930" s="8" t="str">
        <f>HYPERLINK("http://npthd.inbcu.com/ViewContent.aspx?filename=NPMR_NBC_2017-07-03_E.MP4$10860$10866","SPARTAN: ULTIMATE TEAM CHALLENGE: qualifiers - night 4")</f>
        <v>SPARTAN: ULTIMATE TEAM CHALLENGE: qualifiers - night 4</v>
      </c>
      <c r="E930" s="3" t="s">
        <v>15</v>
      </c>
      <c r="F930" s="3" t="s">
        <v>3553</v>
      </c>
      <c r="G930" s="3" t="s">
        <v>3554</v>
      </c>
    </row>
    <row r="931" spans="1:7">
      <c r="A931" s="6">
        <v>42919</v>
      </c>
      <c r="B931" s="3" t="s">
        <v>3494</v>
      </c>
      <c r="C931" s="3" t="s">
        <v>32</v>
      </c>
      <c r="D931" s="8" t="str">
        <f>HYPERLINK("http://npthd.inbcu.com/ViewContent.aspx?filename=NPMR_NBC_2017-07-03_E.MP4$10866$10896","LOCAL")</f>
        <v>LOCAL</v>
      </c>
      <c r="E931" s="3" t="s">
        <v>38</v>
      </c>
      <c r="F931" s="3" t="s">
        <v>3554</v>
      </c>
      <c r="G931" s="3" t="s">
        <v>124</v>
      </c>
    </row>
    <row r="932" spans="1:7">
      <c r="A932" s="6">
        <v>42920</v>
      </c>
      <c r="B932" s="3" t="s">
        <v>3494</v>
      </c>
      <c r="C932" s="3" t="s">
        <v>18</v>
      </c>
      <c r="D932" s="8" t="str">
        <f>HYPERLINK("http://npthd.inbcu.com/ViewContent.aspx?filename=NPMR_NBC_2017-07-04_E.MP4$103$673","MACYS 4TH OF JULY FIREWORKS SPECTACULAR: 070417")</f>
        <v>MACYS 4TH OF JULY FIREWORKS SPECTACULAR: 070417</v>
      </c>
      <c r="E932" s="3" t="s">
        <v>3283</v>
      </c>
      <c r="F932" s="3" t="s">
        <v>16</v>
      </c>
      <c r="G932" s="3" t="s">
        <v>1106</v>
      </c>
    </row>
    <row r="933" spans="1:7">
      <c r="A933" s="6">
        <v>42920</v>
      </c>
      <c r="B933" s="3" t="s">
        <v>3494</v>
      </c>
      <c r="C933" s="3" t="s">
        <v>21</v>
      </c>
      <c r="D933" s="8" t="str">
        <f>HYPERLINK("http://npthd.inbcu.com/ViewContent.aspx?filename=NPMR_NBC_2017-07-04_E.MP4$673$824","COMMERCIAL")</f>
        <v>COMMERCIAL</v>
      </c>
      <c r="E933" s="3" t="s">
        <v>91</v>
      </c>
      <c r="F933" s="3" t="s">
        <v>1106</v>
      </c>
      <c r="G933" s="3" t="s">
        <v>3607</v>
      </c>
    </row>
    <row r="934" spans="1:7">
      <c r="A934" s="6">
        <v>42920</v>
      </c>
      <c r="B934" s="3" t="s">
        <v>3494</v>
      </c>
      <c r="C934" s="3" t="s">
        <v>14</v>
      </c>
      <c r="D934" s="8" t="str">
        <f>HYPERLINK("http://npthd.inbcu.com/ViewContent.aspx?filename=NPMR_NBC_2017-07-04_E.MP4$824$884","Brave, The")</f>
        <v>Brave, The</v>
      </c>
      <c r="E934" s="3" t="s">
        <v>66</v>
      </c>
      <c r="F934" s="3" t="s">
        <v>3607</v>
      </c>
      <c r="G934" s="3" t="s">
        <v>4139</v>
      </c>
    </row>
    <row r="935" spans="1:7">
      <c r="A935" s="6">
        <v>42920</v>
      </c>
      <c r="B935" s="3" t="s">
        <v>3494</v>
      </c>
      <c r="C935" s="3" t="s">
        <v>18</v>
      </c>
      <c r="D935" s="8" t="str">
        <f>HYPERLINK("http://npthd.inbcu.com/ViewContent.aspx?filename=NPMR_NBC_2017-07-04_E.MP4$884$1229","MACYS 4TH OF JULY FIREWORKS SPECTACULAR: 070417")</f>
        <v>MACYS 4TH OF JULY FIREWORKS SPECTACULAR: 070417</v>
      </c>
      <c r="E935" s="3" t="s">
        <v>2197</v>
      </c>
      <c r="F935" s="3" t="s">
        <v>4139</v>
      </c>
      <c r="G935" s="3" t="s">
        <v>4140</v>
      </c>
    </row>
    <row r="936" spans="1:7">
      <c r="A936" s="6">
        <v>42920</v>
      </c>
      <c r="B936" s="3" t="s">
        <v>3494</v>
      </c>
      <c r="C936" s="3" t="s">
        <v>21</v>
      </c>
      <c r="D936" s="8" t="str">
        <f>HYPERLINK("http://npthd.inbcu.com/ViewContent.aspx?filename=NPMR_NBC_2017-07-04_E.MP4$1229$1319","COMMERCIAL")</f>
        <v>COMMERCIAL</v>
      </c>
      <c r="E936" s="3" t="s">
        <v>46</v>
      </c>
      <c r="F936" s="3" t="s">
        <v>4140</v>
      </c>
      <c r="G936" s="3" t="s">
        <v>1545</v>
      </c>
    </row>
    <row r="937" spans="1:7">
      <c r="A937" s="6">
        <v>42920</v>
      </c>
      <c r="B937" s="3" t="s">
        <v>3494</v>
      </c>
      <c r="C937" s="3" t="s">
        <v>14</v>
      </c>
      <c r="D937" s="8" t="str">
        <f>HYPERLINK("http://npthd.inbcu.com/ViewContent.aspx?filename=NPMR_NBC_2017-07-04_E.MP4$1319$1324","American Ninja Warrior")</f>
        <v>American Ninja Warrior</v>
      </c>
      <c r="E937" s="3" t="s">
        <v>54</v>
      </c>
      <c r="F937" s="3" t="s">
        <v>1545</v>
      </c>
      <c r="G937" s="3" t="s">
        <v>4141</v>
      </c>
    </row>
    <row r="938" spans="1:7">
      <c r="A938" s="6">
        <v>42920</v>
      </c>
      <c r="B938" s="3" t="s">
        <v>3494</v>
      </c>
      <c r="C938" s="3" t="s">
        <v>32</v>
      </c>
      <c r="D938" s="8" t="str">
        <f>HYPERLINK("http://npthd.inbcu.com/ViewContent.aspx?filename=NPMR_NBC_2017-07-04_E.MP4$1324$1420","LOCAL")</f>
        <v>LOCAL</v>
      </c>
      <c r="E938" s="3" t="s">
        <v>2101</v>
      </c>
      <c r="F938" s="3" t="s">
        <v>4141</v>
      </c>
      <c r="G938" s="3" t="s">
        <v>4142</v>
      </c>
    </row>
    <row r="939" spans="1:7">
      <c r="A939" s="6">
        <v>42920</v>
      </c>
      <c r="B939" s="3" t="s">
        <v>3494</v>
      </c>
      <c r="C939" s="3" t="s">
        <v>14</v>
      </c>
      <c r="D939" s="8" t="str">
        <f>HYPERLINK("http://npthd.inbcu.com/ViewContent.aspx?filename=NPMR_NBC_2017-07-04_E.MP4$1420$1435","Wall, The")</f>
        <v>Wall, The</v>
      </c>
      <c r="E939" s="3" t="s">
        <v>30</v>
      </c>
      <c r="F939" s="3" t="s">
        <v>4142</v>
      </c>
      <c r="G939" s="3" t="s">
        <v>432</v>
      </c>
    </row>
    <row r="940" spans="1:7">
      <c r="A940" s="6">
        <v>42920</v>
      </c>
      <c r="B940" s="3" t="s">
        <v>3494</v>
      </c>
      <c r="C940" s="3" t="s">
        <v>18</v>
      </c>
      <c r="D940" s="8" t="str">
        <f>HYPERLINK("http://npthd.inbcu.com/ViewContent.aspx?filename=NPMR_NBC_2017-07-04_E.MP4$1435$2040","MACYS 4TH OF JULY FIREWORKS SPECTACULAR: 070417")</f>
        <v>MACYS 4TH OF JULY FIREWORKS SPECTACULAR: 070417</v>
      </c>
      <c r="E940" s="3" t="s">
        <v>4143</v>
      </c>
      <c r="F940" s="3" t="s">
        <v>432</v>
      </c>
      <c r="G940" s="3" t="s">
        <v>4144</v>
      </c>
    </row>
    <row r="941" spans="1:7">
      <c r="A941" s="6">
        <v>42920</v>
      </c>
      <c r="B941" s="3" t="s">
        <v>3494</v>
      </c>
      <c r="C941" s="3" t="s">
        <v>21</v>
      </c>
      <c r="D941" s="8" t="str">
        <f>HYPERLINK("http://npthd.inbcu.com/ViewContent.aspx?filename=NPMR_NBC_2017-07-04_E.MP4$2040$2190","COMMERCIAL")</f>
        <v>COMMERCIAL</v>
      </c>
      <c r="E941" s="3" t="s">
        <v>28</v>
      </c>
      <c r="F941" s="3" t="s">
        <v>4144</v>
      </c>
      <c r="G941" s="3" t="s">
        <v>1776</v>
      </c>
    </row>
    <row r="942" spans="1:7">
      <c r="A942" s="6">
        <v>42920</v>
      </c>
      <c r="B942" s="3" t="s">
        <v>3494</v>
      </c>
      <c r="C942" s="3" t="s">
        <v>14</v>
      </c>
      <c r="D942" s="8" t="str">
        <f>HYPERLINK("http://npthd.inbcu.com/ViewContent.aspx?filename=NPMR_NBC_2017-07-04_E.MP4$2190$2220","AGT/WOD")</f>
        <v>AGT/WOD</v>
      </c>
      <c r="E942" s="3" t="s">
        <v>38</v>
      </c>
      <c r="F942" s="3" t="s">
        <v>1776</v>
      </c>
      <c r="G942" s="3" t="s">
        <v>1777</v>
      </c>
    </row>
    <row r="943" spans="1:7">
      <c r="A943" s="6">
        <v>42920</v>
      </c>
      <c r="B943" s="3" t="s">
        <v>3494</v>
      </c>
      <c r="C943" s="3" t="s">
        <v>18</v>
      </c>
      <c r="D943" s="8" t="str">
        <f>HYPERLINK("http://npthd.inbcu.com/ViewContent.aspx?filename=NPMR_NBC_2017-07-04_E.MP4$2220$2532","MACYS 4TH OF JULY FIREWORKS SPECTACULAR: 070417")</f>
        <v>MACYS 4TH OF JULY FIREWORKS SPECTACULAR: 070417</v>
      </c>
      <c r="E943" s="3" t="s">
        <v>1493</v>
      </c>
      <c r="F943" s="3" t="s">
        <v>1777</v>
      </c>
      <c r="G943" s="3" t="s">
        <v>4145</v>
      </c>
    </row>
    <row r="944" spans="1:7">
      <c r="A944" s="6">
        <v>42920</v>
      </c>
      <c r="B944" s="3" t="s">
        <v>3494</v>
      </c>
      <c r="C944" s="3" t="s">
        <v>21</v>
      </c>
      <c r="D944" s="8" t="str">
        <f>HYPERLINK("http://npthd.inbcu.com/ViewContent.aspx?filename=NPMR_NBC_2017-07-04_E.MP4$2532$2623","COMMERCIAL")</f>
        <v>COMMERCIAL</v>
      </c>
      <c r="E944" s="3" t="s">
        <v>77</v>
      </c>
      <c r="F944" s="3" t="s">
        <v>4145</v>
      </c>
      <c r="G944" s="3" t="s">
        <v>4146</v>
      </c>
    </row>
    <row r="945" spans="1:7">
      <c r="A945" s="6">
        <v>42920</v>
      </c>
      <c r="B945" s="3" t="s">
        <v>3494</v>
      </c>
      <c r="C945" s="3" t="s">
        <v>14</v>
      </c>
      <c r="D945" s="8" t="str">
        <f>HYPERLINK("http://npthd.inbcu.com/ViewContent.aspx?filename=NPMR_NBC_2017-07-04_E.MP4$2623$2628","Midnight Texas")</f>
        <v>Midnight Texas</v>
      </c>
      <c r="E945" s="3" t="s">
        <v>54</v>
      </c>
      <c r="F945" s="3" t="s">
        <v>4146</v>
      </c>
      <c r="G945" s="3" t="s">
        <v>4147</v>
      </c>
    </row>
    <row r="946" spans="1:7">
      <c r="A946" s="6">
        <v>42920</v>
      </c>
      <c r="B946" s="3" t="s">
        <v>3494</v>
      </c>
      <c r="C946" s="3" t="s">
        <v>32</v>
      </c>
      <c r="D946" s="8" t="str">
        <f>HYPERLINK("http://npthd.inbcu.com/ViewContent.aspx?filename=NPMR_NBC_2017-07-04_E.MP4$2628$2720","LOCAL")</f>
        <v>LOCAL</v>
      </c>
      <c r="E946" s="3" t="s">
        <v>267</v>
      </c>
      <c r="F946" s="3" t="s">
        <v>4147</v>
      </c>
      <c r="G946" s="3" t="s">
        <v>3245</v>
      </c>
    </row>
    <row r="947" spans="1:7">
      <c r="A947" s="6">
        <v>42920</v>
      </c>
      <c r="B947" s="3" t="s">
        <v>3494</v>
      </c>
      <c r="C947" s="3" t="s">
        <v>14</v>
      </c>
      <c r="D947" s="8" t="str">
        <f>HYPERLINK("http://npthd.inbcu.com/ViewContent.aspx?filename=NPMR_NBC_2017-07-04_E.MP4$2720$2735","Today")</f>
        <v>Today</v>
      </c>
      <c r="E947" s="3" t="s">
        <v>30</v>
      </c>
      <c r="F947" s="3" t="s">
        <v>3245</v>
      </c>
      <c r="G947" s="3" t="s">
        <v>1271</v>
      </c>
    </row>
    <row r="948" spans="1:7">
      <c r="A948" s="6">
        <v>42920</v>
      </c>
      <c r="B948" s="3" t="s">
        <v>3494</v>
      </c>
      <c r="C948" s="3" t="s">
        <v>18</v>
      </c>
      <c r="D948" s="8" t="str">
        <f>HYPERLINK("http://npthd.inbcu.com/ViewContent.aspx?filename=NPMR_NBC_2017-07-04_E.MP4$2735$3014","MACYS 4TH OF JULY FIREWORKS SPECTACULAR: 070417")</f>
        <v>MACYS 4TH OF JULY FIREWORKS SPECTACULAR: 070417</v>
      </c>
      <c r="E948" s="3" t="s">
        <v>4148</v>
      </c>
      <c r="F948" s="3" t="s">
        <v>1271</v>
      </c>
      <c r="G948" s="3" t="s">
        <v>4149</v>
      </c>
    </row>
    <row r="949" spans="1:7">
      <c r="A949" s="6">
        <v>42920</v>
      </c>
      <c r="B949" s="3" t="s">
        <v>3494</v>
      </c>
      <c r="C949" s="3" t="s">
        <v>14</v>
      </c>
      <c r="D949" s="8" t="str">
        <f>HYPERLINK("http://npthd.inbcu.com/ViewContent.aspx?filename=NPMR_NBC_2017-07-04_E.MP4$3014$3019","American Ninja Warrior")</f>
        <v>American Ninja Warrior</v>
      </c>
      <c r="E949" s="3" t="s">
        <v>54</v>
      </c>
      <c r="F949" s="3" t="s">
        <v>4149</v>
      </c>
      <c r="G949" s="3" t="s">
        <v>2816</v>
      </c>
    </row>
    <row r="950" spans="1:7">
      <c r="A950" s="6">
        <v>42920</v>
      </c>
      <c r="B950" s="3" t="s">
        <v>3494</v>
      </c>
      <c r="C950" s="3" t="s">
        <v>21</v>
      </c>
      <c r="D950" s="8" t="str">
        <f>HYPERLINK("http://npthd.inbcu.com/ViewContent.aspx?filename=NPMR_NBC_2017-07-04_E.MP4$3019$3199","COMMERCIAL")</f>
        <v>COMMERCIAL</v>
      </c>
      <c r="E950" s="3" t="s">
        <v>22</v>
      </c>
      <c r="F950" s="3" t="s">
        <v>2816</v>
      </c>
      <c r="G950" s="3" t="s">
        <v>4150</v>
      </c>
    </row>
    <row r="951" spans="1:7">
      <c r="A951" s="6">
        <v>42920</v>
      </c>
      <c r="B951" s="3" t="s">
        <v>3494</v>
      </c>
      <c r="C951" s="3" t="s">
        <v>14</v>
      </c>
      <c r="D951" s="8" t="str">
        <f>HYPERLINK("http://npthd.inbcu.com/ViewContent.aspx?filename=NPMR_NBC_2017-07-04_E.MP4$3199$3214","Little Big Shots: Forever Young")</f>
        <v>Little Big Shots: Forever Young</v>
      </c>
      <c r="E951" s="3" t="s">
        <v>30</v>
      </c>
      <c r="F951" s="3" t="s">
        <v>4150</v>
      </c>
      <c r="G951" s="3" t="s">
        <v>4151</v>
      </c>
    </row>
    <row r="952" spans="1:7">
      <c r="A952" s="6">
        <v>42920</v>
      </c>
      <c r="B952" s="3" t="s">
        <v>3494</v>
      </c>
      <c r="C952" s="3" t="s">
        <v>18</v>
      </c>
      <c r="D952" s="8" t="str">
        <f>HYPERLINK("http://npthd.inbcu.com/ViewContent.aspx?filename=NPMR_NBC_2017-07-04_E.MP4$3214$3672","MACYS 4TH OF JULY FIREWORKS SPECTACULAR: 070417")</f>
        <v>MACYS 4TH OF JULY FIREWORKS SPECTACULAR: 070417</v>
      </c>
      <c r="E952" s="3" t="s">
        <v>921</v>
      </c>
      <c r="F952" s="3" t="s">
        <v>4151</v>
      </c>
      <c r="G952" s="3" t="s">
        <v>1627</v>
      </c>
    </row>
    <row r="953" spans="1:7">
      <c r="A953" s="6">
        <v>42920</v>
      </c>
      <c r="B953" s="3" t="s">
        <v>3494</v>
      </c>
      <c r="C953" s="3" t="s">
        <v>21</v>
      </c>
      <c r="D953" s="8" t="str">
        <f>HYPERLINK("http://npthd.inbcu.com/ViewContent.aspx?filename=NPMR_NBC_2017-07-04_E.MP4$3672$3853","COMMERCIAL")</f>
        <v>COMMERCIAL</v>
      </c>
      <c r="E953" s="3" t="s">
        <v>108</v>
      </c>
      <c r="F953" s="3" t="s">
        <v>1627</v>
      </c>
      <c r="G953" s="3" t="s">
        <v>1628</v>
      </c>
    </row>
    <row r="954" spans="1:7">
      <c r="A954" s="6">
        <v>42920</v>
      </c>
      <c r="B954" s="3" t="s">
        <v>3494</v>
      </c>
      <c r="C954" s="3" t="s">
        <v>14</v>
      </c>
      <c r="D954" s="8" t="str">
        <f>HYPERLINK("http://npthd.inbcu.com/ViewContent.aspx?filename=NPMR_NBC_2017-07-04_E.MP4$3853$3883","Will &amp; Grace")</f>
        <v>Will &amp; Grace</v>
      </c>
      <c r="E954" s="3" t="s">
        <v>38</v>
      </c>
      <c r="F954" s="3" t="s">
        <v>1628</v>
      </c>
      <c r="G954" s="3" t="s">
        <v>1630</v>
      </c>
    </row>
    <row r="955" spans="1:7">
      <c r="A955" s="6">
        <v>42920</v>
      </c>
      <c r="B955" s="3" t="s">
        <v>3494</v>
      </c>
      <c r="C955" s="3" t="s">
        <v>18</v>
      </c>
      <c r="D955" s="8" t="str">
        <f>HYPERLINK("http://npthd.inbcu.com/ViewContent.aspx?filename=NPMR_NBC_2017-07-04_E.MP4$3883$4164","MACYS 4TH OF JULY FIREWORKS SPECTACULAR: 070417")</f>
        <v>MACYS 4TH OF JULY FIREWORKS SPECTACULAR: 070417</v>
      </c>
      <c r="E955" s="3" t="s">
        <v>3478</v>
      </c>
      <c r="F955" s="3" t="s">
        <v>1630</v>
      </c>
      <c r="G955" s="3" t="s">
        <v>4152</v>
      </c>
    </row>
    <row r="956" spans="1:7">
      <c r="A956" s="6">
        <v>42920</v>
      </c>
      <c r="B956" s="3" t="s">
        <v>3494</v>
      </c>
      <c r="C956" s="3" t="s">
        <v>21</v>
      </c>
      <c r="D956" s="8" t="str">
        <f>HYPERLINK("http://npthd.inbcu.com/ViewContent.aspx?filename=NPMR_NBC_2017-07-04_E.MP4$4164$4194","COMMERCIAL")</f>
        <v>COMMERCIAL</v>
      </c>
      <c r="E956" s="3" t="s">
        <v>38</v>
      </c>
      <c r="F956" s="3" t="s">
        <v>4152</v>
      </c>
      <c r="G956" s="3" t="s">
        <v>4153</v>
      </c>
    </row>
    <row r="957" spans="1:7">
      <c r="A957" s="6">
        <v>42920</v>
      </c>
      <c r="B957" s="3" t="s">
        <v>3494</v>
      </c>
      <c r="C957" s="3" t="s">
        <v>14</v>
      </c>
      <c r="D957" s="8" t="str">
        <f>HYPERLINK("http://npthd.inbcu.com/ViewContent.aspx?filename=NPMR_NBC_2017-07-04_E.MP4$4194$4209","Despicable Me 3")</f>
        <v>Despicable Me 3</v>
      </c>
      <c r="E957" s="3" t="s">
        <v>30</v>
      </c>
      <c r="F957" s="3" t="s">
        <v>4153</v>
      </c>
      <c r="G957" s="3" t="s">
        <v>638</v>
      </c>
    </row>
    <row r="958" spans="1:7">
      <c r="A958" s="6">
        <v>42920</v>
      </c>
      <c r="B958" s="3" t="s">
        <v>3494</v>
      </c>
      <c r="C958" s="3" t="s">
        <v>32</v>
      </c>
      <c r="D958" s="8" t="str">
        <f>HYPERLINK("http://npthd.inbcu.com/ViewContent.aspx?filename=NPMR_NBC_2017-07-04_E.MP4$4209$4384","LOCAL")</f>
        <v>LOCAL</v>
      </c>
      <c r="E958" s="3" t="s">
        <v>519</v>
      </c>
      <c r="F958" s="3" t="s">
        <v>638</v>
      </c>
      <c r="G958" s="3" t="s">
        <v>4154</v>
      </c>
    </row>
    <row r="959" spans="1:7">
      <c r="A959" s="6">
        <v>42920</v>
      </c>
      <c r="B959" s="3" t="s">
        <v>3494</v>
      </c>
      <c r="C959" s="3" t="s">
        <v>14</v>
      </c>
      <c r="D959" s="8" t="str">
        <f>HYPERLINK("http://npthd.inbcu.com/ViewContent.aspx?filename=NPMR_NBC_2017-07-04_E.MP4$4384$4400","Fast and Furious (DVD)")</f>
        <v>Fast and Furious (DVD)</v>
      </c>
      <c r="E959" s="3" t="s">
        <v>64</v>
      </c>
      <c r="F959" s="3" t="s">
        <v>4154</v>
      </c>
      <c r="G959" s="3" t="s">
        <v>4155</v>
      </c>
    </row>
    <row r="960" spans="1:7">
      <c r="A960" s="6">
        <v>42920</v>
      </c>
      <c r="B960" s="3" t="s">
        <v>3494</v>
      </c>
      <c r="C960" s="3" t="s">
        <v>18</v>
      </c>
      <c r="D960" s="8" t="str">
        <f>HYPERLINK("http://npthd.inbcu.com/ViewContent.aspx?filename=NPMR_NBC_2017-07-04_E.MP4$4400$4645","MACYS 4TH OF JULY FIREWORKS SPECTACULAR: 070417")</f>
        <v>MACYS 4TH OF JULY FIREWORKS SPECTACULAR: 070417</v>
      </c>
      <c r="E960" s="3" t="s">
        <v>350</v>
      </c>
      <c r="F960" s="3" t="s">
        <v>4155</v>
      </c>
      <c r="G960" s="3" t="s">
        <v>4156</v>
      </c>
    </row>
    <row r="961" spans="1:7">
      <c r="A961" s="6">
        <v>42920</v>
      </c>
      <c r="B961" s="3" t="s">
        <v>3494</v>
      </c>
      <c r="C961" s="3" t="s">
        <v>21</v>
      </c>
      <c r="D961" s="8" t="str">
        <f>HYPERLINK("http://npthd.inbcu.com/ViewContent.aspx?filename=NPMR_NBC_2017-07-04_E.MP4$4645$4825","COMMERCIAL")</f>
        <v>COMMERCIAL</v>
      </c>
      <c r="E961" s="3" t="s">
        <v>22</v>
      </c>
      <c r="F961" s="3" t="s">
        <v>4156</v>
      </c>
      <c r="G961" s="3" t="s">
        <v>4157</v>
      </c>
    </row>
    <row r="962" spans="1:7">
      <c r="A962" s="6">
        <v>42920</v>
      </c>
      <c r="B962" s="3" t="s">
        <v>3494</v>
      </c>
      <c r="C962" s="3" t="s">
        <v>14</v>
      </c>
      <c r="D962" s="8" t="str">
        <f>HYPERLINK("http://npthd.inbcu.com/ViewContent.aspx?filename=NPMR_NBC_2017-07-04_E.MP4$4825$4855","Law &amp; Order True Crime Menendez")</f>
        <v>Law &amp; Order True Crime Menendez</v>
      </c>
      <c r="E962" s="3" t="s">
        <v>38</v>
      </c>
      <c r="F962" s="3" t="s">
        <v>4157</v>
      </c>
      <c r="G962" s="3" t="s">
        <v>4158</v>
      </c>
    </row>
    <row r="963" spans="1:7">
      <c r="A963" s="6">
        <v>42920</v>
      </c>
      <c r="B963" s="3" t="s">
        <v>3494</v>
      </c>
      <c r="C963" s="3" t="s">
        <v>18</v>
      </c>
      <c r="D963" s="8" t="str">
        <f>HYPERLINK("http://npthd.inbcu.com/ViewContent.aspx?filename=NPMR_NBC_2017-07-04_E.MP4$4855$5171","MACYS 4TH OF JULY FIREWORKS SPECTACULAR: 070417")</f>
        <v>MACYS 4TH OF JULY FIREWORKS SPECTACULAR: 070417</v>
      </c>
      <c r="E963" s="3" t="s">
        <v>1145</v>
      </c>
      <c r="F963" s="3" t="s">
        <v>4158</v>
      </c>
      <c r="G963" s="3" t="s">
        <v>4159</v>
      </c>
    </row>
    <row r="964" spans="1:7">
      <c r="A964" s="6">
        <v>42920</v>
      </c>
      <c r="B964" s="3" t="s">
        <v>3494</v>
      </c>
      <c r="C964" s="3" t="s">
        <v>21</v>
      </c>
      <c r="D964" s="8" t="str">
        <f>HYPERLINK("http://npthd.inbcu.com/ViewContent.aspx?filename=NPMR_NBC_2017-07-04_E.MP4$5171$5291","COMMERCIAL")</f>
        <v>COMMERCIAL</v>
      </c>
      <c r="E964" s="3" t="s">
        <v>43</v>
      </c>
      <c r="F964" s="3" t="s">
        <v>4159</v>
      </c>
      <c r="G964" s="3" t="s">
        <v>4160</v>
      </c>
    </row>
    <row r="965" spans="1:7">
      <c r="A965" s="6">
        <v>42920</v>
      </c>
      <c r="B965" s="3" t="s">
        <v>3494</v>
      </c>
      <c r="C965" s="3" t="s">
        <v>14</v>
      </c>
      <c r="D965" s="8" t="str">
        <f>HYPERLINK("http://npthd.inbcu.com/ViewContent.aspx?filename=NPMR_NBC_2017-07-04_E.MP4$5291$5296","Midnight Texas")</f>
        <v>Midnight Texas</v>
      </c>
      <c r="E965" s="3" t="s">
        <v>54</v>
      </c>
      <c r="F965" s="3" t="s">
        <v>4160</v>
      </c>
      <c r="G965" s="3" t="s">
        <v>4161</v>
      </c>
    </row>
    <row r="966" spans="1:7">
      <c r="A966" s="6">
        <v>42920</v>
      </c>
      <c r="B966" s="3" t="s">
        <v>3494</v>
      </c>
      <c r="C966" s="3" t="s">
        <v>32</v>
      </c>
      <c r="D966" s="8" t="str">
        <f>HYPERLINK("http://npthd.inbcu.com/ViewContent.aspx?filename=NPMR_NBC_2017-07-04_E.MP4$5296$5388","LOCAL")</f>
        <v>LOCAL</v>
      </c>
      <c r="E966" s="3" t="s">
        <v>267</v>
      </c>
      <c r="F966" s="3" t="s">
        <v>4161</v>
      </c>
      <c r="G966" s="3" t="s">
        <v>4162</v>
      </c>
    </row>
    <row r="967" spans="1:7">
      <c r="A967" s="6">
        <v>42920</v>
      </c>
      <c r="B967" s="3" t="s">
        <v>3494</v>
      </c>
      <c r="C967" s="3" t="s">
        <v>14</v>
      </c>
      <c r="D967" s="8" t="str">
        <f>HYPERLINK("http://npthd.inbcu.com/ViewContent.aspx?filename=NPMR_NBC_2017-07-04_E.MP4$5388$5403","American Ninja Warrior")</f>
        <v>American Ninja Warrior</v>
      </c>
      <c r="E967" s="3" t="s">
        <v>30</v>
      </c>
      <c r="F967" s="3" t="s">
        <v>4162</v>
      </c>
      <c r="G967" s="3" t="s">
        <v>2151</v>
      </c>
    </row>
    <row r="968" spans="1:7">
      <c r="A968" s="6">
        <v>42920</v>
      </c>
      <c r="B968" s="3" t="s">
        <v>3494</v>
      </c>
      <c r="C968" s="3" t="s">
        <v>18</v>
      </c>
      <c r="D968" s="8" t="str">
        <f>HYPERLINK("http://npthd.inbcu.com/ViewContent.aspx?filename=NPMR_NBC_2017-07-04_E.MP4$5403$6974","MACYS 4TH OF JULY FIREWORKS SPECTACULAR: 070417")</f>
        <v>MACYS 4TH OF JULY FIREWORKS SPECTACULAR: 070417</v>
      </c>
      <c r="E968" s="3" t="s">
        <v>4163</v>
      </c>
      <c r="F968" s="3" t="s">
        <v>2151</v>
      </c>
      <c r="G968" s="3" t="s">
        <v>746</v>
      </c>
    </row>
    <row r="969" spans="1:7">
      <c r="A969" s="6">
        <v>42920</v>
      </c>
      <c r="B969" s="3" t="s">
        <v>3494</v>
      </c>
      <c r="C969" s="3" t="s">
        <v>21</v>
      </c>
      <c r="D969" s="8" t="str">
        <f>HYPERLINK("http://npthd.inbcu.com/ViewContent.aspx?filename=NPMR_NBC_2017-07-04_E.MP4$6974$7155","COMMERCIAL")</f>
        <v>COMMERCIAL</v>
      </c>
      <c r="E969" s="3" t="s">
        <v>108</v>
      </c>
      <c r="F969" s="3" t="s">
        <v>746</v>
      </c>
      <c r="G969" s="3" t="s">
        <v>4164</v>
      </c>
    </row>
    <row r="970" spans="1:7">
      <c r="A970" s="6">
        <v>42920</v>
      </c>
      <c r="B970" s="3" t="s">
        <v>3494</v>
      </c>
      <c r="C970" s="3" t="s">
        <v>14</v>
      </c>
      <c r="D970" s="8" t="str">
        <f>HYPERLINK("http://npthd.inbcu.com/ViewContent.aspx?filename=NPMR_NBC_2017-07-04_E.MP4$7155$7185","NBC Thursday")</f>
        <v>NBC Thursday</v>
      </c>
      <c r="E970" s="3" t="s">
        <v>38</v>
      </c>
      <c r="F970" s="3" t="s">
        <v>4164</v>
      </c>
      <c r="G970" s="3" t="s">
        <v>4165</v>
      </c>
    </row>
    <row r="971" spans="1:7">
      <c r="A971" s="6">
        <v>42920</v>
      </c>
      <c r="B971" s="3" t="s">
        <v>3494</v>
      </c>
      <c r="C971" s="3" t="s">
        <v>18</v>
      </c>
      <c r="D971" s="8" t="str">
        <f>HYPERLINK("http://npthd.inbcu.com/ViewContent.aspx?filename=NPMR_NBC_2017-07-04_E.MP4$7185$7265","MACYS 4TH OF JULY FIREWORKS SPECTACULAR: 070417")</f>
        <v>MACYS 4TH OF JULY FIREWORKS SPECTACULAR: 070417</v>
      </c>
      <c r="E971" s="3" t="s">
        <v>4166</v>
      </c>
      <c r="F971" s="3" t="s">
        <v>4165</v>
      </c>
      <c r="G971" s="3" t="s">
        <v>1234</v>
      </c>
    </row>
    <row r="972" spans="1:7">
      <c r="A972" s="6">
        <v>42920</v>
      </c>
      <c r="B972" s="3" t="s">
        <v>3494</v>
      </c>
      <c r="C972" s="3" t="s">
        <v>14</v>
      </c>
      <c r="D972" s="8" t="str">
        <f>HYPERLINK("http://npthd.inbcu.com/ViewContent.aspx?filename=NPMR_NBC_2017-07-04_E.MP4$7265$7295","AGT/WOD")</f>
        <v>AGT/WOD</v>
      </c>
      <c r="E972" s="3" t="s">
        <v>38</v>
      </c>
      <c r="F972" s="3" t="s">
        <v>1234</v>
      </c>
      <c r="G972" s="3" t="s">
        <v>4167</v>
      </c>
    </row>
    <row r="973" spans="1:7">
      <c r="A973" s="6">
        <v>42920</v>
      </c>
      <c r="B973" s="3" t="s">
        <v>3494</v>
      </c>
      <c r="C973" s="3" t="s">
        <v>18</v>
      </c>
      <c r="D973" s="8" t="str">
        <f>HYPERLINK("http://npthd.inbcu.com/ViewContent.aspx?filename=NPMR_NBC_2017-07-04_E.MP4$7295$7303","MACYS 4TH OF JULY FIREWORKS SPECTACULAR: 070417")</f>
        <v>MACYS 4TH OF JULY FIREWORKS SPECTACULAR: 070417</v>
      </c>
      <c r="E973" s="3" t="s">
        <v>2239</v>
      </c>
      <c r="F973" s="3" t="s">
        <v>4167</v>
      </c>
      <c r="G973" s="3" t="s">
        <v>394</v>
      </c>
    </row>
    <row r="974" spans="1:7">
      <c r="A974" s="6">
        <v>42920</v>
      </c>
      <c r="B974" s="3" t="s">
        <v>3494</v>
      </c>
      <c r="C974" s="3" t="s">
        <v>18</v>
      </c>
      <c r="D974" s="8" t="str">
        <f>HYPERLINK("http://npthd.inbcu.com/ViewContent.aspx?filename=NPMR_NBC_2017-07-04_E.MP4$7303$7597","MACYS 4TH OF JULY FIREWORKS SPECTACULAR: 070417")</f>
        <v>MACYS 4TH OF JULY FIREWORKS SPECTACULAR: 070417</v>
      </c>
      <c r="E974" s="3" t="s">
        <v>1198</v>
      </c>
      <c r="F974" s="3" t="s">
        <v>394</v>
      </c>
      <c r="G974" s="3" t="s">
        <v>3192</v>
      </c>
    </row>
    <row r="975" spans="1:7">
      <c r="A975" s="6">
        <v>42920</v>
      </c>
      <c r="B975" s="3" t="s">
        <v>3494</v>
      </c>
      <c r="C975" s="3" t="s">
        <v>21</v>
      </c>
      <c r="D975" s="8" t="str">
        <f>HYPERLINK("http://npthd.inbcu.com/ViewContent.aspx?filename=NPMR_NBC_2017-07-04_E.MP4$7597$7762","COMMERCIAL")</f>
        <v>COMMERCIAL</v>
      </c>
      <c r="E975" s="3" t="s">
        <v>428</v>
      </c>
      <c r="F975" s="3" t="s">
        <v>3192</v>
      </c>
      <c r="G975" s="3" t="s">
        <v>4168</v>
      </c>
    </row>
    <row r="976" spans="1:7">
      <c r="A976" s="6">
        <v>42920</v>
      </c>
      <c r="B976" s="3" t="s">
        <v>3494</v>
      </c>
      <c r="C976" s="3" t="s">
        <v>14</v>
      </c>
      <c r="D976" s="8" t="str">
        <f>HYPERLINK("http://npthd.inbcu.com/ViewContent.aspx?filename=NPMR_NBC_2017-07-04_E.MP4$7762$7777","World of Dance")</f>
        <v>World of Dance</v>
      </c>
      <c r="E976" s="3" t="s">
        <v>30</v>
      </c>
      <c r="F976" s="3" t="s">
        <v>4168</v>
      </c>
      <c r="G976" s="3" t="s">
        <v>4169</v>
      </c>
    </row>
    <row r="977" spans="1:7">
      <c r="A977" s="6">
        <v>42920</v>
      </c>
      <c r="B977" s="3" t="s">
        <v>3494</v>
      </c>
      <c r="C977" s="3" t="s">
        <v>32</v>
      </c>
      <c r="D977" s="8" t="str">
        <f>HYPERLINK("http://npthd.inbcu.com/ViewContent.aspx?filename=NPMR_NBC_2017-07-04_E.MP4$7777$7809","LOCAL")</f>
        <v>LOCAL</v>
      </c>
      <c r="E977" s="3" t="s">
        <v>213</v>
      </c>
      <c r="F977" s="3" t="s">
        <v>4169</v>
      </c>
      <c r="G977" s="3" t="s">
        <v>4170</v>
      </c>
    </row>
    <row r="978" spans="1:7">
      <c r="A978" s="6">
        <v>42920</v>
      </c>
      <c r="B978" s="3" t="s">
        <v>3494</v>
      </c>
      <c r="C978" s="3" t="s">
        <v>18</v>
      </c>
      <c r="D978" s="8" t="str">
        <f>HYPERLINK("http://npthd.inbcu.com/ViewContent.aspx?filename=NPMR_NBC_2017-07-04_E.MP4$7809$8019","MACYS 4TH OF JULY FIREWORKS SPECTACULAR: 070417")</f>
        <v>MACYS 4TH OF JULY FIREWORKS SPECTACULAR: 070417</v>
      </c>
      <c r="E978" s="3" t="s">
        <v>150</v>
      </c>
      <c r="F978" s="3" t="s">
        <v>4170</v>
      </c>
      <c r="G978" s="3" t="s">
        <v>1803</v>
      </c>
    </row>
    <row r="979" spans="1:7">
      <c r="A979" s="6">
        <v>42920</v>
      </c>
      <c r="B979" s="3" t="s">
        <v>3494</v>
      </c>
      <c r="C979" s="3" t="s">
        <v>21</v>
      </c>
      <c r="D979" s="8" t="str">
        <f>HYPERLINK("http://npthd.inbcu.com/ViewContent.aspx?filename=NPMR_NBC_2017-07-04_E.MP4$8019$8199","COMMERCIAL")</f>
        <v>COMMERCIAL</v>
      </c>
      <c r="E979" s="3" t="s">
        <v>22</v>
      </c>
      <c r="F979" s="3" t="s">
        <v>1803</v>
      </c>
      <c r="G979" s="3" t="s">
        <v>1804</v>
      </c>
    </row>
    <row r="980" spans="1:7">
      <c r="A980" s="6">
        <v>42920</v>
      </c>
      <c r="B980" s="3" t="s">
        <v>3494</v>
      </c>
      <c r="C980" s="3" t="s">
        <v>14</v>
      </c>
      <c r="D980" s="8" t="str">
        <f>HYPERLINK("http://npthd.inbcu.com/ViewContent.aspx?filename=NPMR_NBC_2017-07-04_E.MP4$8199$8205","Late Night with Seth Meyers")</f>
        <v>Late Night with Seth Meyers</v>
      </c>
      <c r="E980" s="3" t="s">
        <v>15</v>
      </c>
      <c r="F980" s="3" t="s">
        <v>1804</v>
      </c>
      <c r="G980" s="3" t="s">
        <v>4171</v>
      </c>
    </row>
    <row r="981" spans="1:7">
      <c r="A981" s="6">
        <v>42920</v>
      </c>
      <c r="B981" s="3" t="s">
        <v>3494</v>
      </c>
      <c r="C981" s="3" t="s">
        <v>14</v>
      </c>
      <c r="D981" s="8" t="str">
        <f>HYPERLINK("http://npthd.inbcu.com/ViewContent.aspx?filename=NPMR_NBC_2017-07-04_E.MP4$8205$8215","Tonight Show starring Jimmy Fallon, The")</f>
        <v>Tonight Show starring Jimmy Fallon, The</v>
      </c>
      <c r="E981" s="3" t="s">
        <v>197</v>
      </c>
      <c r="F981" s="3" t="s">
        <v>4171</v>
      </c>
      <c r="G981" s="3" t="s">
        <v>4172</v>
      </c>
    </row>
    <row r="982" spans="1:7">
      <c r="A982" s="6">
        <v>42920</v>
      </c>
      <c r="B982" s="3" t="s">
        <v>3494</v>
      </c>
      <c r="C982" s="3" t="s">
        <v>18</v>
      </c>
      <c r="D982" s="8" t="str">
        <f>HYPERLINK("http://npthd.inbcu.com/ViewContent.aspx?filename=NPMR_NBC_2017-07-04_E.MP4$8215$8378","MACYS 4TH OF JULY FIREWORKS SPECTACULAR: 070417")</f>
        <v>MACYS 4TH OF JULY FIREWORKS SPECTACULAR: 070417</v>
      </c>
      <c r="E982" s="3" t="s">
        <v>1763</v>
      </c>
      <c r="F982" s="3" t="s">
        <v>4172</v>
      </c>
      <c r="G982" s="3" t="s">
        <v>4173</v>
      </c>
    </row>
    <row r="983" spans="1:7">
      <c r="A983" s="6">
        <v>42920</v>
      </c>
      <c r="B983" s="3" t="s">
        <v>3494</v>
      </c>
      <c r="C983" s="3" t="s">
        <v>21</v>
      </c>
      <c r="D983" s="8" t="str">
        <f>HYPERLINK("http://npthd.inbcu.com/ViewContent.aspx?filename=NPMR_NBC_2017-07-04_E.MP4$8378$8438","COMMERCIAL")</f>
        <v>COMMERCIAL</v>
      </c>
      <c r="E983" s="3" t="s">
        <v>66</v>
      </c>
      <c r="F983" s="3" t="s">
        <v>4173</v>
      </c>
      <c r="G983" s="3" t="s">
        <v>4174</v>
      </c>
    </row>
    <row r="984" spans="1:7">
      <c r="A984" s="6">
        <v>42920</v>
      </c>
      <c r="B984" s="3" t="s">
        <v>3494</v>
      </c>
      <c r="C984" s="3" t="s">
        <v>14</v>
      </c>
      <c r="D984" s="8" t="str">
        <f>HYPERLINK("http://npthd.inbcu.com/ViewContent.aspx?filename=NPMR_NBC_2017-07-04_E.MP4$8438$8443","Midnight Texas")</f>
        <v>Midnight Texas</v>
      </c>
      <c r="E984" s="3" t="s">
        <v>54</v>
      </c>
      <c r="F984" s="3" t="s">
        <v>4174</v>
      </c>
      <c r="G984" s="3" t="s">
        <v>4175</v>
      </c>
    </row>
    <row r="985" spans="1:7">
      <c r="A985" s="6">
        <v>42920</v>
      </c>
      <c r="B985" s="3" t="s">
        <v>3494</v>
      </c>
      <c r="C985" s="3" t="s">
        <v>32</v>
      </c>
      <c r="D985" s="8" t="str">
        <f>HYPERLINK("http://npthd.inbcu.com/ViewContent.aspx?filename=NPMR_NBC_2017-07-04_E.MP4$8443$8579","LOCAL")</f>
        <v>LOCAL</v>
      </c>
      <c r="E985" s="3" t="s">
        <v>668</v>
      </c>
      <c r="F985" s="3" t="s">
        <v>4175</v>
      </c>
      <c r="G985" s="3" t="s">
        <v>4078</v>
      </c>
    </row>
    <row r="986" spans="1:7">
      <c r="A986" s="6">
        <v>42920</v>
      </c>
      <c r="B986" s="3" t="s">
        <v>3494</v>
      </c>
      <c r="C986" s="3" t="s">
        <v>32</v>
      </c>
      <c r="D986" s="8" t="str">
        <f>HYPERLINK("http://npthd.inbcu.com/ViewContent.aspx?filename=NPMR_NBC_2017-07-04_E.MP4$8579$8610","LOCAL")</f>
        <v>LOCAL</v>
      </c>
      <c r="E986" s="3" t="s">
        <v>98</v>
      </c>
      <c r="F986" s="3" t="s">
        <v>4078</v>
      </c>
      <c r="G986" s="3" t="s">
        <v>4176</v>
      </c>
    </row>
    <row r="987" spans="1:7">
      <c r="A987" s="6">
        <v>42920</v>
      </c>
      <c r="B987" s="3" t="s">
        <v>3494</v>
      </c>
      <c r="C987" s="3" t="s">
        <v>18</v>
      </c>
      <c r="D987" s="8" t="str">
        <f>HYPERLINK("http://npthd.inbcu.com/ViewContent.aspx?filename=NPMR_NBC_2017-07-04_E.MP4$8610$8828","MACYS 4TH OF JULY FIREWORKS SPECTACULAR: 070417")</f>
        <v>MACYS 4TH OF JULY FIREWORKS SPECTACULAR: 070417</v>
      </c>
      <c r="E987" s="3" t="s">
        <v>1817</v>
      </c>
      <c r="F987" s="3" t="s">
        <v>4176</v>
      </c>
      <c r="G987" s="3" t="s">
        <v>4177</v>
      </c>
    </row>
    <row r="988" spans="1:7">
      <c r="A988" s="6">
        <v>42920</v>
      </c>
      <c r="B988" s="3" t="s">
        <v>3494</v>
      </c>
      <c r="C988" s="3" t="s">
        <v>21</v>
      </c>
      <c r="D988" s="8" t="str">
        <f>HYPERLINK("http://npthd.inbcu.com/ViewContent.aspx?filename=NPMR_NBC_2017-07-04_E.MP4$8828$8978","COMMERCIAL")</f>
        <v>COMMERCIAL</v>
      </c>
      <c r="E988" s="3" t="s">
        <v>28</v>
      </c>
      <c r="F988" s="3" t="s">
        <v>4177</v>
      </c>
      <c r="G988" s="3" t="s">
        <v>4178</v>
      </c>
    </row>
    <row r="989" spans="1:7">
      <c r="A989" s="6">
        <v>42920</v>
      </c>
      <c r="B989" s="3" t="s">
        <v>3494</v>
      </c>
      <c r="C989" s="3" t="s">
        <v>14</v>
      </c>
      <c r="D989" s="8" t="str">
        <f>HYPERLINK("http://npthd.inbcu.com/ViewContent.aspx?filename=NPMR_NBC_2017-07-04_E.MP4$8978$9009","Brave, The")</f>
        <v>Brave, The</v>
      </c>
      <c r="E989" s="3" t="s">
        <v>98</v>
      </c>
      <c r="F989" s="3" t="s">
        <v>4178</v>
      </c>
      <c r="G989" s="3" t="s">
        <v>4179</v>
      </c>
    </row>
    <row r="990" spans="1:7">
      <c r="A990" s="6">
        <v>42920</v>
      </c>
      <c r="B990" s="3" t="s">
        <v>3494</v>
      </c>
      <c r="C990" s="3" t="s">
        <v>18</v>
      </c>
      <c r="D990" s="8" t="str">
        <f>HYPERLINK("http://npthd.inbcu.com/ViewContent.aspx?filename=NPMR_NBC_2017-07-04_E.MP4$9009$10579","MACYS 4TH OF JULY FIREWORKS SPECTACULAR: 070417")</f>
        <v>MACYS 4TH OF JULY FIREWORKS SPECTACULAR: 070417</v>
      </c>
      <c r="E990" s="3" t="s">
        <v>4180</v>
      </c>
      <c r="F990" s="3" t="s">
        <v>4179</v>
      </c>
      <c r="G990" s="3" t="s">
        <v>4181</v>
      </c>
    </row>
    <row r="991" spans="1:7">
      <c r="A991" s="6">
        <v>42920</v>
      </c>
      <c r="B991" s="3" t="s">
        <v>3494</v>
      </c>
      <c r="C991" s="3" t="s">
        <v>21</v>
      </c>
      <c r="D991" s="8" t="str">
        <f>HYPERLINK("http://npthd.inbcu.com/ViewContent.aspx?filename=NPMR_NBC_2017-07-04_E.MP4$10579$10729","COMMERCIAL")</f>
        <v>COMMERCIAL</v>
      </c>
      <c r="E991" s="3" t="s">
        <v>28</v>
      </c>
      <c r="F991" s="3" t="s">
        <v>4181</v>
      </c>
      <c r="G991" s="3" t="s">
        <v>121</v>
      </c>
    </row>
    <row r="992" spans="1:7">
      <c r="A992" s="6">
        <v>42920</v>
      </c>
      <c r="B992" s="3" t="s">
        <v>3494</v>
      </c>
      <c r="C992" s="3" t="s">
        <v>32</v>
      </c>
      <c r="D992" s="8" t="str">
        <f>HYPERLINK("http://npthd.inbcu.com/ViewContent.aspx?filename=NPMR_NBC_2017-07-04_E.MP4$10729$10745","LOCAL")</f>
        <v>LOCAL</v>
      </c>
      <c r="E992" s="3" t="s">
        <v>64</v>
      </c>
      <c r="F992" s="3" t="s">
        <v>121</v>
      </c>
      <c r="G992" s="3" t="s">
        <v>4182</v>
      </c>
    </row>
    <row r="993" spans="1:7">
      <c r="A993" s="6">
        <v>42920</v>
      </c>
      <c r="B993" s="3" t="s">
        <v>3494</v>
      </c>
      <c r="C993" s="3" t="s">
        <v>14</v>
      </c>
      <c r="D993" s="8" t="str">
        <f>HYPERLINK("http://npthd.inbcu.com/ViewContent.aspx?filename=NPMR_NBC_2017-07-04_E.MP4$10745$10754","Tonight Show starring Jimmy Fallon, The")</f>
        <v>Tonight Show starring Jimmy Fallon, The</v>
      </c>
      <c r="E993" s="3" t="s">
        <v>2074</v>
      </c>
      <c r="F993" s="3" t="s">
        <v>4182</v>
      </c>
      <c r="G993" s="3" t="s">
        <v>4183</v>
      </c>
    </row>
    <row r="994" spans="1:7">
      <c r="A994" s="6">
        <v>42920</v>
      </c>
      <c r="B994" s="3" t="s">
        <v>3494</v>
      </c>
      <c r="C994" s="3" t="s">
        <v>18</v>
      </c>
      <c r="D994" s="8" t="str">
        <f>HYPERLINK("http://npthd.inbcu.com/ViewContent.aspx?filename=NPMR_NBC_2017-07-04_E.MP4$10754$10835","MACYS 4TH OF JULY FIREWORKS SPECTACULAR: 070417")</f>
        <v>MACYS 4TH OF JULY FIREWORKS SPECTACULAR: 070417</v>
      </c>
      <c r="E994" s="3" t="s">
        <v>4184</v>
      </c>
      <c r="F994" s="3" t="s">
        <v>4183</v>
      </c>
      <c r="G994" s="3" t="s">
        <v>4185</v>
      </c>
    </row>
    <row r="995" spans="1:7">
      <c r="A995" s="6">
        <v>42920</v>
      </c>
      <c r="B995" s="3" t="s">
        <v>3494</v>
      </c>
      <c r="C995" s="3" t="s">
        <v>14</v>
      </c>
      <c r="D995" s="8" t="str">
        <f>HYPERLINK("http://npthd.inbcu.com/ViewContent.aspx?filename=NPMR_NBC_2017-07-04_E.MP4$10835$10865","AGT/WOD")</f>
        <v>AGT/WOD</v>
      </c>
      <c r="E995" s="3" t="s">
        <v>38</v>
      </c>
      <c r="F995" s="3" t="s">
        <v>4185</v>
      </c>
      <c r="G995" s="3" t="s">
        <v>773</v>
      </c>
    </row>
    <row r="996" spans="1:7">
      <c r="A996" s="6">
        <v>42920</v>
      </c>
      <c r="B996" s="3" t="s">
        <v>3494</v>
      </c>
      <c r="C996" s="3" t="s">
        <v>18</v>
      </c>
      <c r="D996" s="8" t="str">
        <f>HYPERLINK("http://npthd.inbcu.com/ViewContent.aspx?filename=NPMR_NBC_2017-07-04_E.MP4$10865$10873","MACYS 4TH OF JULY FIREWORKS SPECTACULAR: 070417")</f>
        <v>MACYS 4TH OF JULY FIREWORKS SPECTACULAR: 070417</v>
      </c>
      <c r="E996" s="3" t="s">
        <v>2239</v>
      </c>
      <c r="F996" s="3" t="s">
        <v>773</v>
      </c>
      <c r="G996" s="3" t="s">
        <v>3554</v>
      </c>
    </row>
    <row r="997" spans="1:7">
      <c r="A997" s="6">
        <v>42920</v>
      </c>
      <c r="B997" s="3" t="s">
        <v>3494</v>
      </c>
      <c r="C997" s="3" t="s">
        <v>32</v>
      </c>
      <c r="D997" s="8" t="str">
        <f>HYPERLINK("http://npthd.inbcu.com/ViewContent.aspx?filename=NPMR_NBC_2017-07-04_E.MP4$10873$10903","LOCAL")</f>
        <v>LOCAL</v>
      </c>
      <c r="E997" s="3" t="s">
        <v>38</v>
      </c>
      <c r="F997" s="3" t="s">
        <v>3554</v>
      </c>
      <c r="G997" s="3" t="s">
        <v>124</v>
      </c>
    </row>
    <row r="998" spans="1:7">
      <c r="A998" s="6">
        <v>42921</v>
      </c>
      <c r="B998" s="3" t="s">
        <v>3494</v>
      </c>
      <c r="C998" s="3" t="s">
        <v>18</v>
      </c>
      <c r="D998" s="8" t="str">
        <f>HYPERLINK("http://npthd.inbcu.com/ViewContent.aspx?filename=NPMR_NBC_2017-07-05_E.MP4$102$670","LITTLE BIG SHOTS: FOREVER YOUNG: 103 years young")</f>
        <v>LITTLE BIG SHOTS: FOREVER YOUNG: 103 years young</v>
      </c>
      <c r="E998" s="3" t="s">
        <v>4186</v>
      </c>
      <c r="F998" s="3" t="s">
        <v>16</v>
      </c>
      <c r="G998" s="3" t="s">
        <v>4187</v>
      </c>
    </row>
    <row r="999" spans="1:7">
      <c r="A999" s="6">
        <v>42921</v>
      </c>
      <c r="B999" s="3" t="s">
        <v>3494</v>
      </c>
      <c r="C999" s="3" t="s">
        <v>21</v>
      </c>
      <c r="D999" s="8" t="str">
        <f>HYPERLINK("http://npthd.inbcu.com/ViewContent.aspx?filename=NPMR_NBC_2017-07-05_E.MP4$670$850","COMMERCIAL")</f>
        <v>COMMERCIAL</v>
      </c>
      <c r="E999" s="3" t="s">
        <v>22</v>
      </c>
      <c r="F999" s="3" t="s">
        <v>4187</v>
      </c>
      <c r="G999" s="3" t="s">
        <v>3964</v>
      </c>
    </row>
    <row r="1000" spans="1:7">
      <c r="A1000" s="6">
        <v>42921</v>
      </c>
      <c r="B1000" s="3" t="s">
        <v>3494</v>
      </c>
      <c r="C1000" s="3" t="s">
        <v>14</v>
      </c>
      <c r="D1000" s="8" t="str">
        <f>HYPERLINK("http://npthd.inbcu.com/ViewContent.aspx?filename=NPMR_NBC_2017-07-05_E.MP4$850$880","NBC Thursday")</f>
        <v>NBC Thursday</v>
      </c>
      <c r="E1000" s="3" t="s">
        <v>38</v>
      </c>
      <c r="F1000" s="3" t="s">
        <v>3964</v>
      </c>
      <c r="G1000" s="3" t="s">
        <v>4188</v>
      </c>
    </row>
    <row r="1001" spans="1:7">
      <c r="A1001" s="6">
        <v>42921</v>
      </c>
      <c r="B1001" s="3" t="s">
        <v>3494</v>
      </c>
      <c r="C1001" s="3" t="s">
        <v>18</v>
      </c>
      <c r="D1001" s="8" t="str">
        <f>HYPERLINK("http://npthd.inbcu.com/ViewContent.aspx?filename=NPMR_NBC_2017-07-05_E.MP4$880$1302","LITTLE BIG SHOTS: FOREVER YOUNG: 103 years young")</f>
        <v>LITTLE BIG SHOTS: FOREVER YOUNG: 103 years young</v>
      </c>
      <c r="E1001" s="3" t="s">
        <v>1087</v>
      </c>
      <c r="F1001" s="3" t="s">
        <v>4188</v>
      </c>
      <c r="G1001" s="3" t="s">
        <v>4189</v>
      </c>
    </row>
    <row r="1002" spans="1:7">
      <c r="A1002" s="6">
        <v>42921</v>
      </c>
      <c r="B1002" s="3" t="s">
        <v>3494</v>
      </c>
      <c r="C1002" s="3" t="s">
        <v>21</v>
      </c>
      <c r="D1002" s="8" t="str">
        <f>HYPERLINK("http://npthd.inbcu.com/ViewContent.aspx?filename=NPMR_NBC_2017-07-05_E.MP4$1302$1392","COMMERCIAL")</f>
        <v>COMMERCIAL</v>
      </c>
      <c r="E1002" s="3" t="s">
        <v>46</v>
      </c>
      <c r="F1002" s="3" t="s">
        <v>4189</v>
      </c>
      <c r="G1002" s="3" t="s">
        <v>4190</v>
      </c>
    </row>
    <row r="1003" spans="1:7">
      <c r="A1003" s="6">
        <v>42921</v>
      </c>
      <c r="B1003" s="3" t="s">
        <v>3494</v>
      </c>
      <c r="C1003" s="3" t="s">
        <v>14</v>
      </c>
      <c r="D1003" s="8" t="str">
        <f>HYPERLINK("http://npthd.inbcu.com/ViewContent.aspx?filename=NPMR_NBC_2017-07-05_E.MP4$1392$1407","Today")</f>
        <v>Today</v>
      </c>
      <c r="E1003" s="3" t="s">
        <v>30</v>
      </c>
      <c r="F1003" s="3" t="s">
        <v>4190</v>
      </c>
      <c r="G1003" s="3" t="s">
        <v>4191</v>
      </c>
    </row>
    <row r="1004" spans="1:7">
      <c r="A1004" s="6">
        <v>42921</v>
      </c>
      <c r="B1004" s="3" t="s">
        <v>3494</v>
      </c>
      <c r="C1004" s="3" t="s">
        <v>32</v>
      </c>
      <c r="D1004" s="8" t="str">
        <f>HYPERLINK("http://npthd.inbcu.com/ViewContent.aspx?filename=NPMR_NBC_2017-07-05_E.MP4$1407$1501","LOCAL")</f>
        <v>LOCAL</v>
      </c>
      <c r="E1004" s="3" t="s">
        <v>1917</v>
      </c>
      <c r="F1004" s="3" t="s">
        <v>4191</v>
      </c>
      <c r="G1004" s="3" t="s">
        <v>4192</v>
      </c>
    </row>
    <row r="1005" spans="1:7">
      <c r="A1005" s="6">
        <v>42921</v>
      </c>
      <c r="B1005" s="3" t="s">
        <v>3494</v>
      </c>
      <c r="C1005" s="3" t="s">
        <v>14</v>
      </c>
      <c r="D1005" s="8" t="str">
        <f>HYPERLINK("http://npthd.inbcu.com/ViewContent.aspx?filename=NPMR_NBC_2017-07-05_E.MP4$1501$1516","American Ninja Warrior")</f>
        <v>American Ninja Warrior</v>
      </c>
      <c r="E1005" s="3" t="s">
        <v>30</v>
      </c>
      <c r="F1005" s="3" t="s">
        <v>4192</v>
      </c>
      <c r="G1005" s="3" t="s">
        <v>4193</v>
      </c>
    </row>
    <row r="1006" spans="1:7">
      <c r="A1006" s="6">
        <v>42921</v>
      </c>
      <c r="B1006" s="3" t="s">
        <v>3494</v>
      </c>
      <c r="C1006" s="3" t="s">
        <v>18</v>
      </c>
      <c r="D1006" s="8" t="str">
        <f>HYPERLINK("http://npthd.inbcu.com/ViewContent.aspx?filename=NPMR_NBC_2017-07-05_E.MP4$1516$1951","LITTLE BIG SHOTS: FOREVER YOUNG: 103 years young")</f>
        <v>LITTLE BIG SHOTS: FOREVER YOUNG: 103 years young</v>
      </c>
      <c r="E1006" s="3" t="s">
        <v>415</v>
      </c>
      <c r="F1006" s="3" t="s">
        <v>4193</v>
      </c>
      <c r="G1006" s="3" t="s">
        <v>4194</v>
      </c>
    </row>
    <row r="1007" spans="1:7">
      <c r="A1007" s="6">
        <v>42921</v>
      </c>
      <c r="B1007" s="3" t="s">
        <v>3494</v>
      </c>
      <c r="C1007" s="3" t="s">
        <v>14</v>
      </c>
      <c r="D1007" s="8" t="str">
        <f>HYPERLINK("http://npthd.inbcu.com/ViewContent.aspx?filename=NPMR_NBC_2017-07-05_E.MP4$1951$1966","Americas Got Talent")</f>
        <v>Americas Got Talent</v>
      </c>
      <c r="E1007" s="3" t="s">
        <v>30</v>
      </c>
      <c r="F1007" s="3" t="s">
        <v>4194</v>
      </c>
      <c r="G1007" s="3" t="s">
        <v>4195</v>
      </c>
    </row>
    <row r="1008" spans="1:7">
      <c r="A1008" s="6">
        <v>42921</v>
      </c>
      <c r="B1008" s="3" t="s">
        <v>3494</v>
      </c>
      <c r="C1008" s="3" t="s">
        <v>21</v>
      </c>
      <c r="D1008" s="8" t="str">
        <f>HYPERLINK("http://npthd.inbcu.com/ViewContent.aspx?filename=NPMR_NBC_2017-07-05_E.MP4$1966$2146","COMMERCIAL")</f>
        <v>COMMERCIAL</v>
      </c>
      <c r="E1008" s="3" t="s">
        <v>22</v>
      </c>
      <c r="F1008" s="3" t="s">
        <v>4195</v>
      </c>
      <c r="G1008" s="3" t="s">
        <v>4196</v>
      </c>
    </row>
    <row r="1009" spans="1:7">
      <c r="A1009" s="6">
        <v>42921</v>
      </c>
      <c r="B1009" s="3" t="s">
        <v>3494</v>
      </c>
      <c r="C1009" s="3" t="s">
        <v>14</v>
      </c>
      <c r="D1009" s="8" t="str">
        <f>HYPERLINK("http://npthd.inbcu.com/ViewContent.aspx?filename=NPMR_NBC_2017-07-05_E.MP4$2146$2176","Brave, The")</f>
        <v>Brave, The</v>
      </c>
      <c r="E1009" s="3" t="s">
        <v>38</v>
      </c>
      <c r="F1009" s="3" t="s">
        <v>4196</v>
      </c>
      <c r="G1009" s="3" t="s">
        <v>4197</v>
      </c>
    </row>
    <row r="1010" spans="1:7">
      <c r="A1010" s="6">
        <v>42921</v>
      </c>
      <c r="B1010" s="3" t="s">
        <v>3494</v>
      </c>
      <c r="C1010" s="3" t="s">
        <v>18</v>
      </c>
      <c r="D1010" s="8" t="str">
        <f>HYPERLINK("http://npthd.inbcu.com/ViewContent.aspx?filename=NPMR_NBC_2017-07-05_E.MP4$2176$2534","LITTLE BIG SHOTS: FOREVER YOUNG: 103 years young")</f>
        <v>LITTLE BIG SHOTS: FOREVER YOUNG: 103 years young</v>
      </c>
      <c r="E1010" s="3" t="s">
        <v>4198</v>
      </c>
      <c r="F1010" s="3" t="s">
        <v>4197</v>
      </c>
      <c r="G1010" s="3" t="s">
        <v>4199</v>
      </c>
    </row>
    <row r="1011" spans="1:7">
      <c r="A1011" s="6">
        <v>42921</v>
      </c>
      <c r="B1011" s="3" t="s">
        <v>3494</v>
      </c>
      <c r="C1011" s="3" t="s">
        <v>21</v>
      </c>
      <c r="D1011" s="8" t="str">
        <f>HYPERLINK("http://npthd.inbcu.com/ViewContent.aspx?filename=NPMR_NBC_2017-07-05_E.MP4$2534$2654","COMMERCIAL")</f>
        <v>COMMERCIAL</v>
      </c>
      <c r="E1011" s="3" t="s">
        <v>43</v>
      </c>
      <c r="F1011" s="3" t="s">
        <v>4199</v>
      </c>
      <c r="G1011" s="3" t="s">
        <v>4200</v>
      </c>
    </row>
    <row r="1012" spans="1:7">
      <c r="A1012" s="6">
        <v>42921</v>
      </c>
      <c r="B1012" s="3" t="s">
        <v>3494</v>
      </c>
      <c r="C1012" s="3" t="s">
        <v>14</v>
      </c>
      <c r="D1012" s="8" t="str">
        <f>HYPERLINK("http://npthd.inbcu.com/ViewContent.aspx?filename=NPMR_NBC_2017-07-05_E.MP4$2654$2659","Marlon")</f>
        <v>Marlon</v>
      </c>
      <c r="E1012" s="3" t="s">
        <v>54</v>
      </c>
      <c r="F1012" s="3" t="s">
        <v>4200</v>
      </c>
      <c r="G1012" s="3" t="s">
        <v>3614</v>
      </c>
    </row>
    <row r="1013" spans="1:7">
      <c r="A1013" s="6">
        <v>42921</v>
      </c>
      <c r="B1013" s="3" t="s">
        <v>3494</v>
      </c>
      <c r="C1013" s="3" t="s">
        <v>32</v>
      </c>
      <c r="D1013" s="8" t="str">
        <f>HYPERLINK("http://npthd.inbcu.com/ViewContent.aspx?filename=NPMR_NBC_2017-07-05_E.MP4$2659$2749","LOCAL")</f>
        <v>LOCAL</v>
      </c>
      <c r="E1013" s="3" t="s">
        <v>46</v>
      </c>
      <c r="F1013" s="3" t="s">
        <v>3614</v>
      </c>
      <c r="G1013" s="3" t="s">
        <v>4201</v>
      </c>
    </row>
    <row r="1014" spans="1:7">
      <c r="A1014" s="6">
        <v>42921</v>
      </c>
      <c r="B1014" s="3" t="s">
        <v>3494</v>
      </c>
      <c r="C1014" s="3" t="s">
        <v>14</v>
      </c>
      <c r="D1014" s="8" t="str">
        <f>HYPERLINK("http://npthd.inbcu.com/ViewContent.aspx?filename=NPMR_NBC_2017-07-05_E.MP4$2749$2764","Midnight Texas")</f>
        <v>Midnight Texas</v>
      </c>
      <c r="E1014" s="3" t="s">
        <v>30</v>
      </c>
      <c r="F1014" s="3" t="s">
        <v>4201</v>
      </c>
      <c r="G1014" s="3" t="s">
        <v>4202</v>
      </c>
    </row>
    <row r="1015" spans="1:7">
      <c r="A1015" s="6">
        <v>42921</v>
      </c>
      <c r="B1015" s="3" t="s">
        <v>3494</v>
      </c>
      <c r="C1015" s="3" t="s">
        <v>18</v>
      </c>
      <c r="D1015" s="8" t="str">
        <f>HYPERLINK("http://npthd.inbcu.com/ViewContent.aspx?filename=NPMR_NBC_2017-07-05_E.MP4$2764$3062","LITTLE BIG SHOTS: FOREVER YOUNG: 103 years young")</f>
        <v>LITTLE BIG SHOTS: FOREVER YOUNG: 103 years young</v>
      </c>
      <c r="E1015" s="3" t="s">
        <v>1207</v>
      </c>
      <c r="F1015" s="3" t="s">
        <v>4202</v>
      </c>
      <c r="G1015" s="3" t="s">
        <v>1623</v>
      </c>
    </row>
    <row r="1016" spans="1:7">
      <c r="A1016" s="6">
        <v>42921</v>
      </c>
      <c r="B1016" s="3" t="s">
        <v>3494</v>
      </c>
      <c r="C1016" s="3" t="s">
        <v>21</v>
      </c>
      <c r="D1016" s="8" t="str">
        <f>HYPERLINK("http://npthd.inbcu.com/ViewContent.aspx?filename=NPMR_NBC_2017-07-05_E.MP4$3062$3242","COMMERCIAL")</f>
        <v>COMMERCIAL</v>
      </c>
      <c r="E1016" s="3" t="s">
        <v>22</v>
      </c>
      <c r="F1016" s="3" t="s">
        <v>1623</v>
      </c>
      <c r="G1016" s="3" t="s">
        <v>4203</v>
      </c>
    </row>
    <row r="1017" spans="1:7">
      <c r="A1017" s="6">
        <v>42921</v>
      </c>
      <c r="B1017" s="3" t="s">
        <v>3494</v>
      </c>
      <c r="C1017" s="3" t="s">
        <v>14</v>
      </c>
      <c r="D1017" s="8" t="str">
        <f>HYPERLINK("http://npthd.inbcu.com/ViewContent.aspx?filename=NPMR_NBC_2017-07-05_E.MP4$3242$3257","Carmichael Show, The")</f>
        <v>Carmichael Show, The</v>
      </c>
      <c r="E1017" s="3" t="s">
        <v>30</v>
      </c>
      <c r="F1017" s="3" t="s">
        <v>4203</v>
      </c>
      <c r="G1017" s="3" t="s">
        <v>3570</v>
      </c>
    </row>
    <row r="1018" spans="1:7">
      <c r="A1018" s="6">
        <v>42921</v>
      </c>
      <c r="B1018" s="3" t="s">
        <v>3494</v>
      </c>
      <c r="C1018" s="3" t="s">
        <v>18</v>
      </c>
      <c r="D1018" s="8" t="str">
        <f>HYPERLINK("http://npthd.inbcu.com/ViewContent.aspx?filename=NPMR_NBC_2017-07-05_E.MP4$3257$3665","LITTLE BIG SHOTS: FOREVER YOUNG: 103 years young")</f>
        <v>LITTLE BIG SHOTS: FOREVER YOUNG: 103 years young</v>
      </c>
      <c r="E1018" s="3" t="s">
        <v>1696</v>
      </c>
      <c r="F1018" s="3" t="s">
        <v>3570</v>
      </c>
      <c r="G1018" s="3" t="s">
        <v>1782</v>
      </c>
    </row>
    <row r="1019" spans="1:7">
      <c r="A1019" s="6">
        <v>42921</v>
      </c>
      <c r="B1019" s="3" t="s">
        <v>3494</v>
      </c>
      <c r="C1019" s="3" t="s">
        <v>14</v>
      </c>
      <c r="D1019" s="8" t="str">
        <f>HYPERLINK("http://npthd.inbcu.com/ViewContent.aspx?filename=NPMR_NBC_2017-07-05_E.MP4$3665$3695","Little Big Shots: Forever Young")</f>
        <v>Little Big Shots: Forever Young</v>
      </c>
      <c r="E1019" s="3" t="s">
        <v>38</v>
      </c>
      <c r="F1019" s="3" t="s">
        <v>1782</v>
      </c>
      <c r="G1019" s="3" t="s">
        <v>3673</v>
      </c>
    </row>
    <row r="1020" spans="1:7">
      <c r="A1020" s="6">
        <v>42921</v>
      </c>
      <c r="B1020" s="3" t="s">
        <v>3494</v>
      </c>
      <c r="C1020" s="3" t="s">
        <v>18</v>
      </c>
      <c r="D1020" s="8" t="str">
        <f>HYPERLINK("http://npthd.inbcu.com/ViewContent.aspx?filename=NPMR_NBC_2017-07-05_E.MP4$3695$3702","LITTLE BIG SHOTS: FOREVER YOUNG: 103 years young")</f>
        <v>LITTLE BIG SHOTS: FOREVER YOUNG: 103 years young</v>
      </c>
      <c r="E1020" s="3" t="s">
        <v>567</v>
      </c>
      <c r="F1020" s="3" t="s">
        <v>3673</v>
      </c>
      <c r="G1020" s="3" t="s">
        <v>242</v>
      </c>
    </row>
    <row r="1021" spans="1:7">
      <c r="A1021" s="6">
        <v>42921</v>
      </c>
      <c r="B1021" s="3" t="s">
        <v>3494</v>
      </c>
      <c r="C1021" s="3" t="s">
        <v>18</v>
      </c>
      <c r="D1021" s="8" t="str">
        <f>HYPERLINK("http://npthd.inbcu.com/ViewContent.aspx?filename=NPMR_NBC_2017-07-05_E.MP4$3702$3840","THE CARMICHAEL SHOW: morris")</f>
        <v>THE CARMICHAEL SHOW: morris</v>
      </c>
      <c r="E1021" s="3" t="s">
        <v>3315</v>
      </c>
      <c r="F1021" s="3" t="s">
        <v>242</v>
      </c>
      <c r="G1021" s="3" t="s">
        <v>4204</v>
      </c>
    </row>
    <row r="1022" spans="1:7">
      <c r="A1022" s="6">
        <v>42921</v>
      </c>
      <c r="B1022" s="3" t="s">
        <v>3494</v>
      </c>
      <c r="C1022" s="3" t="s">
        <v>21</v>
      </c>
      <c r="D1022" s="8" t="str">
        <f>HYPERLINK("http://npthd.inbcu.com/ViewContent.aspx?filename=NPMR_NBC_2017-07-05_E.MP4$3840$3990","COMMERCIAL")</f>
        <v>COMMERCIAL</v>
      </c>
      <c r="E1022" s="3" t="s">
        <v>28</v>
      </c>
      <c r="F1022" s="3" t="s">
        <v>4204</v>
      </c>
      <c r="G1022" s="3" t="s">
        <v>2914</v>
      </c>
    </row>
    <row r="1023" spans="1:7">
      <c r="A1023" s="6">
        <v>42921</v>
      </c>
      <c r="B1023" s="3" t="s">
        <v>3494</v>
      </c>
      <c r="C1023" s="3" t="s">
        <v>14</v>
      </c>
      <c r="D1023" s="8" t="str">
        <f>HYPERLINK("http://npthd.inbcu.com/ViewContent.aspx?filename=NPMR_NBC_2017-07-05_E.MP4$3990$4020","NBC Thursday")</f>
        <v>NBC Thursday</v>
      </c>
      <c r="E1023" s="3" t="s">
        <v>38</v>
      </c>
      <c r="F1023" s="3" t="s">
        <v>2914</v>
      </c>
      <c r="G1023" s="3" t="s">
        <v>2916</v>
      </c>
    </row>
    <row r="1024" spans="1:7">
      <c r="A1024" s="6">
        <v>42921</v>
      </c>
      <c r="B1024" s="3" t="s">
        <v>3494</v>
      </c>
      <c r="C1024" s="3" t="s">
        <v>18</v>
      </c>
      <c r="D1024" s="8" t="str">
        <f>HYPERLINK("http://npthd.inbcu.com/ViewContent.aspx?filename=NPMR_NBC_2017-07-05_E.MP4$4020$4581","THE CARMICHAEL SHOW: morris")</f>
        <v>THE CARMICHAEL SHOW: morris</v>
      </c>
      <c r="E1024" s="3" t="s">
        <v>1290</v>
      </c>
      <c r="F1024" s="3" t="s">
        <v>2916</v>
      </c>
      <c r="G1024" s="3" t="s">
        <v>4205</v>
      </c>
    </row>
    <row r="1025" spans="1:7">
      <c r="A1025" s="6">
        <v>42921</v>
      </c>
      <c r="B1025" s="3" t="s">
        <v>3494</v>
      </c>
      <c r="C1025" s="3" t="s">
        <v>21</v>
      </c>
      <c r="D1025" s="8" t="str">
        <f>HYPERLINK("http://npthd.inbcu.com/ViewContent.aspx?filename=NPMR_NBC_2017-07-05_E.MP4$4581$4642","COMMERCIAL")</f>
        <v>COMMERCIAL</v>
      </c>
      <c r="E1025" s="3" t="s">
        <v>33</v>
      </c>
      <c r="F1025" s="3" t="s">
        <v>4205</v>
      </c>
      <c r="G1025" s="3" t="s">
        <v>4206</v>
      </c>
    </row>
    <row r="1026" spans="1:7">
      <c r="A1026" s="6">
        <v>42921</v>
      </c>
      <c r="B1026" s="3" t="s">
        <v>3494</v>
      </c>
      <c r="C1026" s="3" t="s">
        <v>14</v>
      </c>
      <c r="D1026" s="8" t="str">
        <f>HYPERLINK("http://npthd.inbcu.com/ViewContent.aspx?filename=NPMR_NBC_2017-07-05_E.MP4$4642$4647","Americas Got Talent")</f>
        <v>Americas Got Talent</v>
      </c>
      <c r="E1026" s="3" t="s">
        <v>54</v>
      </c>
      <c r="F1026" s="3" t="s">
        <v>4206</v>
      </c>
      <c r="G1026" s="3" t="s">
        <v>4207</v>
      </c>
    </row>
    <row r="1027" spans="1:7">
      <c r="A1027" s="6">
        <v>42921</v>
      </c>
      <c r="B1027" s="3" t="s">
        <v>3494</v>
      </c>
      <c r="C1027" s="3" t="s">
        <v>32</v>
      </c>
      <c r="D1027" s="8" t="str">
        <f>HYPERLINK("http://npthd.inbcu.com/ViewContent.aspx?filename=NPMR_NBC_2017-07-05_E.MP4$4647$4741","LOCAL")</f>
        <v>LOCAL</v>
      </c>
      <c r="E1027" s="3" t="s">
        <v>1917</v>
      </c>
      <c r="F1027" s="3" t="s">
        <v>4207</v>
      </c>
      <c r="G1027" s="3" t="s">
        <v>4208</v>
      </c>
    </row>
    <row r="1028" spans="1:7">
      <c r="A1028" s="6">
        <v>42921</v>
      </c>
      <c r="B1028" s="3" t="s">
        <v>3494</v>
      </c>
      <c r="C1028" s="3" t="s">
        <v>14</v>
      </c>
      <c r="D1028" s="8" t="str">
        <f>HYPERLINK("http://npthd.inbcu.com/ViewContent.aspx?filename=NPMR_NBC_2017-07-05_E.MP4$4741$4746","Midnight Texas")</f>
        <v>Midnight Texas</v>
      </c>
      <c r="E1028" s="3" t="s">
        <v>54</v>
      </c>
      <c r="F1028" s="3" t="s">
        <v>4208</v>
      </c>
      <c r="G1028" s="3" t="s">
        <v>3469</v>
      </c>
    </row>
    <row r="1029" spans="1:7">
      <c r="A1029" s="6">
        <v>42921</v>
      </c>
      <c r="B1029" s="3" t="s">
        <v>3494</v>
      </c>
      <c r="C1029" s="3" t="s">
        <v>18</v>
      </c>
      <c r="D1029" s="8" t="str">
        <f>HYPERLINK("http://npthd.inbcu.com/ViewContent.aspx?filename=NPMR_NBC_2017-07-05_E.MP4$4746$5213","THE CARMICHAEL SHOW: morris")</f>
        <v>THE CARMICHAEL SHOW: morris</v>
      </c>
      <c r="E1029" s="3" t="s">
        <v>68</v>
      </c>
      <c r="F1029" s="3" t="s">
        <v>3469</v>
      </c>
      <c r="G1029" s="3" t="s">
        <v>4209</v>
      </c>
    </row>
    <row r="1030" spans="1:7">
      <c r="A1030" s="6">
        <v>42921</v>
      </c>
      <c r="B1030" s="3" t="s">
        <v>3494</v>
      </c>
      <c r="C1030" s="3" t="s">
        <v>21</v>
      </c>
      <c r="D1030" s="8" t="str">
        <f>HYPERLINK("http://npthd.inbcu.com/ViewContent.aspx?filename=NPMR_NBC_2017-07-05_E.MP4$5213$5363","COMMERCIAL")</f>
        <v>COMMERCIAL</v>
      </c>
      <c r="E1030" s="3" t="s">
        <v>28</v>
      </c>
      <c r="F1030" s="3" t="s">
        <v>4209</v>
      </c>
      <c r="G1030" s="3" t="s">
        <v>1142</v>
      </c>
    </row>
    <row r="1031" spans="1:7">
      <c r="A1031" s="6">
        <v>42921</v>
      </c>
      <c r="B1031" s="3" t="s">
        <v>3494</v>
      </c>
      <c r="C1031" s="3" t="s">
        <v>14</v>
      </c>
      <c r="D1031" s="8" t="str">
        <f>HYPERLINK("http://npthd.inbcu.com/ViewContent.aspx?filename=NPMR_NBC_2017-07-05_E.MP4$5363$5393","Marlon")</f>
        <v>Marlon</v>
      </c>
      <c r="E1031" s="3" t="s">
        <v>38</v>
      </c>
      <c r="F1031" s="3" t="s">
        <v>1142</v>
      </c>
      <c r="G1031" s="3" t="s">
        <v>4210</v>
      </c>
    </row>
    <row r="1032" spans="1:7">
      <c r="A1032" s="6">
        <v>42921</v>
      </c>
      <c r="B1032" s="3" t="s">
        <v>3494</v>
      </c>
      <c r="C1032" s="3" t="s">
        <v>18</v>
      </c>
      <c r="D1032" s="8" t="str">
        <f>HYPERLINK("http://npthd.inbcu.com/ViewContent.aspx?filename=NPMR_NBC_2017-07-05_E.MP4$5393$5502","THE CARMICHAEL SHOW: morris")</f>
        <v>THE CARMICHAEL SHOW: morris</v>
      </c>
      <c r="E1032" s="3" t="s">
        <v>4211</v>
      </c>
      <c r="F1032" s="3" t="s">
        <v>4210</v>
      </c>
      <c r="G1032" s="3" t="s">
        <v>550</v>
      </c>
    </row>
    <row r="1033" spans="1:7">
      <c r="A1033" s="6">
        <v>42921</v>
      </c>
      <c r="B1033" s="3" t="s">
        <v>3494</v>
      </c>
      <c r="C1033" s="3" t="s">
        <v>18</v>
      </c>
      <c r="D1033" s="8" t="str">
        <f>HYPERLINK("http://npthd.inbcu.com/ViewContent.aspx?filename=NPMR_NBC_2017-07-05_E.MP4$5502$5675","THE CARMICHAEL SHOW: gentrifying bobby")</f>
        <v>THE CARMICHAEL SHOW: gentrifying bobby</v>
      </c>
      <c r="E1033" s="3" t="s">
        <v>3069</v>
      </c>
      <c r="F1033" s="3" t="s">
        <v>550</v>
      </c>
      <c r="G1033" s="3" t="s">
        <v>3351</v>
      </c>
    </row>
    <row r="1034" spans="1:7">
      <c r="A1034" s="6">
        <v>42921</v>
      </c>
      <c r="B1034" s="3" t="s">
        <v>3494</v>
      </c>
      <c r="C1034" s="3" t="s">
        <v>21</v>
      </c>
      <c r="D1034" s="8" t="str">
        <f>HYPERLINK("http://npthd.inbcu.com/ViewContent.aspx?filename=NPMR_NBC_2017-07-05_E.MP4$5675$5795","COMMERCIAL")</f>
        <v>COMMERCIAL</v>
      </c>
      <c r="E1034" s="3" t="s">
        <v>43</v>
      </c>
      <c r="F1034" s="3" t="s">
        <v>3351</v>
      </c>
      <c r="G1034" s="3" t="s">
        <v>4212</v>
      </c>
    </row>
    <row r="1035" spans="1:7">
      <c r="A1035" s="6">
        <v>42921</v>
      </c>
      <c r="B1035" s="3" t="s">
        <v>3494</v>
      </c>
      <c r="C1035" s="3" t="s">
        <v>14</v>
      </c>
      <c r="D1035" s="8" t="str">
        <f>HYPERLINK("http://npthd.inbcu.com/ViewContent.aspx?filename=NPMR_NBC_2017-07-05_E.MP4$5795$5825","NBC Thursday")</f>
        <v>NBC Thursday</v>
      </c>
      <c r="E1035" s="3" t="s">
        <v>38</v>
      </c>
      <c r="F1035" s="3" t="s">
        <v>4212</v>
      </c>
      <c r="G1035" s="3" t="s">
        <v>4213</v>
      </c>
    </row>
    <row r="1036" spans="1:7">
      <c r="A1036" s="6">
        <v>42921</v>
      </c>
      <c r="B1036" s="3" t="s">
        <v>3494</v>
      </c>
      <c r="C1036" s="3" t="s">
        <v>14</v>
      </c>
      <c r="D1036" s="8" t="str">
        <f>HYPERLINK("http://npthd.inbcu.com/ViewContent.aspx?filename=NPMR_NBC_2017-07-05_E.MP4$5825$5840","Will &amp; Grace")</f>
        <v>Will &amp; Grace</v>
      </c>
      <c r="E1036" s="3" t="s">
        <v>30</v>
      </c>
      <c r="F1036" s="3" t="s">
        <v>4213</v>
      </c>
      <c r="G1036" s="3" t="s">
        <v>1504</v>
      </c>
    </row>
    <row r="1037" spans="1:7">
      <c r="A1037" s="6">
        <v>42921</v>
      </c>
      <c r="B1037" s="3" t="s">
        <v>3494</v>
      </c>
      <c r="C1037" s="3" t="s">
        <v>18</v>
      </c>
      <c r="D1037" s="8" t="str">
        <f>HYPERLINK("http://npthd.inbcu.com/ViewContent.aspx?filename=NPMR_NBC_2017-07-05_E.MP4$5840$6275","THE CARMICHAEL SHOW: gentrifying bobby")</f>
        <v>THE CARMICHAEL SHOW: gentrifying bobby</v>
      </c>
      <c r="E1037" s="3" t="s">
        <v>415</v>
      </c>
      <c r="F1037" s="3" t="s">
        <v>1504</v>
      </c>
      <c r="G1037" s="3" t="s">
        <v>4214</v>
      </c>
    </row>
    <row r="1038" spans="1:7">
      <c r="A1038" s="6">
        <v>42921</v>
      </c>
      <c r="B1038" s="3" t="s">
        <v>3494</v>
      </c>
      <c r="C1038" s="3" t="s">
        <v>21</v>
      </c>
      <c r="D1038" s="8" t="str">
        <f>HYPERLINK("http://npthd.inbcu.com/ViewContent.aspx?filename=NPMR_NBC_2017-07-05_E.MP4$6275$6395","COMMERCIAL")</f>
        <v>COMMERCIAL</v>
      </c>
      <c r="E1038" s="3" t="s">
        <v>43</v>
      </c>
      <c r="F1038" s="3" t="s">
        <v>4214</v>
      </c>
      <c r="G1038" s="3" t="s">
        <v>3090</v>
      </c>
    </row>
    <row r="1039" spans="1:7">
      <c r="A1039" s="6">
        <v>42921</v>
      </c>
      <c r="B1039" s="3" t="s">
        <v>3494</v>
      </c>
      <c r="C1039" s="3" t="s">
        <v>14</v>
      </c>
      <c r="D1039" s="8" t="str">
        <f>HYPERLINK("http://npthd.inbcu.com/ViewContent.aspx?filename=NPMR_NBC_2017-07-05_E.MP4$6395$6400","World of Dance")</f>
        <v>World of Dance</v>
      </c>
      <c r="E1039" s="3" t="s">
        <v>54</v>
      </c>
      <c r="F1039" s="3" t="s">
        <v>3090</v>
      </c>
      <c r="G1039" s="3" t="s">
        <v>4215</v>
      </c>
    </row>
    <row r="1040" spans="1:7">
      <c r="A1040" s="6">
        <v>42921</v>
      </c>
      <c r="B1040" s="3" t="s">
        <v>3494</v>
      </c>
      <c r="C1040" s="3" t="s">
        <v>32</v>
      </c>
      <c r="D1040" s="8" t="str">
        <f>HYPERLINK("http://npthd.inbcu.com/ViewContent.aspx?filename=NPMR_NBC_2017-07-05_E.MP4$6400$6491","LOCAL")</f>
        <v>LOCAL</v>
      </c>
      <c r="E1040" s="3" t="s">
        <v>77</v>
      </c>
      <c r="F1040" s="3" t="s">
        <v>4215</v>
      </c>
      <c r="G1040" s="3" t="s">
        <v>4216</v>
      </c>
    </row>
    <row r="1041" spans="1:7">
      <c r="A1041" s="6">
        <v>42921</v>
      </c>
      <c r="B1041" s="3" t="s">
        <v>3494</v>
      </c>
      <c r="C1041" s="3" t="s">
        <v>14</v>
      </c>
      <c r="D1041" s="8" t="str">
        <f>HYPERLINK("http://npthd.inbcu.com/ViewContent.aspx?filename=NPMR_NBC_2017-07-05_E.MP4$6491$6496","American Ninja Warrior")</f>
        <v>American Ninja Warrior</v>
      </c>
      <c r="E1041" s="3" t="s">
        <v>54</v>
      </c>
      <c r="F1041" s="3" t="s">
        <v>4216</v>
      </c>
      <c r="G1041" s="3" t="s">
        <v>4217</v>
      </c>
    </row>
    <row r="1042" spans="1:7">
      <c r="A1042" s="6">
        <v>42921</v>
      </c>
      <c r="B1042" s="3" t="s">
        <v>3494</v>
      </c>
      <c r="C1042" s="3" t="s">
        <v>18</v>
      </c>
      <c r="D1042" s="8" t="str">
        <f>HYPERLINK("http://npthd.inbcu.com/ViewContent.aspx?filename=NPMR_NBC_2017-07-05_E.MP4$6496$7058","THE CARMICHAEL SHOW: gentrifying bobby")</f>
        <v>THE CARMICHAEL SHOW: gentrifying bobby</v>
      </c>
      <c r="E1042" s="3" t="s">
        <v>2909</v>
      </c>
      <c r="F1042" s="3" t="s">
        <v>4217</v>
      </c>
      <c r="G1042" s="3" t="s">
        <v>4218</v>
      </c>
    </row>
    <row r="1043" spans="1:7">
      <c r="A1043" s="6">
        <v>42921</v>
      </c>
      <c r="B1043" s="3" t="s">
        <v>3494</v>
      </c>
      <c r="C1043" s="3" t="s">
        <v>21</v>
      </c>
      <c r="D1043" s="8" t="str">
        <f>HYPERLINK("http://npthd.inbcu.com/ViewContent.aspx?filename=NPMR_NBC_2017-07-05_E.MP4$7058$7177","COMMERCIAL")</f>
        <v>COMMERCIAL</v>
      </c>
      <c r="E1043" s="3" t="s">
        <v>119</v>
      </c>
      <c r="F1043" s="3" t="s">
        <v>4218</v>
      </c>
      <c r="G1043" s="3" t="s">
        <v>2215</v>
      </c>
    </row>
    <row r="1044" spans="1:7">
      <c r="A1044" s="6">
        <v>42921</v>
      </c>
      <c r="B1044" s="3" t="s">
        <v>3494</v>
      </c>
      <c r="C1044" s="3" t="s">
        <v>14</v>
      </c>
      <c r="D1044" s="8" t="str">
        <f>HYPERLINK("http://npthd.inbcu.com/ViewContent.aspx?filename=NPMR_NBC_2017-07-05_E.MP4$7177$7193","Americas Got Talent")</f>
        <v>Americas Got Talent</v>
      </c>
      <c r="E1044" s="3" t="s">
        <v>64</v>
      </c>
      <c r="F1044" s="3" t="s">
        <v>2215</v>
      </c>
      <c r="G1044" s="3" t="s">
        <v>4219</v>
      </c>
    </row>
    <row r="1045" spans="1:7">
      <c r="A1045" s="6">
        <v>42921</v>
      </c>
      <c r="B1045" s="3" t="s">
        <v>3494</v>
      </c>
      <c r="C1045" s="3" t="s">
        <v>14</v>
      </c>
      <c r="D1045" s="8" t="str">
        <f>HYPERLINK("http://npthd.inbcu.com/ViewContent.aspx?filename=NPMR_NBC_2017-07-05_E.MP4$7193$7208","Marlon")</f>
        <v>Marlon</v>
      </c>
      <c r="E1045" s="3" t="s">
        <v>30</v>
      </c>
      <c r="F1045" s="3" t="s">
        <v>4219</v>
      </c>
      <c r="G1045" s="3" t="s">
        <v>4220</v>
      </c>
    </row>
    <row r="1046" spans="1:7">
      <c r="A1046" s="6">
        <v>42921</v>
      </c>
      <c r="B1046" s="3" t="s">
        <v>3494</v>
      </c>
      <c r="C1046" s="3" t="s">
        <v>18</v>
      </c>
      <c r="D1046" s="8" t="str">
        <f>HYPERLINK("http://npthd.inbcu.com/ViewContent.aspx?filename=NPMR_NBC_2017-07-05_E.MP4$7208$7302","THE CARMICHAEL SHOW: gentrifying bobby")</f>
        <v>THE CARMICHAEL SHOW: gentrifying bobby</v>
      </c>
      <c r="E1046" s="3" t="s">
        <v>1917</v>
      </c>
      <c r="F1046" s="3" t="s">
        <v>4220</v>
      </c>
      <c r="G1046" s="3" t="s">
        <v>394</v>
      </c>
    </row>
    <row r="1047" spans="1:7">
      <c r="A1047" s="6">
        <v>42921</v>
      </c>
      <c r="B1047" s="3" t="s">
        <v>3494</v>
      </c>
      <c r="C1047" s="3" t="s">
        <v>18</v>
      </c>
      <c r="D1047" s="8" t="str">
        <f>HYPERLINK("http://npthd.inbcu.com/ViewContent.aspx?filename=NPMR_NBC_2017-07-05_E.MP4$7302$7755","THIS IS US: the best washing machine in the whole world")</f>
        <v>THIS IS US: the best washing machine in the whole world</v>
      </c>
      <c r="E1047" s="3" t="s">
        <v>1758</v>
      </c>
      <c r="F1047" s="3" t="s">
        <v>394</v>
      </c>
      <c r="G1047" s="3" t="s">
        <v>282</v>
      </c>
    </row>
    <row r="1048" spans="1:7">
      <c r="A1048" s="6">
        <v>42921</v>
      </c>
      <c r="B1048" s="3" t="s">
        <v>3494</v>
      </c>
      <c r="C1048" s="3" t="s">
        <v>21</v>
      </c>
      <c r="D1048" s="8" t="str">
        <f>HYPERLINK("http://npthd.inbcu.com/ViewContent.aspx?filename=NPMR_NBC_2017-07-05_E.MP4$7755$7937","COMMERCIAL")</f>
        <v>COMMERCIAL</v>
      </c>
      <c r="E1048" s="3" t="s">
        <v>275</v>
      </c>
      <c r="F1048" s="3" t="s">
        <v>282</v>
      </c>
      <c r="G1048" s="3" t="s">
        <v>284</v>
      </c>
    </row>
    <row r="1049" spans="1:7">
      <c r="A1049" s="6">
        <v>42921</v>
      </c>
      <c r="B1049" s="3" t="s">
        <v>3494</v>
      </c>
      <c r="C1049" s="3" t="s">
        <v>14</v>
      </c>
      <c r="D1049" s="8" t="str">
        <f>HYPERLINK("http://npthd.inbcu.com/ViewContent.aspx?filename=NPMR_NBC_2017-07-05_E.MP4$7937$7952","Midnight Texas")</f>
        <v>Midnight Texas</v>
      </c>
      <c r="E1049" s="3" t="s">
        <v>30</v>
      </c>
      <c r="F1049" s="3" t="s">
        <v>284</v>
      </c>
      <c r="G1049" s="3" t="s">
        <v>4221</v>
      </c>
    </row>
    <row r="1050" spans="1:7">
      <c r="A1050" s="6">
        <v>42921</v>
      </c>
      <c r="B1050" s="3" t="s">
        <v>3494</v>
      </c>
      <c r="C1050" s="3" t="s">
        <v>32</v>
      </c>
      <c r="D1050" s="8" t="str">
        <f>HYPERLINK("http://npthd.inbcu.com/ViewContent.aspx?filename=NPMR_NBC_2017-07-05_E.MP4$7952$7983","LOCAL")</f>
        <v>LOCAL</v>
      </c>
      <c r="E1050" s="3" t="s">
        <v>98</v>
      </c>
      <c r="F1050" s="3" t="s">
        <v>4221</v>
      </c>
      <c r="G1050" s="3" t="s">
        <v>1014</v>
      </c>
    </row>
    <row r="1051" spans="1:7">
      <c r="A1051" s="6">
        <v>42921</v>
      </c>
      <c r="B1051" s="3" t="s">
        <v>3494</v>
      </c>
      <c r="C1051" s="3" t="s">
        <v>18</v>
      </c>
      <c r="D1051" s="8" t="str">
        <f>HYPERLINK("http://npthd.inbcu.com/ViewContent.aspx?filename=NPMR_NBC_2017-07-05_E.MP4$7983$8524","THIS IS US: the best washing machine in the whole world")</f>
        <v>THIS IS US: the best washing machine in the whole world</v>
      </c>
      <c r="E1051" s="3" t="s">
        <v>4222</v>
      </c>
      <c r="F1051" s="3" t="s">
        <v>1014</v>
      </c>
      <c r="G1051" s="3" t="s">
        <v>4223</v>
      </c>
    </row>
    <row r="1052" spans="1:7">
      <c r="A1052" s="6">
        <v>42921</v>
      </c>
      <c r="B1052" s="3" t="s">
        <v>3494</v>
      </c>
      <c r="C1052" s="3" t="s">
        <v>21</v>
      </c>
      <c r="D1052" s="8" t="str">
        <f>HYPERLINK("http://npthd.inbcu.com/ViewContent.aspx?filename=NPMR_NBC_2017-07-05_E.MP4$8524$8721","COMMERCIAL")</f>
        <v>COMMERCIAL</v>
      </c>
      <c r="E1052" s="3" t="s">
        <v>2354</v>
      </c>
      <c r="F1052" s="3" t="s">
        <v>4223</v>
      </c>
      <c r="G1052" s="3" t="s">
        <v>4224</v>
      </c>
    </row>
    <row r="1053" spans="1:7">
      <c r="A1053" s="6">
        <v>42921</v>
      </c>
      <c r="B1053" s="3" t="s">
        <v>3494</v>
      </c>
      <c r="C1053" s="3" t="s">
        <v>14</v>
      </c>
      <c r="D1053" s="8" t="str">
        <f>HYPERLINK("http://npthd.inbcu.com/ViewContent.aspx?filename=NPMR_NBC_2017-07-05_E.MP4$8721$8736","American Ninja Warrior")</f>
        <v>American Ninja Warrior</v>
      </c>
      <c r="E1053" s="3" t="s">
        <v>30</v>
      </c>
      <c r="F1053" s="3" t="s">
        <v>4224</v>
      </c>
      <c r="G1053" s="3" t="s">
        <v>4225</v>
      </c>
    </row>
    <row r="1054" spans="1:7">
      <c r="A1054" s="6">
        <v>42921</v>
      </c>
      <c r="B1054" s="3" t="s">
        <v>3494</v>
      </c>
      <c r="C1054" s="3" t="s">
        <v>18</v>
      </c>
      <c r="D1054" s="8" t="str">
        <f>HYPERLINK("http://npthd.inbcu.com/ViewContent.aspx?filename=NPMR_NBC_2017-07-05_E.MP4$8736$9200","THIS IS US: the best washing machine in the whole world")</f>
        <v>THIS IS US: the best washing machine in the whole world</v>
      </c>
      <c r="E1054" s="3" t="s">
        <v>1582</v>
      </c>
      <c r="F1054" s="3" t="s">
        <v>4225</v>
      </c>
      <c r="G1054" s="3" t="s">
        <v>4226</v>
      </c>
    </row>
    <row r="1055" spans="1:7">
      <c r="A1055" s="6">
        <v>42921</v>
      </c>
      <c r="B1055" s="3" t="s">
        <v>3494</v>
      </c>
      <c r="C1055" s="3" t="s">
        <v>21</v>
      </c>
      <c r="D1055" s="8" t="str">
        <f>HYPERLINK("http://npthd.inbcu.com/ViewContent.aspx?filename=NPMR_NBC_2017-07-05_E.MP4$9200$9261","COMMERCIAL")</f>
        <v>COMMERCIAL</v>
      </c>
      <c r="E1055" s="3" t="s">
        <v>33</v>
      </c>
      <c r="F1055" s="3" t="s">
        <v>4226</v>
      </c>
      <c r="G1055" s="3" t="s">
        <v>4227</v>
      </c>
    </row>
    <row r="1056" spans="1:7">
      <c r="A1056" s="6">
        <v>42921</v>
      </c>
      <c r="B1056" s="3" t="s">
        <v>3494</v>
      </c>
      <c r="C1056" s="3" t="s">
        <v>14</v>
      </c>
      <c r="D1056" s="8" t="str">
        <f>HYPERLINK("http://npthd.inbcu.com/ViewContent.aspx?filename=NPMR_NBC_2017-07-05_E.MP4$9261$9266","Late Night with Seth Meyers")</f>
        <v>Late Night with Seth Meyers</v>
      </c>
      <c r="E1056" s="3" t="s">
        <v>54</v>
      </c>
      <c r="F1056" s="3" t="s">
        <v>4227</v>
      </c>
      <c r="G1056" s="3" t="s">
        <v>4228</v>
      </c>
    </row>
    <row r="1057" spans="1:7">
      <c r="A1057" s="6">
        <v>42921</v>
      </c>
      <c r="B1057" s="3" t="s">
        <v>3494</v>
      </c>
      <c r="C1057" s="3" t="s">
        <v>32</v>
      </c>
      <c r="D1057" s="8" t="str">
        <f>HYPERLINK("http://npthd.inbcu.com/ViewContent.aspx?filename=NPMR_NBC_2017-07-05_E.MP4$9266$9402","LOCAL")</f>
        <v>LOCAL</v>
      </c>
      <c r="E1057" s="3" t="s">
        <v>668</v>
      </c>
      <c r="F1057" s="3" t="s">
        <v>4228</v>
      </c>
      <c r="G1057" s="3" t="s">
        <v>4229</v>
      </c>
    </row>
    <row r="1058" spans="1:7">
      <c r="A1058" s="6">
        <v>42921</v>
      </c>
      <c r="B1058" s="3" t="s">
        <v>3494</v>
      </c>
      <c r="C1058" s="3" t="s">
        <v>14</v>
      </c>
      <c r="D1058" s="8" t="str">
        <f>HYPERLINK("http://npthd.inbcu.com/ViewContent.aspx?filename=NPMR_NBC_2017-07-05_E.MP4$9402$9411","Tonight Show starring Jimmy Fallon, The")</f>
        <v>Tonight Show starring Jimmy Fallon, The</v>
      </c>
      <c r="E1058" s="3" t="s">
        <v>2074</v>
      </c>
      <c r="F1058" s="3" t="s">
        <v>4229</v>
      </c>
      <c r="G1058" s="3" t="s">
        <v>4230</v>
      </c>
    </row>
    <row r="1059" spans="1:7">
      <c r="A1059" s="6">
        <v>42921</v>
      </c>
      <c r="B1059" s="3" t="s">
        <v>3494</v>
      </c>
      <c r="C1059" s="3" t="s">
        <v>14</v>
      </c>
      <c r="D1059" s="8" t="str">
        <f>HYPERLINK("http://npthd.inbcu.com/ViewContent.aspx?filename=NPMR_NBC_2017-07-05_E.MP4$9411$9416","Americas Got Talent")</f>
        <v>Americas Got Talent</v>
      </c>
      <c r="E1059" s="3" t="s">
        <v>54</v>
      </c>
      <c r="F1059" s="3" t="s">
        <v>4230</v>
      </c>
      <c r="G1059" s="3" t="s">
        <v>4231</v>
      </c>
    </row>
    <row r="1060" spans="1:7">
      <c r="A1060" s="6">
        <v>42921</v>
      </c>
      <c r="B1060" s="3" t="s">
        <v>3494</v>
      </c>
      <c r="C1060" s="3" t="s">
        <v>18</v>
      </c>
      <c r="D1060" s="8" t="str">
        <f>HYPERLINK("http://npthd.inbcu.com/ViewContent.aspx?filename=NPMR_NBC_2017-07-05_E.MP4$9416$9740","THIS IS US: the best washing machine in the whole world")</f>
        <v>THIS IS US: the best washing machine in the whole world</v>
      </c>
      <c r="E1060" s="3" t="s">
        <v>2322</v>
      </c>
      <c r="F1060" s="3" t="s">
        <v>4231</v>
      </c>
      <c r="G1060" s="3" t="s">
        <v>4232</v>
      </c>
    </row>
    <row r="1061" spans="1:7">
      <c r="A1061" s="6">
        <v>42921</v>
      </c>
      <c r="B1061" s="3" t="s">
        <v>3494</v>
      </c>
      <c r="C1061" s="3" t="s">
        <v>21</v>
      </c>
      <c r="D1061" s="8" t="str">
        <f>HYPERLINK("http://npthd.inbcu.com/ViewContent.aspx?filename=NPMR_NBC_2017-07-05_E.MP4$9740$9890","COMMERCIAL")</f>
        <v>COMMERCIAL</v>
      </c>
      <c r="E1061" s="3" t="s">
        <v>28</v>
      </c>
      <c r="F1061" s="3" t="s">
        <v>4232</v>
      </c>
      <c r="G1061" s="3" t="s">
        <v>4233</v>
      </c>
    </row>
    <row r="1062" spans="1:7">
      <c r="A1062" s="6">
        <v>42921</v>
      </c>
      <c r="B1062" s="3" t="s">
        <v>3494</v>
      </c>
      <c r="C1062" s="3" t="s">
        <v>14</v>
      </c>
      <c r="D1062" s="8" t="str">
        <f>HYPERLINK("http://npthd.inbcu.com/ViewContent.aspx?filename=NPMR_NBC_2017-07-05_E.MP4$9890$9920","NBC Thursday")</f>
        <v>NBC Thursday</v>
      </c>
      <c r="E1062" s="3" t="s">
        <v>38</v>
      </c>
      <c r="F1062" s="3" t="s">
        <v>4233</v>
      </c>
      <c r="G1062" s="3" t="s">
        <v>4234</v>
      </c>
    </row>
    <row r="1063" spans="1:7">
      <c r="A1063" s="6">
        <v>42921</v>
      </c>
      <c r="B1063" s="3" t="s">
        <v>3494</v>
      </c>
      <c r="C1063" s="3" t="s">
        <v>14</v>
      </c>
      <c r="D1063" s="8" t="str">
        <f>HYPERLINK("http://npthd.inbcu.com/ViewContent.aspx?filename=NPMR_NBC_2017-07-05_E.MP4$9920$9925","World of Dance")</f>
        <v>World of Dance</v>
      </c>
      <c r="E1063" s="3" t="s">
        <v>54</v>
      </c>
      <c r="F1063" s="3" t="s">
        <v>4234</v>
      </c>
      <c r="G1063" s="3" t="s">
        <v>4235</v>
      </c>
    </row>
    <row r="1064" spans="1:7">
      <c r="A1064" s="6">
        <v>42921</v>
      </c>
      <c r="B1064" s="3" t="s">
        <v>3494</v>
      </c>
      <c r="C1064" s="3" t="s">
        <v>18</v>
      </c>
      <c r="D1064" s="8" t="str">
        <f>HYPERLINK("http://npthd.inbcu.com/ViewContent.aspx?filename=NPMR_NBC_2017-07-05_E.MP4$9925$10266","THIS IS US: the best washing machine in the whole world")</f>
        <v>THIS IS US: the best washing machine in the whole world</v>
      </c>
      <c r="E1064" s="3" t="s">
        <v>2483</v>
      </c>
      <c r="F1064" s="3" t="s">
        <v>4235</v>
      </c>
      <c r="G1064" s="3" t="s">
        <v>4236</v>
      </c>
    </row>
    <row r="1065" spans="1:7">
      <c r="A1065" s="6">
        <v>42921</v>
      </c>
      <c r="B1065" s="3" t="s">
        <v>3494</v>
      </c>
      <c r="C1065" s="3" t="s">
        <v>21</v>
      </c>
      <c r="D1065" s="8" t="str">
        <f>HYPERLINK("http://npthd.inbcu.com/ViewContent.aspx?filename=NPMR_NBC_2017-07-05_E.MP4$10266$10326","COMMERCIAL")</f>
        <v>COMMERCIAL</v>
      </c>
      <c r="E1065" s="3" t="s">
        <v>66</v>
      </c>
      <c r="F1065" s="3" t="s">
        <v>4236</v>
      </c>
      <c r="G1065" s="3" t="s">
        <v>497</v>
      </c>
    </row>
    <row r="1066" spans="1:7">
      <c r="A1066" s="6">
        <v>42921</v>
      </c>
      <c r="B1066" s="3" t="s">
        <v>3494</v>
      </c>
      <c r="C1066" s="3" t="s">
        <v>14</v>
      </c>
      <c r="D1066" s="8" t="str">
        <f>HYPERLINK("http://npthd.inbcu.com/ViewContent.aspx?filename=NPMR_NBC_2017-07-05_E.MP4$10326$10341","Fast and Furious (DVD)")</f>
        <v>Fast and Furious (DVD)</v>
      </c>
      <c r="E1066" s="3" t="s">
        <v>30</v>
      </c>
      <c r="F1066" s="3" t="s">
        <v>497</v>
      </c>
      <c r="G1066" s="3" t="s">
        <v>498</v>
      </c>
    </row>
    <row r="1067" spans="1:7">
      <c r="A1067" s="6">
        <v>42921</v>
      </c>
      <c r="B1067" s="3" t="s">
        <v>3494</v>
      </c>
      <c r="C1067" s="3" t="s">
        <v>32</v>
      </c>
      <c r="D1067" s="8" t="str">
        <f>HYPERLINK("http://npthd.inbcu.com/ViewContent.aspx?filename=NPMR_NBC_2017-07-05_E.MP4$10341$10431","LOCAL")</f>
        <v>LOCAL</v>
      </c>
      <c r="E1067" s="3" t="s">
        <v>46</v>
      </c>
      <c r="F1067" s="3" t="s">
        <v>498</v>
      </c>
      <c r="G1067" s="3" t="s">
        <v>846</v>
      </c>
    </row>
    <row r="1068" spans="1:7">
      <c r="A1068" s="6">
        <v>42921</v>
      </c>
      <c r="B1068" s="3" t="s">
        <v>3494</v>
      </c>
      <c r="C1068" s="3" t="s">
        <v>14</v>
      </c>
      <c r="D1068" s="8" t="str">
        <f>HYPERLINK("http://npthd.inbcu.com/ViewContent.aspx?filename=NPMR_NBC_2017-07-05_E.MP4$10431$10461","Brave, The")</f>
        <v>Brave, The</v>
      </c>
      <c r="E1068" s="3" t="s">
        <v>38</v>
      </c>
      <c r="F1068" s="3" t="s">
        <v>846</v>
      </c>
      <c r="G1068" s="3" t="s">
        <v>4237</v>
      </c>
    </row>
    <row r="1069" spans="1:7">
      <c r="A1069" s="6">
        <v>42921</v>
      </c>
      <c r="B1069" s="3" t="s">
        <v>3494</v>
      </c>
      <c r="C1069" s="3" t="s">
        <v>18</v>
      </c>
      <c r="D1069" s="8" t="str">
        <f>HYPERLINK("http://npthd.inbcu.com/ViewContent.aspx?filename=NPMR_NBC_2017-07-05_E.MP4$10461$10835","THIS IS US: the best washing machine in the whole world")</f>
        <v>THIS IS US: the best washing machine in the whole world</v>
      </c>
      <c r="E1069" s="3" t="s">
        <v>1255</v>
      </c>
      <c r="F1069" s="3" t="s">
        <v>4237</v>
      </c>
      <c r="G1069" s="3" t="s">
        <v>4238</v>
      </c>
    </row>
    <row r="1070" spans="1:7">
      <c r="A1070" s="6">
        <v>42921</v>
      </c>
      <c r="B1070" s="3" t="s">
        <v>3494</v>
      </c>
      <c r="C1070" s="3" t="s">
        <v>14</v>
      </c>
      <c r="D1070" s="8" t="str">
        <f>HYPERLINK("http://npthd.inbcu.com/ViewContent.aspx?filename=NPMR_NBC_2017-07-05_E.MP4$10835$10866","This Is Us")</f>
        <v>This Is Us</v>
      </c>
      <c r="E1070" s="3" t="s">
        <v>98</v>
      </c>
      <c r="F1070" s="3" t="s">
        <v>4238</v>
      </c>
      <c r="G1070" s="3" t="s">
        <v>3553</v>
      </c>
    </row>
    <row r="1071" spans="1:7">
      <c r="A1071" s="6">
        <v>42921</v>
      </c>
      <c r="B1071" s="3" t="s">
        <v>3494</v>
      </c>
      <c r="C1071" s="3" t="s">
        <v>18</v>
      </c>
      <c r="D1071" s="8" t="str">
        <f>HYPERLINK("http://npthd.inbcu.com/ViewContent.aspx?filename=NPMR_NBC_2017-07-05_E.MP4$10866$10872","THIS IS US: the best washing machine in the whole world")</f>
        <v>THIS IS US: the best washing machine in the whole world</v>
      </c>
      <c r="E1071" s="3" t="s">
        <v>15</v>
      </c>
      <c r="F1071" s="3" t="s">
        <v>3553</v>
      </c>
      <c r="G1071" s="3" t="s">
        <v>3554</v>
      </c>
    </row>
    <row r="1072" spans="1:7">
      <c r="A1072" s="6">
        <v>42921</v>
      </c>
      <c r="B1072" s="3" t="s">
        <v>3494</v>
      </c>
      <c r="C1072" s="3" t="s">
        <v>32</v>
      </c>
      <c r="D1072" s="8" t="str">
        <f>HYPERLINK("http://npthd.inbcu.com/ViewContent.aspx?filename=NPMR_NBC_2017-07-05_E.MP4$10872$10902","LOCAL")</f>
        <v>LOCAL</v>
      </c>
      <c r="E1072" s="3" t="s">
        <v>38</v>
      </c>
      <c r="F1072" s="3" t="s">
        <v>3554</v>
      </c>
      <c r="G1072" s="3" t="s">
        <v>124</v>
      </c>
    </row>
    <row r="1073" spans="1:7">
      <c r="A1073" s="6">
        <v>42922</v>
      </c>
      <c r="B1073" s="3" t="s">
        <v>3494</v>
      </c>
      <c r="C1073" s="3" t="s">
        <v>18</v>
      </c>
      <c r="D1073" s="8" t="str">
        <f>HYPERLINK("http://npthd.inbcu.com/ViewContent.aspx?filename=NPMR_NBC_2017-07-06_E.MP4$101$721","HOLLYWOOD GAME NIGHT: super duper store night")</f>
        <v>HOLLYWOOD GAME NIGHT: super duper store night</v>
      </c>
      <c r="E1073" s="3" t="s">
        <v>367</v>
      </c>
      <c r="F1073" s="3" t="s">
        <v>16</v>
      </c>
      <c r="G1073" s="3" t="s">
        <v>1314</v>
      </c>
    </row>
    <row r="1074" spans="1:7">
      <c r="A1074" s="6">
        <v>42922</v>
      </c>
      <c r="B1074" s="3" t="s">
        <v>3494</v>
      </c>
      <c r="C1074" s="3" t="s">
        <v>21</v>
      </c>
      <c r="D1074" s="8" t="str">
        <f>HYPERLINK("http://npthd.inbcu.com/ViewContent.aspx?filename=NPMR_NBC_2017-07-06_E.MP4$721$901","COMMERCIAL")</f>
        <v>COMMERCIAL</v>
      </c>
      <c r="E1074" s="3" t="s">
        <v>22</v>
      </c>
      <c r="F1074" s="3" t="s">
        <v>1314</v>
      </c>
      <c r="G1074" s="3" t="s">
        <v>3917</v>
      </c>
    </row>
    <row r="1075" spans="1:7">
      <c r="A1075" s="6">
        <v>42922</v>
      </c>
      <c r="B1075" s="3" t="s">
        <v>3494</v>
      </c>
      <c r="C1075" s="3" t="s">
        <v>14</v>
      </c>
      <c r="D1075" s="8" t="str">
        <f>HYPERLINK("http://npthd.inbcu.com/ViewContent.aspx?filename=NPMR_NBC_2017-07-06_E.MP4$901$916","Night Shift, The")</f>
        <v>Night Shift, The</v>
      </c>
      <c r="E1075" s="3" t="s">
        <v>30</v>
      </c>
      <c r="F1075" s="3" t="s">
        <v>3917</v>
      </c>
      <c r="G1075" s="3" t="s">
        <v>3453</v>
      </c>
    </row>
    <row r="1076" spans="1:7">
      <c r="A1076" s="6">
        <v>42922</v>
      </c>
      <c r="B1076" s="3" t="s">
        <v>3494</v>
      </c>
      <c r="C1076" s="3" t="s">
        <v>14</v>
      </c>
      <c r="D1076" s="8" t="str">
        <f>HYPERLINK("http://npthd.inbcu.com/ViewContent.aspx?filename=NPMR_NBC_2017-07-06_E.MP4$916$931","Fast and Furious (DVD)")</f>
        <v>Fast and Furious (DVD)</v>
      </c>
      <c r="E1076" s="3" t="s">
        <v>30</v>
      </c>
      <c r="F1076" s="3" t="s">
        <v>3453</v>
      </c>
      <c r="G1076" s="3" t="s">
        <v>4239</v>
      </c>
    </row>
    <row r="1077" spans="1:7">
      <c r="A1077" s="6">
        <v>42922</v>
      </c>
      <c r="B1077" s="3" t="s">
        <v>3494</v>
      </c>
      <c r="C1077" s="3" t="s">
        <v>18</v>
      </c>
      <c r="D1077" s="8" t="str">
        <f>HYPERLINK("http://npthd.inbcu.com/ViewContent.aspx?filename=NPMR_NBC_2017-07-06_E.MP4$931$1470","HOLLYWOOD GAME NIGHT: super duper store night")</f>
        <v>HOLLYWOOD GAME NIGHT: super duper store night</v>
      </c>
      <c r="E1077" s="3" t="s">
        <v>1054</v>
      </c>
      <c r="F1077" s="3" t="s">
        <v>4239</v>
      </c>
      <c r="G1077" s="3" t="s">
        <v>4240</v>
      </c>
    </row>
    <row r="1078" spans="1:7">
      <c r="A1078" s="6">
        <v>42922</v>
      </c>
      <c r="B1078" s="3" t="s">
        <v>3494</v>
      </c>
      <c r="C1078" s="3" t="s">
        <v>21</v>
      </c>
      <c r="D1078" s="8" t="str">
        <f>HYPERLINK("http://npthd.inbcu.com/ViewContent.aspx?filename=NPMR_NBC_2017-07-06_E.MP4$1470$1560","COMMERCIAL")</f>
        <v>COMMERCIAL</v>
      </c>
      <c r="E1078" s="3" t="s">
        <v>46</v>
      </c>
      <c r="F1078" s="3" t="s">
        <v>4240</v>
      </c>
      <c r="G1078" s="3" t="s">
        <v>3119</v>
      </c>
    </row>
    <row r="1079" spans="1:7">
      <c r="A1079" s="6">
        <v>42922</v>
      </c>
      <c r="B1079" s="3" t="s">
        <v>3494</v>
      </c>
      <c r="C1079" s="3" t="s">
        <v>14</v>
      </c>
      <c r="D1079" s="8" t="str">
        <f>HYPERLINK("http://npthd.inbcu.com/ViewContent.aspx?filename=NPMR_NBC_2017-07-06_E.MP4$1560$1575","American Ninja Warrior")</f>
        <v>American Ninja Warrior</v>
      </c>
      <c r="E1079" s="3" t="s">
        <v>30</v>
      </c>
      <c r="F1079" s="3" t="s">
        <v>3119</v>
      </c>
      <c r="G1079" s="3" t="s">
        <v>2697</v>
      </c>
    </row>
    <row r="1080" spans="1:7">
      <c r="A1080" s="6">
        <v>42922</v>
      </c>
      <c r="B1080" s="3" t="s">
        <v>3494</v>
      </c>
      <c r="C1080" s="3" t="s">
        <v>32</v>
      </c>
      <c r="D1080" s="8" t="str">
        <f>HYPERLINK("http://npthd.inbcu.com/ViewContent.aspx?filename=NPMR_NBC_2017-07-06_E.MP4$1575$1669","LOCAL")</f>
        <v>LOCAL</v>
      </c>
      <c r="E1080" s="3" t="s">
        <v>1917</v>
      </c>
      <c r="F1080" s="3" t="s">
        <v>2697</v>
      </c>
      <c r="G1080" s="3" t="s">
        <v>4241</v>
      </c>
    </row>
    <row r="1081" spans="1:7">
      <c r="A1081" s="6">
        <v>42922</v>
      </c>
      <c r="B1081" s="3" t="s">
        <v>3494</v>
      </c>
      <c r="C1081" s="3" t="s">
        <v>14</v>
      </c>
      <c r="D1081" s="8" t="str">
        <f>HYPERLINK("http://npthd.inbcu.com/ViewContent.aspx?filename=NPMR_NBC_2017-07-06_E.MP4$1669$1684","NFL Network")</f>
        <v>NFL Network</v>
      </c>
      <c r="E1081" s="3" t="s">
        <v>30</v>
      </c>
      <c r="F1081" s="3" t="s">
        <v>4241</v>
      </c>
      <c r="G1081" s="3" t="s">
        <v>4242</v>
      </c>
    </row>
    <row r="1082" spans="1:7">
      <c r="A1082" s="6">
        <v>42922</v>
      </c>
      <c r="B1082" s="3" t="s">
        <v>3494</v>
      </c>
      <c r="C1082" s="3" t="s">
        <v>18</v>
      </c>
      <c r="D1082" s="8" t="str">
        <f>HYPERLINK("http://npthd.inbcu.com/ViewContent.aspx?filename=NPMR_NBC_2017-07-06_E.MP4$1684$2200","HOLLYWOOD GAME NIGHT: super duper store night")</f>
        <v>HOLLYWOOD GAME NIGHT: super duper store night</v>
      </c>
      <c r="E1082" s="3" t="s">
        <v>499</v>
      </c>
      <c r="F1082" s="3" t="s">
        <v>4242</v>
      </c>
      <c r="G1082" s="3" t="s">
        <v>1948</v>
      </c>
    </row>
    <row r="1083" spans="1:7">
      <c r="A1083" s="6">
        <v>42922</v>
      </c>
      <c r="B1083" s="3" t="s">
        <v>3494</v>
      </c>
      <c r="C1083" s="3" t="s">
        <v>14</v>
      </c>
      <c r="D1083" s="8" t="str">
        <f>HYPERLINK("http://npthd.inbcu.com/ViewContent.aspx?filename=NPMR_NBC_2017-07-06_E.MP4$2200$2216","Americas Got Talent")</f>
        <v>Americas Got Talent</v>
      </c>
      <c r="E1083" s="3" t="s">
        <v>64</v>
      </c>
      <c r="F1083" s="3" t="s">
        <v>1948</v>
      </c>
      <c r="G1083" s="3" t="s">
        <v>2903</v>
      </c>
    </row>
    <row r="1084" spans="1:7">
      <c r="A1084" s="6">
        <v>42922</v>
      </c>
      <c r="B1084" s="3" t="s">
        <v>3494</v>
      </c>
      <c r="C1084" s="3" t="s">
        <v>21</v>
      </c>
      <c r="D1084" s="8" t="str">
        <f>HYPERLINK("http://npthd.inbcu.com/ViewContent.aspx?filename=NPMR_NBC_2017-07-06_E.MP4$2216$2396","COMMERCIAL")</f>
        <v>COMMERCIAL</v>
      </c>
      <c r="E1084" s="3" t="s">
        <v>22</v>
      </c>
      <c r="F1084" s="3" t="s">
        <v>2903</v>
      </c>
      <c r="G1084" s="3" t="s">
        <v>4243</v>
      </c>
    </row>
    <row r="1085" spans="1:7">
      <c r="A1085" s="6">
        <v>42922</v>
      </c>
      <c r="B1085" s="3" t="s">
        <v>3494</v>
      </c>
      <c r="C1085" s="3" t="s">
        <v>14</v>
      </c>
      <c r="D1085" s="8" t="str">
        <f>HYPERLINK("http://npthd.inbcu.com/ViewContent.aspx?filename=NPMR_NBC_2017-07-06_E.MP4$2396$2412","World of Dance")</f>
        <v>World of Dance</v>
      </c>
      <c r="E1085" s="3" t="s">
        <v>64</v>
      </c>
      <c r="F1085" s="3" t="s">
        <v>4243</v>
      </c>
      <c r="G1085" s="3" t="s">
        <v>4244</v>
      </c>
    </row>
    <row r="1086" spans="1:7">
      <c r="A1086" s="6">
        <v>42922</v>
      </c>
      <c r="B1086" s="3" t="s">
        <v>3494</v>
      </c>
      <c r="C1086" s="3" t="s">
        <v>18</v>
      </c>
      <c r="D1086" s="8" t="str">
        <f>HYPERLINK("http://npthd.inbcu.com/ViewContent.aspx?filename=NPMR_NBC_2017-07-06_E.MP4$2412$2747","HOLLYWOOD GAME NIGHT: super duper store night")</f>
        <v>HOLLYWOOD GAME NIGHT: super duper store night</v>
      </c>
      <c r="E1086" s="3" t="s">
        <v>1668</v>
      </c>
      <c r="F1086" s="3" t="s">
        <v>4244</v>
      </c>
      <c r="G1086" s="3" t="s">
        <v>2402</v>
      </c>
    </row>
    <row r="1087" spans="1:7">
      <c r="A1087" s="6">
        <v>42922</v>
      </c>
      <c r="B1087" s="3" t="s">
        <v>3494</v>
      </c>
      <c r="C1087" s="3" t="s">
        <v>21</v>
      </c>
      <c r="D1087" s="8" t="str">
        <f>HYPERLINK("http://npthd.inbcu.com/ViewContent.aspx?filename=NPMR_NBC_2017-07-06_E.MP4$2747$2867","COMMERCIAL")</f>
        <v>COMMERCIAL</v>
      </c>
      <c r="E1087" s="3" t="s">
        <v>43</v>
      </c>
      <c r="F1087" s="3" t="s">
        <v>2402</v>
      </c>
      <c r="G1087" s="3" t="s">
        <v>47</v>
      </c>
    </row>
    <row r="1088" spans="1:7">
      <c r="A1088" s="6">
        <v>42922</v>
      </c>
      <c r="B1088" s="3" t="s">
        <v>3494</v>
      </c>
      <c r="C1088" s="3" t="s">
        <v>14</v>
      </c>
      <c r="D1088" s="8" t="str">
        <f>HYPERLINK("http://npthd.inbcu.com/ViewContent.aspx?filename=NPMR_NBC_2017-07-06_E.MP4$2867$2872","Midnight Texas")</f>
        <v>Midnight Texas</v>
      </c>
      <c r="E1088" s="3" t="s">
        <v>54</v>
      </c>
      <c r="F1088" s="3" t="s">
        <v>47</v>
      </c>
      <c r="G1088" s="3" t="s">
        <v>628</v>
      </c>
    </row>
    <row r="1089" spans="1:7">
      <c r="A1089" s="6">
        <v>42922</v>
      </c>
      <c r="B1089" s="3" t="s">
        <v>3494</v>
      </c>
      <c r="C1089" s="3" t="s">
        <v>32</v>
      </c>
      <c r="D1089" s="8" t="str">
        <f>HYPERLINK("http://npthd.inbcu.com/ViewContent.aspx?filename=NPMR_NBC_2017-07-06_E.MP4$2872$2962","LOCAL")</f>
        <v>LOCAL</v>
      </c>
      <c r="E1089" s="3" t="s">
        <v>46</v>
      </c>
      <c r="F1089" s="3" t="s">
        <v>628</v>
      </c>
      <c r="G1089" s="3" t="s">
        <v>3507</v>
      </c>
    </row>
    <row r="1090" spans="1:7">
      <c r="A1090" s="6">
        <v>42922</v>
      </c>
      <c r="B1090" s="3" t="s">
        <v>3494</v>
      </c>
      <c r="C1090" s="3" t="s">
        <v>14</v>
      </c>
      <c r="D1090" s="8" t="str">
        <f>HYPERLINK("http://npthd.inbcu.com/ViewContent.aspx?filename=NPMR_NBC_2017-07-06_E.MP4$2962$2977","Wall, The")</f>
        <v>Wall, The</v>
      </c>
      <c r="E1090" s="3" t="s">
        <v>30</v>
      </c>
      <c r="F1090" s="3" t="s">
        <v>3507</v>
      </c>
      <c r="G1090" s="3" t="s">
        <v>3508</v>
      </c>
    </row>
    <row r="1091" spans="1:7">
      <c r="A1091" s="6">
        <v>42922</v>
      </c>
      <c r="B1091" s="3" t="s">
        <v>3494</v>
      </c>
      <c r="C1091" s="3" t="s">
        <v>18</v>
      </c>
      <c r="D1091" s="8" t="str">
        <f>HYPERLINK("http://npthd.inbcu.com/ViewContent.aspx?filename=NPMR_NBC_2017-07-06_E.MP4$2977$3244","HOLLYWOOD GAME NIGHT: super duper store night")</f>
        <v>HOLLYWOOD GAME NIGHT: super duper store night</v>
      </c>
      <c r="E1091" s="3" t="s">
        <v>4245</v>
      </c>
      <c r="F1091" s="3" t="s">
        <v>3508</v>
      </c>
      <c r="G1091" s="3" t="s">
        <v>4246</v>
      </c>
    </row>
    <row r="1092" spans="1:7">
      <c r="A1092" s="6">
        <v>42922</v>
      </c>
      <c r="B1092" s="3" t="s">
        <v>3494</v>
      </c>
      <c r="C1092" s="3" t="s">
        <v>21</v>
      </c>
      <c r="D1092" s="8" t="str">
        <f>HYPERLINK("http://npthd.inbcu.com/ViewContent.aspx?filename=NPMR_NBC_2017-07-06_E.MP4$3244$3425","COMMERCIAL")</f>
        <v>COMMERCIAL</v>
      </c>
      <c r="E1092" s="3" t="s">
        <v>108</v>
      </c>
      <c r="F1092" s="3" t="s">
        <v>4246</v>
      </c>
      <c r="G1092" s="3" t="s">
        <v>445</v>
      </c>
    </row>
    <row r="1093" spans="1:7">
      <c r="A1093" s="6">
        <v>42922</v>
      </c>
      <c r="B1093" s="3" t="s">
        <v>3494</v>
      </c>
      <c r="C1093" s="3" t="s">
        <v>14</v>
      </c>
      <c r="D1093" s="8" t="str">
        <f>HYPERLINK("http://npthd.inbcu.com/ViewContent.aspx?filename=NPMR_NBC_2017-07-06_E.MP4$3425$3456","Will &amp; Grace")</f>
        <v>Will &amp; Grace</v>
      </c>
      <c r="E1093" s="3" t="s">
        <v>98</v>
      </c>
      <c r="F1093" s="3" t="s">
        <v>445</v>
      </c>
      <c r="G1093" s="3" t="s">
        <v>2910</v>
      </c>
    </row>
    <row r="1094" spans="1:7">
      <c r="A1094" s="6">
        <v>42922</v>
      </c>
      <c r="B1094" s="3" t="s">
        <v>3494</v>
      </c>
      <c r="C1094" s="3" t="s">
        <v>18</v>
      </c>
      <c r="D1094" s="8" t="str">
        <f>HYPERLINK("http://npthd.inbcu.com/ViewContent.aspx?filename=NPMR_NBC_2017-07-06_E.MP4$3456$3665","HOLLYWOOD GAME NIGHT: super duper store night")</f>
        <v>HOLLYWOOD GAME NIGHT: super duper store night</v>
      </c>
      <c r="E1094" s="3" t="s">
        <v>2010</v>
      </c>
      <c r="F1094" s="3" t="s">
        <v>2910</v>
      </c>
      <c r="G1094" s="3" t="s">
        <v>3511</v>
      </c>
    </row>
    <row r="1095" spans="1:7">
      <c r="A1095" s="6">
        <v>42922</v>
      </c>
      <c r="B1095" s="3" t="s">
        <v>3494</v>
      </c>
      <c r="C1095" s="3" t="s">
        <v>14</v>
      </c>
      <c r="D1095" s="8" t="str">
        <f>HYPERLINK("http://npthd.inbcu.com/ViewContent.aspx?filename=NPMR_NBC_2017-07-06_E.MP4$3665$3679","Hollywood Game Night")</f>
        <v>Hollywood Game Night</v>
      </c>
      <c r="E1095" s="3" t="s">
        <v>342</v>
      </c>
      <c r="F1095" s="3" t="s">
        <v>3511</v>
      </c>
      <c r="G1095" s="3" t="s">
        <v>2144</v>
      </c>
    </row>
    <row r="1096" spans="1:7">
      <c r="A1096" s="6">
        <v>42922</v>
      </c>
      <c r="B1096" s="3" t="s">
        <v>3494</v>
      </c>
      <c r="C1096" s="3" t="s">
        <v>14</v>
      </c>
      <c r="D1096" s="8" t="str">
        <f>HYPERLINK("http://npthd.inbcu.com/ViewContent.aspx?filename=NPMR_NBC_2017-07-06_E.MP4$3679$3695","Wall, The")</f>
        <v>Wall, The</v>
      </c>
      <c r="E1096" s="3" t="s">
        <v>64</v>
      </c>
      <c r="F1096" s="3" t="s">
        <v>2144</v>
      </c>
      <c r="G1096" s="3" t="s">
        <v>2624</v>
      </c>
    </row>
    <row r="1097" spans="1:7">
      <c r="A1097" s="6">
        <v>42922</v>
      </c>
      <c r="B1097" s="3" t="s">
        <v>3494</v>
      </c>
      <c r="C1097" s="3" t="s">
        <v>18</v>
      </c>
      <c r="D1097" s="8" t="str">
        <f>HYPERLINK("http://npthd.inbcu.com/ViewContent.aspx?filename=NPMR_NBC_2017-07-06_E.MP4$3695$3701","HOLLYWOOD GAME NIGHT: super duper store night")</f>
        <v>HOLLYWOOD GAME NIGHT: super duper store night</v>
      </c>
      <c r="E1097" s="3" t="s">
        <v>15</v>
      </c>
      <c r="F1097" s="3" t="s">
        <v>2624</v>
      </c>
      <c r="G1097" s="3" t="s">
        <v>242</v>
      </c>
    </row>
    <row r="1098" spans="1:7">
      <c r="A1098" s="6">
        <v>42922</v>
      </c>
      <c r="B1098" s="3" t="s">
        <v>3494</v>
      </c>
      <c r="C1098" s="3" t="s">
        <v>18</v>
      </c>
      <c r="D1098" s="8" t="str">
        <f>HYPERLINK("http://npthd.inbcu.com/ViewContent.aspx?filename=NPMR_NBC_2017-07-06_E.MP4$3701$4228","THE WALL: delvar and bonnie")</f>
        <v>THE WALL: delvar and bonnie</v>
      </c>
      <c r="E1098" s="3" t="s">
        <v>1010</v>
      </c>
      <c r="F1098" s="3" t="s">
        <v>242</v>
      </c>
      <c r="G1098" s="3" t="s">
        <v>4247</v>
      </c>
    </row>
    <row r="1099" spans="1:7">
      <c r="A1099" s="6">
        <v>42922</v>
      </c>
      <c r="B1099" s="3" t="s">
        <v>3494</v>
      </c>
      <c r="C1099" s="3" t="s">
        <v>21</v>
      </c>
      <c r="D1099" s="8" t="str">
        <f>HYPERLINK("http://npthd.inbcu.com/ViewContent.aspx?filename=NPMR_NBC_2017-07-06_E.MP4$4228$4378","COMMERCIAL")</f>
        <v>COMMERCIAL</v>
      </c>
      <c r="E1099" s="3" t="s">
        <v>28</v>
      </c>
      <c r="F1099" s="3" t="s">
        <v>4247</v>
      </c>
      <c r="G1099" s="3" t="s">
        <v>4248</v>
      </c>
    </row>
    <row r="1100" spans="1:7">
      <c r="A1100" s="6">
        <v>42922</v>
      </c>
      <c r="B1100" s="3" t="s">
        <v>3494</v>
      </c>
      <c r="C1100" s="3" t="s">
        <v>14</v>
      </c>
      <c r="D1100" s="8" t="str">
        <f>HYPERLINK("http://npthd.inbcu.com/ViewContent.aspx?filename=NPMR_NBC_2017-07-06_E.MP4$4378$4408","Brave, The")</f>
        <v>Brave, The</v>
      </c>
      <c r="E1100" s="3" t="s">
        <v>38</v>
      </c>
      <c r="F1100" s="3" t="s">
        <v>4248</v>
      </c>
      <c r="G1100" s="3" t="s">
        <v>4249</v>
      </c>
    </row>
    <row r="1101" spans="1:7">
      <c r="A1101" s="6">
        <v>42922</v>
      </c>
      <c r="B1101" s="3" t="s">
        <v>3494</v>
      </c>
      <c r="C1101" s="3" t="s">
        <v>18</v>
      </c>
      <c r="D1101" s="8" t="str">
        <f>HYPERLINK("http://npthd.inbcu.com/ViewContent.aspx?filename=NPMR_NBC_2017-07-06_E.MP4$4408$5053","THE WALL: delvar and bonnie")</f>
        <v>THE WALL: delvar and bonnie</v>
      </c>
      <c r="E1101" s="3" t="s">
        <v>2534</v>
      </c>
      <c r="F1101" s="3" t="s">
        <v>4249</v>
      </c>
      <c r="G1101" s="3" t="s">
        <v>4250</v>
      </c>
    </row>
    <row r="1102" spans="1:7">
      <c r="A1102" s="6">
        <v>42922</v>
      </c>
      <c r="B1102" s="3" t="s">
        <v>3494</v>
      </c>
      <c r="C1102" s="3" t="s">
        <v>21</v>
      </c>
      <c r="D1102" s="8" t="str">
        <f>HYPERLINK("http://npthd.inbcu.com/ViewContent.aspx?filename=NPMR_NBC_2017-07-06_E.MP4$5053$5143","COMMERCIAL")</f>
        <v>COMMERCIAL</v>
      </c>
      <c r="E1102" s="3" t="s">
        <v>46</v>
      </c>
      <c r="F1102" s="3" t="s">
        <v>4250</v>
      </c>
      <c r="G1102" s="3" t="s">
        <v>3139</v>
      </c>
    </row>
    <row r="1103" spans="1:7">
      <c r="A1103" s="6">
        <v>42922</v>
      </c>
      <c r="B1103" s="3" t="s">
        <v>3494</v>
      </c>
      <c r="C1103" s="3" t="s">
        <v>14</v>
      </c>
      <c r="D1103" s="8" t="str">
        <f>HYPERLINK("http://npthd.inbcu.com/ViewContent.aspx?filename=NPMR_NBC_2017-07-06_E.MP4$5143$5158","Night Shift, The")</f>
        <v>Night Shift, The</v>
      </c>
      <c r="E1103" s="3" t="s">
        <v>30</v>
      </c>
      <c r="F1103" s="3" t="s">
        <v>3139</v>
      </c>
      <c r="G1103" s="3" t="s">
        <v>4251</v>
      </c>
    </row>
    <row r="1104" spans="1:7">
      <c r="A1104" s="6">
        <v>42922</v>
      </c>
      <c r="B1104" s="3" t="s">
        <v>3494</v>
      </c>
      <c r="C1104" s="3" t="s">
        <v>32</v>
      </c>
      <c r="D1104" s="8" t="str">
        <f>HYPERLINK("http://npthd.inbcu.com/ViewContent.aspx?filename=NPMR_NBC_2017-07-06_E.MP4$5158$5252","LOCAL")</f>
        <v>LOCAL</v>
      </c>
      <c r="E1104" s="3" t="s">
        <v>1917</v>
      </c>
      <c r="F1104" s="3" t="s">
        <v>4251</v>
      </c>
      <c r="G1104" s="3" t="s">
        <v>1568</v>
      </c>
    </row>
    <row r="1105" spans="1:7">
      <c r="A1105" s="6">
        <v>42922</v>
      </c>
      <c r="B1105" s="3" t="s">
        <v>3494</v>
      </c>
      <c r="C1105" s="3" t="s">
        <v>14</v>
      </c>
      <c r="D1105" s="8" t="str">
        <f>HYPERLINK("http://npthd.inbcu.com/ViewContent.aspx?filename=NPMR_NBC_2017-07-06_E.MP4$5252$5267","Midnight Texas")</f>
        <v>Midnight Texas</v>
      </c>
      <c r="E1105" s="3" t="s">
        <v>30</v>
      </c>
      <c r="F1105" s="3" t="s">
        <v>1568</v>
      </c>
      <c r="G1105" s="3" t="s">
        <v>4252</v>
      </c>
    </row>
    <row r="1106" spans="1:7">
      <c r="A1106" s="6">
        <v>42922</v>
      </c>
      <c r="B1106" s="3" t="s">
        <v>3494</v>
      </c>
      <c r="C1106" s="3" t="s">
        <v>18</v>
      </c>
      <c r="D1106" s="8" t="str">
        <f>HYPERLINK("http://npthd.inbcu.com/ViewContent.aspx?filename=NPMR_NBC_2017-07-06_E.MP4$5267$5680","THE WALL: delvar and bonnie")</f>
        <v>THE WALL: delvar and bonnie</v>
      </c>
      <c r="E1106" s="3" t="s">
        <v>2603</v>
      </c>
      <c r="F1106" s="3" t="s">
        <v>4252</v>
      </c>
      <c r="G1106" s="3" t="s">
        <v>2473</v>
      </c>
    </row>
    <row r="1107" spans="1:7">
      <c r="A1107" s="6">
        <v>42922</v>
      </c>
      <c r="B1107" s="3" t="s">
        <v>3494</v>
      </c>
      <c r="C1107" s="3" t="s">
        <v>14</v>
      </c>
      <c r="D1107" s="8" t="str">
        <f>HYPERLINK("http://npthd.inbcu.com/ViewContent.aspx?filename=NPMR_NBC_2017-07-06_E.MP4$5680$5695","American Ninja Warrior")</f>
        <v>American Ninja Warrior</v>
      </c>
      <c r="E1107" s="3" t="s">
        <v>30</v>
      </c>
      <c r="F1107" s="3" t="s">
        <v>2473</v>
      </c>
      <c r="G1107" s="3" t="s">
        <v>4253</v>
      </c>
    </row>
    <row r="1108" spans="1:7">
      <c r="A1108" s="6">
        <v>42922</v>
      </c>
      <c r="B1108" s="3" t="s">
        <v>3494</v>
      </c>
      <c r="C1108" s="3" t="s">
        <v>21</v>
      </c>
      <c r="D1108" s="8" t="str">
        <f>HYPERLINK("http://npthd.inbcu.com/ViewContent.aspx?filename=NPMR_NBC_2017-07-06_E.MP4$5695$5874","COMMERCIAL")</f>
        <v>COMMERCIAL</v>
      </c>
      <c r="E1108" s="3" t="s">
        <v>1141</v>
      </c>
      <c r="F1108" s="3" t="s">
        <v>4253</v>
      </c>
      <c r="G1108" s="3" t="s">
        <v>4254</v>
      </c>
    </row>
    <row r="1109" spans="1:7">
      <c r="A1109" s="6">
        <v>42922</v>
      </c>
      <c r="B1109" s="3" t="s">
        <v>3494</v>
      </c>
      <c r="C1109" s="3" t="s">
        <v>14</v>
      </c>
      <c r="D1109" s="8" t="str">
        <f>HYPERLINK("http://npthd.inbcu.com/ViewContent.aspx?filename=NPMR_NBC_2017-07-06_E.MP4$5874$5890","Spartan Race")</f>
        <v>Spartan Race</v>
      </c>
      <c r="E1109" s="3" t="s">
        <v>64</v>
      </c>
      <c r="F1109" s="3" t="s">
        <v>4254</v>
      </c>
      <c r="G1109" s="3" t="s">
        <v>264</v>
      </c>
    </row>
    <row r="1110" spans="1:7">
      <c r="A1110" s="6">
        <v>42922</v>
      </c>
      <c r="B1110" s="3" t="s">
        <v>3494</v>
      </c>
      <c r="C1110" s="3" t="s">
        <v>18</v>
      </c>
      <c r="D1110" s="8" t="str">
        <f>HYPERLINK("http://npthd.inbcu.com/ViewContent.aspx?filename=NPMR_NBC_2017-07-06_E.MP4$5890$6337","THE WALL: delvar and bonnie")</f>
        <v>THE WALL: delvar and bonnie</v>
      </c>
      <c r="E1110" s="3" t="s">
        <v>1110</v>
      </c>
      <c r="F1110" s="3" t="s">
        <v>264</v>
      </c>
      <c r="G1110" s="3" t="s">
        <v>4255</v>
      </c>
    </row>
    <row r="1111" spans="1:7">
      <c r="A1111" s="6">
        <v>42922</v>
      </c>
      <c r="B1111" s="3" t="s">
        <v>3494</v>
      </c>
      <c r="C1111" s="3" t="s">
        <v>21</v>
      </c>
      <c r="D1111" s="8" t="str">
        <f>HYPERLINK("http://npthd.inbcu.com/ViewContent.aspx?filename=NPMR_NBC_2017-07-06_E.MP4$6337$6367","COMMERCIAL")</f>
        <v>COMMERCIAL</v>
      </c>
      <c r="E1111" s="3" t="s">
        <v>38</v>
      </c>
      <c r="F1111" s="3" t="s">
        <v>4255</v>
      </c>
      <c r="G1111" s="3" t="s">
        <v>4256</v>
      </c>
    </row>
    <row r="1112" spans="1:7">
      <c r="A1112" s="6">
        <v>42922</v>
      </c>
      <c r="B1112" s="3" t="s">
        <v>3494</v>
      </c>
      <c r="C1112" s="3" t="s">
        <v>14</v>
      </c>
      <c r="D1112" s="8" t="str">
        <f>HYPERLINK("http://npthd.inbcu.com/ViewContent.aspx?filename=NPMR_NBC_2017-07-06_E.MP4$6367$6382","Fast and Furious (DVD)")</f>
        <v>Fast and Furious (DVD)</v>
      </c>
      <c r="E1112" s="3" t="s">
        <v>30</v>
      </c>
      <c r="F1112" s="3" t="s">
        <v>4256</v>
      </c>
      <c r="G1112" s="3" t="s">
        <v>4257</v>
      </c>
    </row>
    <row r="1113" spans="1:7">
      <c r="A1113" s="6">
        <v>42922</v>
      </c>
      <c r="B1113" s="3" t="s">
        <v>3494</v>
      </c>
      <c r="C1113" s="3" t="s">
        <v>32</v>
      </c>
      <c r="D1113" s="8" t="str">
        <f>HYPERLINK("http://npthd.inbcu.com/ViewContent.aspx?filename=NPMR_NBC_2017-07-06_E.MP4$6382$6552","LOCAL")</f>
        <v>LOCAL</v>
      </c>
      <c r="E1113" s="3" t="s">
        <v>4054</v>
      </c>
      <c r="F1113" s="3" t="s">
        <v>4257</v>
      </c>
      <c r="G1113" s="3" t="s">
        <v>2642</v>
      </c>
    </row>
    <row r="1114" spans="1:7">
      <c r="A1114" s="6">
        <v>42922</v>
      </c>
      <c r="B1114" s="3" t="s">
        <v>3494</v>
      </c>
      <c r="C1114" s="3" t="s">
        <v>14</v>
      </c>
      <c r="D1114" s="8" t="str">
        <f>HYPERLINK("http://npthd.inbcu.com/ViewContent.aspx?filename=NPMR_NBC_2017-07-06_E.MP4$6552$6567","Americas Got Talent")</f>
        <v>Americas Got Talent</v>
      </c>
      <c r="E1114" s="3" t="s">
        <v>30</v>
      </c>
      <c r="F1114" s="3" t="s">
        <v>2642</v>
      </c>
      <c r="G1114" s="3" t="s">
        <v>2829</v>
      </c>
    </row>
    <row r="1115" spans="1:7">
      <c r="A1115" s="6">
        <v>42922</v>
      </c>
      <c r="B1115" s="3" t="s">
        <v>3494</v>
      </c>
      <c r="C1115" s="3" t="s">
        <v>18</v>
      </c>
      <c r="D1115" s="8" t="str">
        <f>HYPERLINK("http://npthd.inbcu.com/ViewContent.aspx?filename=NPMR_NBC_2017-07-06_E.MP4$6567$6864","THE WALL: delvar and bonnie")</f>
        <v>THE WALL: delvar and bonnie</v>
      </c>
      <c r="E1115" s="3" t="s">
        <v>974</v>
      </c>
      <c r="F1115" s="3" t="s">
        <v>2829</v>
      </c>
      <c r="G1115" s="3" t="s">
        <v>825</v>
      </c>
    </row>
    <row r="1116" spans="1:7">
      <c r="A1116" s="6">
        <v>42922</v>
      </c>
      <c r="B1116" s="3" t="s">
        <v>3494</v>
      </c>
      <c r="C1116" s="3" t="s">
        <v>21</v>
      </c>
      <c r="D1116" s="8" t="str">
        <f>HYPERLINK("http://npthd.inbcu.com/ViewContent.aspx?filename=NPMR_NBC_2017-07-06_E.MP4$6864$7045","COMMERCIAL")</f>
        <v>COMMERCIAL</v>
      </c>
      <c r="E1116" s="3" t="s">
        <v>108</v>
      </c>
      <c r="F1116" s="3" t="s">
        <v>825</v>
      </c>
      <c r="G1116" s="3" t="s">
        <v>4258</v>
      </c>
    </row>
    <row r="1117" spans="1:7">
      <c r="A1117" s="6">
        <v>42922</v>
      </c>
      <c r="B1117" s="3" t="s">
        <v>3494</v>
      </c>
      <c r="C1117" s="3" t="s">
        <v>14</v>
      </c>
      <c r="D1117" s="8" t="str">
        <f>HYPERLINK("http://npthd.inbcu.com/ViewContent.aspx?filename=NPMR_NBC_2017-07-06_E.MP4$7045$7061","Today")</f>
        <v>Today</v>
      </c>
      <c r="E1117" s="3" t="s">
        <v>64</v>
      </c>
      <c r="F1117" s="3" t="s">
        <v>4258</v>
      </c>
      <c r="G1117" s="3" t="s">
        <v>2981</v>
      </c>
    </row>
    <row r="1118" spans="1:7">
      <c r="A1118" s="6">
        <v>42922</v>
      </c>
      <c r="B1118" s="3" t="s">
        <v>3494</v>
      </c>
      <c r="C1118" s="3" t="s">
        <v>14</v>
      </c>
      <c r="D1118" s="8" t="str">
        <f>HYPERLINK("http://npthd.inbcu.com/ViewContent.aspx?filename=NPMR_NBC_2017-07-06_E.MP4$7061$7075","Night Shift, The")</f>
        <v>Night Shift, The</v>
      </c>
      <c r="E1118" s="3" t="s">
        <v>342</v>
      </c>
      <c r="F1118" s="3" t="s">
        <v>2981</v>
      </c>
      <c r="G1118" s="3" t="s">
        <v>1080</v>
      </c>
    </row>
    <row r="1119" spans="1:7">
      <c r="A1119" s="6">
        <v>42922</v>
      </c>
      <c r="B1119" s="3" t="s">
        <v>3494</v>
      </c>
      <c r="C1119" s="3" t="s">
        <v>18</v>
      </c>
      <c r="D1119" s="8" t="str">
        <f>HYPERLINK("http://npthd.inbcu.com/ViewContent.aspx?filename=NPMR_NBC_2017-07-06_E.MP4$7075$7264","THE WALL: delvar and bonnie")</f>
        <v>THE WALL: delvar and bonnie</v>
      </c>
      <c r="E1119" s="3" t="s">
        <v>4259</v>
      </c>
      <c r="F1119" s="3" t="s">
        <v>1080</v>
      </c>
      <c r="G1119" s="3" t="s">
        <v>1366</v>
      </c>
    </row>
    <row r="1120" spans="1:7">
      <c r="A1120" s="6">
        <v>42922</v>
      </c>
      <c r="B1120" s="3" t="s">
        <v>3494</v>
      </c>
      <c r="C1120" s="3" t="s">
        <v>14</v>
      </c>
      <c r="D1120" s="8" t="str">
        <f>HYPERLINK("http://npthd.inbcu.com/ViewContent.aspx?filename=NPMR_NBC_2017-07-06_E.MP4$7264$7279","Wall, The")</f>
        <v>Wall, The</v>
      </c>
      <c r="E1120" s="3" t="s">
        <v>30</v>
      </c>
      <c r="F1120" s="3" t="s">
        <v>1366</v>
      </c>
      <c r="G1120" s="3" t="s">
        <v>3989</v>
      </c>
    </row>
    <row r="1121" spans="1:7">
      <c r="A1121" s="6">
        <v>42922</v>
      </c>
      <c r="B1121" s="3" t="s">
        <v>3494</v>
      </c>
      <c r="C1121" s="3" t="s">
        <v>14</v>
      </c>
      <c r="D1121" s="8" t="str">
        <f>HYPERLINK("http://npthd.inbcu.com/ViewContent.aspx?filename=NPMR_NBC_2017-07-06_E.MP4$7279$7294","Night Shift, The")</f>
        <v>Night Shift, The</v>
      </c>
      <c r="E1121" s="3" t="s">
        <v>30</v>
      </c>
      <c r="F1121" s="3" t="s">
        <v>3989</v>
      </c>
      <c r="G1121" s="3" t="s">
        <v>3531</v>
      </c>
    </row>
    <row r="1122" spans="1:7">
      <c r="A1122" s="6">
        <v>42922</v>
      </c>
      <c r="B1122" s="3" t="s">
        <v>3494</v>
      </c>
      <c r="C1122" s="3" t="s">
        <v>18</v>
      </c>
      <c r="D1122" s="8" t="str">
        <f>HYPERLINK("http://npthd.inbcu.com/ViewContent.aspx?filename=NPMR_NBC_2017-07-06_E.MP4$7294$7301","THE WALL: delvar and bonnie")</f>
        <v>THE WALL: delvar and bonnie</v>
      </c>
      <c r="E1122" s="3" t="s">
        <v>567</v>
      </c>
      <c r="F1122" s="3" t="s">
        <v>3531</v>
      </c>
      <c r="G1122" s="3" t="s">
        <v>394</v>
      </c>
    </row>
    <row r="1123" spans="1:7">
      <c r="A1123" s="6">
        <v>42922</v>
      </c>
      <c r="B1123" s="3" t="s">
        <v>3494</v>
      </c>
      <c r="C1123" s="3" t="s">
        <v>18</v>
      </c>
      <c r="D1123" s="8" t="str">
        <f>HYPERLINK("http://npthd.inbcu.com/ViewContent.aspx?filename=NPMR_NBC_2017-07-06_E.MP4$7301$7761","THE NIGHT SHIFT: do no harm")</f>
        <v>THE NIGHT SHIFT: do no harm</v>
      </c>
      <c r="E1123" s="3" t="s">
        <v>3602</v>
      </c>
      <c r="F1123" s="3" t="s">
        <v>394</v>
      </c>
      <c r="G1123" s="3" t="s">
        <v>4260</v>
      </c>
    </row>
    <row r="1124" spans="1:7">
      <c r="A1124" s="6">
        <v>42922</v>
      </c>
      <c r="B1124" s="3" t="s">
        <v>3494</v>
      </c>
      <c r="C1124" s="3" t="s">
        <v>21</v>
      </c>
      <c r="D1124" s="8" t="str">
        <f>HYPERLINK("http://npthd.inbcu.com/ViewContent.aspx?filename=NPMR_NBC_2017-07-06_E.MP4$7761$7912","COMMERCIAL")</f>
        <v>COMMERCIAL</v>
      </c>
      <c r="E1124" s="3" t="s">
        <v>91</v>
      </c>
      <c r="F1124" s="3" t="s">
        <v>4260</v>
      </c>
      <c r="G1124" s="3" t="s">
        <v>4261</v>
      </c>
    </row>
    <row r="1125" spans="1:7">
      <c r="A1125" s="6">
        <v>42922</v>
      </c>
      <c r="B1125" s="3" t="s">
        <v>3494</v>
      </c>
      <c r="C1125" s="3" t="s">
        <v>14</v>
      </c>
      <c r="D1125" s="8" t="str">
        <f>HYPERLINK("http://npthd.inbcu.com/ViewContent.aspx?filename=NPMR_NBC_2017-07-06_E.MP4$7912$7927","Dateline NBC")</f>
        <v>Dateline NBC</v>
      </c>
      <c r="E1125" s="3" t="s">
        <v>30</v>
      </c>
      <c r="F1125" s="3" t="s">
        <v>4261</v>
      </c>
      <c r="G1125" s="3" t="s">
        <v>4262</v>
      </c>
    </row>
    <row r="1126" spans="1:7">
      <c r="A1126" s="6">
        <v>42922</v>
      </c>
      <c r="B1126" s="3" t="s">
        <v>3494</v>
      </c>
      <c r="C1126" s="3" t="s">
        <v>32</v>
      </c>
      <c r="D1126" s="8" t="str">
        <f>HYPERLINK("http://npthd.inbcu.com/ViewContent.aspx?filename=NPMR_NBC_2017-07-06_E.MP4$7927$7958","LOCAL")</f>
        <v>LOCAL</v>
      </c>
      <c r="E1126" s="3" t="s">
        <v>98</v>
      </c>
      <c r="F1126" s="3" t="s">
        <v>4262</v>
      </c>
      <c r="G1126" s="3" t="s">
        <v>3588</v>
      </c>
    </row>
    <row r="1127" spans="1:7">
      <c r="A1127" s="6">
        <v>42922</v>
      </c>
      <c r="B1127" s="3" t="s">
        <v>3494</v>
      </c>
      <c r="C1127" s="3" t="s">
        <v>18</v>
      </c>
      <c r="D1127" s="8" t="str">
        <f>HYPERLINK("http://npthd.inbcu.com/ViewContent.aspx?filename=NPMR_NBC_2017-07-06_E.MP4$7958$8405","THE NIGHT SHIFT: do no harm")</f>
        <v>THE NIGHT SHIFT: do no harm</v>
      </c>
      <c r="E1127" s="3" t="s">
        <v>1110</v>
      </c>
      <c r="F1127" s="3" t="s">
        <v>3588</v>
      </c>
      <c r="G1127" s="3" t="s">
        <v>3100</v>
      </c>
    </row>
    <row r="1128" spans="1:7">
      <c r="A1128" s="6">
        <v>42922</v>
      </c>
      <c r="B1128" s="3" t="s">
        <v>3494</v>
      </c>
      <c r="C1128" s="3" t="s">
        <v>21</v>
      </c>
      <c r="D1128" s="8" t="str">
        <f>HYPERLINK("http://npthd.inbcu.com/ViewContent.aspx?filename=NPMR_NBC_2017-07-06_E.MP4$8405$8586","COMMERCIAL")</f>
        <v>COMMERCIAL</v>
      </c>
      <c r="E1128" s="3" t="s">
        <v>108</v>
      </c>
      <c r="F1128" s="3" t="s">
        <v>3100</v>
      </c>
      <c r="G1128" s="3" t="s">
        <v>4263</v>
      </c>
    </row>
    <row r="1129" spans="1:7">
      <c r="A1129" s="6">
        <v>42922</v>
      </c>
      <c r="B1129" s="3" t="s">
        <v>3494</v>
      </c>
      <c r="C1129" s="3" t="s">
        <v>14</v>
      </c>
      <c r="D1129" s="8" t="str">
        <f>HYPERLINK("http://npthd.inbcu.com/ViewContent.aspx?filename=NPMR_NBC_2017-07-06_E.MP4$8586$8616","Brave, The")</f>
        <v>Brave, The</v>
      </c>
      <c r="E1129" s="3" t="s">
        <v>38</v>
      </c>
      <c r="F1129" s="3" t="s">
        <v>4263</v>
      </c>
      <c r="G1129" s="3" t="s">
        <v>4264</v>
      </c>
    </row>
    <row r="1130" spans="1:7">
      <c r="A1130" s="6">
        <v>42922</v>
      </c>
      <c r="B1130" s="3" t="s">
        <v>3494</v>
      </c>
      <c r="C1130" s="3" t="s">
        <v>18</v>
      </c>
      <c r="D1130" s="8" t="str">
        <f>HYPERLINK("http://npthd.inbcu.com/ViewContent.aspx?filename=NPMR_NBC_2017-07-06_E.MP4$8616$9044","THE NIGHT SHIFT: do no harm")</f>
        <v>THE NIGHT SHIFT: do no harm</v>
      </c>
      <c r="E1130" s="3" t="s">
        <v>61</v>
      </c>
      <c r="F1130" s="3" t="s">
        <v>4264</v>
      </c>
      <c r="G1130" s="3" t="s">
        <v>1296</v>
      </c>
    </row>
    <row r="1131" spans="1:7">
      <c r="A1131" s="6">
        <v>42922</v>
      </c>
      <c r="B1131" s="3" t="s">
        <v>3494</v>
      </c>
      <c r="C1131" s="3" t="s">
        <v>21</v>
      </c>
      <c r="D1131" s="8" t="str">
        <f>HYPERLINK("http://npthd.inbcu.com/ViewContent.aspx?filename=NPMR_NBC_2017-07-06_E.MP4$9044$9135","COMMERCIAL")</f>
        <v>COMMERCIAL</v>
      </c>
      <c r="E1131" s="3" t="s">
        <v>77</v>
      </c>
      <c r="F1131" s="3" t="s">
        <v>1296</v>
      </c>
      <c r="G1131" s="3" t="s">
        <v>4265</v>
      </c>
    </row>
    <row r="1132" spans="1:7">
      <c r="A1132" s="6">
        <v>42922</v>
      </c>
      <c r="B1132" s="3" t="s">
        <v>3494</v>
      </c>
      <c r="C1132" s="3" t="s">
        <v>14</v>
      </c>
      <c r="D1132" s="8" t="str">
        <f>HYPERLINK("http://npthd.inbcu.com/ViewContent.aspx?filename=NPMR_NBC_2017-07-06_E.MP4$9135$9140","Late Night with Seth Meyers")</f>
        <v>Late Night with Seth Meyers</v>
      </c>
      <c r="E1132" s="3" t="s">
        <v>54</v>
      </c>
      <c r="F1132" s="3" t="s">
        <v>4265</v>
      </c>
      <c r="G1132" s="3" t="s">
        <v>4266</v>
      </c>
    </row>
    <row r="1133" spans="1:7">
      <c r="A1133" s="6">
        <v>42922</v>
      </c>
      <c r="B1133" s="3" t="s">
        <v>3494</v>
      </c>
      <c r="C1133" s="3" t="s">
        <v>32</v>
      </c>
      <c r="D1133" s="8" t="str">
        <f>HYPERLINK("http://npthd.inbcu.com/ViewContent.aspx?filename=NPMR_NBC_2017-07-06_E.MP4$9140$9275","LOCAL")</f>
        <v>LOCAL</v>
      </c>
      <c r="E1133" s="3" t="s">
        <v>459</v>
      </c>
      <c r="F1133" s="3" t="s">
        <v>4266</v>
      </c>
      <c r="G1133" s="3" t="s">
        <v>4267</v>
      </c>
    </row>
    <row r="1134" spans="1:7">
      <c r="A1134" s="6">
        <v>42922</v>
      </c>
      <c r="B1134" s="3" t="s">
        <v>3494</v>
      </c>
      <c r="C1134" s="3" t="s">
        <v>14</v>
      </c>
      <c r="D1134" s="8" t="str">
        <f>HYPERLINK("http://npthd.inbcu.com/ViewContent.aspx?filename=NPMR_NBC_2017-07-06_E.MP4$9275$9289","Midnight Texas")</f>
        <v>Midnight Texas</v>
      </c>
      <c r="E1134" s="3" t="s">
        <v>342</v>
      </c>
      <c r="F1134" s="3" t="s">
        <v>4267</v>
      </c>
      <c r="G1134" s="3" t="s">
        <v>2798</v>
      </c>
    </row>
    <row r="1135" spans="1:7">
      <c r="A1135" s="6">
        <v>42922</v>
      </c>
      <c r="B1135" s="3" t="s">
        <v>3494</v>
      </c>
      <c r="C1135" s="3" t="s">
        <v>18</v>
      </c>
      <c r="D1135" s="8" t="str">
        <f>HYPERLINK("http://npthd.inbcu.com/ViewContent.aspx?filename=NPMR_NBC_2017-07-06_E.MP4$9289$9556","THE NIGHT SHIFT: do no harm")</f>
        <v>THE NIGHT SHIFT: do no harm</v>
      </c>
      <c r="E1135" s="3" t="s">
        <v>4245</v>
      </c>
      <c r="F1135" s="3" t="s">
        <v>2798</v>
      </c>
      <c r="G1135" s="3" t="s">
        <v>4268</v>
      </c>
    </row>
    <row r="1136" spans="1:7">
      <c r="A1136" s="6">
        <v>42922</v>
      </c>
      <c r="B1136" s="3" t="s">
        <v>3494</v>
      </c>
      <c r="C1136" s="3" t="s">
        <v>21</v>
      </c>
      <c r="D1136" s="8" t="str">
        <f>HYPERLINK("http://npthd.inbcu.com/ViewContent.aspx?filename=NPMR_NBC_2017-07-06_E.MP4$9556$9738","COMMERCIAL")</f>
        <v>COMMERCIAL</v>
      </c>
      <c r="E1136" s="3" t="s">
        <v>275</v>
      </c>
      <c r="F1136" s="3" t="s">
        <v>4268</v>
      </c>
      <c r="G1136" s="3" t="s">
        <v>4269</v>
      </c>
    </row>
    <row r="1137" spans="1:7">
      <c r="A1137" s="6">
        <v>42922</v>
      </c>
      <c r="B1137" s="3" t="s">
        <v>3494</v>
      </c>
      <c r="C1137" s="3" t="s">
        <v>1618</v>
      </c>
      <c r="D1137" s="8" t="str">
        <f>HYPERLINK("http://npthd.inbcu.com/ViewContent.aspx?filename=NPMR_NBC_2017-07-06_E.MP4$9738$9768","PSA")</f>
        <v>PSA</v>
      </c>
      <c r="E1137" s="3" t="s">
        <v>38</v>
      </c>
      <c r="F1137" s="3" t="s">
        <v>4269</v>
      </c>
      <c r="G1137" s="3" t="s">
        <v>4270</v>
      </c>
    </row>
    <row r="1138" spans="1:7">
      <c r="A1138" s="6">
        <v>42922</v>
      </c>
      <c r="B1138" s="3" t="s">
        <v>3494</v>
      </c>
      <c r="C1138" s="3" t="s">
        <v>18</v>
      </c>
      <c r="D1138" s="8" t="str">
        <f>HYPERLINK("http://npthd.inbcu.com/ViewContent.aspx?filename=NPMR_NBC_2017-07-06_E.MP4$9768$10165","THE NIGHT SHIFT: do no harm")</f>
        <v>THE NIGHT SHIFT: do no harm</v>
      </c>
      <c r="E1138" s="3" t="s">
        <v>168</v>
      </c>
      <c r="F1138" s="3" t="s">
        <v>4270</v>
      </c>
      <c r="G1138" s="3" t="s">
        <v>4271</v>
      </c>
    </row>
    <row r="1139" spans="1:7">
      <c r="A1139" s="6">
        <v>42922</v>
      </c>
      <c r="B1139" s="3" t="s">
        <v>3494</v>
      </c>
      <c r="C1139" s="3" t="s">
        <v>21</v>
      </c>
      <c r="D1139" s="8" t="str">
        <f>HYPERLINK("http://npthd.inbcu.com/ViewContent.aspx?filename=NPMR_NBC_2017-07-06_E.MP4$10165$10317","COMMERCIAL")</f>
        <v>COMMERCIAL</v>
      </c>
      <c r="E1139" s="3" t="s">
        <v>128</v>
      </c>
      <c r="F1139" s="3" t="s">
        <v>4271</v>
      </c>
      <c r="G1139" s="3" t="s">
        <v>4272</v>
      </c>
    </row>
    <row r="1140" spans="1:7">
      <c r="A1140" s="6">
        <v>42922</v>
      </c>
      <c r="B1140" s="3" t="s">
        <v>3494</v>
      </c>
      <c r="C1140" s="3" t="s">
        <v>32</v>
      </c>
      <c r="D1140" s="8" t="str">
        <f>HYPERLINK("http://npthd.inbcu.com/ViewContent.aspx?filename=NPMR_NBC_2017-07-06_E.MP4$10317$10332","LOCAL")</f>
        <v>LOCAL</v>
      </c>
      <c r="E1140" s="3" t="s">
        <v>30</v>
      </c>
      <c r="F1140" s="3" t="s">
        <v>4272</v>
      </c>
      <c r="G1140" s="3" t="s">
        <v>4273</v>
      </c>
    </row>
    <row r="1141" spans="1:7">
      <c r="A1141" s="6">
        <v>42922</v>
      </c>
      <c r="B1141" s="3" t="s">
        <v>3494</v>
      </c>
      <c r="C1141" s="3" t="s">
        <v>14</v>
      </c>
      <c r="D1141" s="8" t="str">
        <f>HYPERLINK("http://npthd.inbcu.com/ViewContent.aspx?filename=NPMR_NBC_2017-07-06_E.MP4$10332$10342","Tonight Show starring Jimmy Fallon, The")</f>
        <v>Tonight Show starring Jimmy Fallon, The</v>
      </c>
      <c r="E1141" s="3" t="s">
        <v>197</v>
      </c>
      <c r="F1141" s="3" t="s">
        <v>4273</v>
      </c>
      <c r="G1141" s="3" t="s">
        <v>934</v>
      </c>
    </row>
    <row r="1142" spans="1:7">
      <c r="A1142" s="6">
        <v>42922</v>
      </c>
      <c r="B1142" s="3" t="s">
        <v>3494</v>
      </c>
      <c r="C1142" s="3" t="s">
        <v>14</v>
      </c>
      <c r="D1142" s="8" t="str">
        <f>HYPERLINK("http://npthd.inbcu.com/ViewContent.aspx?filename=NPMR_NBC_2017-07-06_E.MP4$10342$10347","Americas Got Talent")</f>
        <v>Americas Got Talent</v>
      </c>
      <c r="E1142" s="3" t="s">
        <v>54</v>
      </c>
      <c r="F1142" s="3" t="s">
        <v>934</v>
      </c>
      <c r="G1142" s="3" t="s">
        <v>4274</v>
      </c>
    </row>
    <row r="1143" spans="1:7">
      <c r="A1143" s="6">
        <v>42922</v>
      </c>
      <c r="B1143" s="3" t="s">
        <v>3494</v>
      </c>
      <c r="C1143" s="3" t="s">
        <v>18</v>
      </c>
      <c r="D1143" s="8" t="str">
        <f>HYPERLINK("http://npthd.inbcu.com/ViewContent.aspx?filename=NPMR_NBC_2017-07-06_E.MP4$10347$10837","THE NIGHT SHIFT: do no harm")</f>
        <v>THE NIGHT SHIFT: do no harm</v>
      </c>
      <c r="E1143" s="3" t="s">
        <v>227</v>
      </c>
      <c r="F1143" s="3" t="s">
        <v>4274</v>
      </c>
      <c r="G1143" s="3" t="s">
        <v>3805</v>
      </c>
    </row>
    <row r="1144" spans="1:7">
      <c r="A1144" s="6">
        <v>42922</v>
      </c>
      <c r="B1144" s="3" t="s">
        <v>3494</v>
      </c>
      <c r="C1144" s="3" t="s">
        <v>14</v>
      </c>
      <c r="D1144" s="8" t="str">
        <f>HYPERLINK("http://npthd.inbcu.com/ViewContent.aspx?filename=NPMR_NBC_2017-07-06_E.MP4$10837$10852","Night Shift, The")</f>
        <v>Night Shift, The</v>
      </c>
      <c r="E1144" s="3" t="s">
        <v>30</v>
      </c>
      <c r="F1144" s="3" t="s">
        <v>3805</v>
      </c>
      <c r="G1144" s="3" t="s">
        <v>2238</v>
      </c>
    </row>
    <row r="1145" spans="1:7">
      <c r="A1145" s="6">
        <v>42922</v>
      </c>
      <c r="B1145" s="3" t="s">
        <v>3494</v>
      </c>
      <c r="C1145" s="3" t="s">
        <v>14</v>
      </c>
      <c r="D1145" s="8" t="str">
        <f>HYPERLINK("http://npthd.inbcu.com/ViewContent.aspx?filename=NPMR_NBC_2017-07-06_E.MP4$10852$10867","Americas Got Talent")</f>
        <v>Americas Got Talent</v>
      </c>
      <c r="E1145" s="3" t="s">
        <v>30</v>
      </c>
      <c r="F1145" s="3" t="s">
        <v>2238</v>
      </c>
      <c r="G1145" s="3" t="s">
        <v>3604</v>
      </c>
    </row>
    <row r="1146" spans="1:7">
      <c r="A1146" s="6">
        <v>42922</v>
      </c>
      <c r="B1146" s="3" t="s">
        <v>3494</v>
      </c>
      <c r="C1146" s="3" t="s">
        <v>18</v>
      </c>
      <c r="D1146" s="8" t="str">
        <f>HYPERLINK("http://npthd.inbcu.com/ViewContent.aspx?filename=NPMR_NBC_2017-07-06_E.MP4$10867$10871","THE NIGHT SHIFT: do no harm")</f>
        <v>THE NIGHT SHIFT: do no harm</v>
      </c>
      <c r="E1146" s="3" t="s">
        <v>84</v>
      </c>
      <c r="F1146" s="3" t="s">
        <v>3604</v>
      </c>
      <c r="G1146" s="3" t="s">
        <v>3554</v>
      </c>
    </row>
    <row r="1147" spans="1:7">
      <c r="A1147" s="6">
        <v>42922</v>
      </c>
      <c r="B1147" s="3" t="s">
        <v>3494</v>
      </c>
      <c r="C1147" s="3" t="s">
        <v>32</v>
      </c>
      <c r="D1147" s="8" t="str">
        <f>HYPERLINK("http://npthd.inbcu.com/ViewContent.aspx?filename=NPMR_NBC_2017-07-06_E.MP4$10871$10901","LOCAL")</f>
        <v>LOCAL</v>
      </c>
      <c r="E1147" s="3" t="s">
        <v>38</v>
      </c>
      <c r="F1147" s="3" t="s">
        <v>3554</v>
      </c>
      <c r="G1147" s="3" t="s">
        <v>124</v>
      </c>
    </row>
    <row r="1148" spans="1:7">
      <c r="A1148" s="6">
        <v>42923</v>
      </c>
      <c r="B1148" s="3" t="s">
        <v>3494</v>
      </c>
      <c r="C1148" s="3" t="s">
        <v>18</v>
      </c>
      <c r="D1148" s="8" t="str">
        <f>HYPERLINK("http://npthd.inbcu.com/ViewContent.aspx?filename=NPMR_NBC_2017-07-07_E.MP4$100$631","AMERICAS GOT TALENT: auditions 1")</f>
        <v>AMERICAS GOT TALENT: auditions 1</v>
      </c>
      <c r="E1148" s="3" t="s">
        <v>2480</v>
      </c>
      <c r="F1148" s="3" t="s">
        <v>16</v>
      </c>
      <c r="G1148" s="3" t="s">
        <v>4275</v>
      </c>
    </row>
    <row r="1149" spans="1:7">
      <c r="A1149" s="6">
        <v>42923</v>
      </c>
      <c r="B1149" s="3" t="s">
        <v>3494</v>
      </c>
      <c r="C1149" s="3" t="s">
        <v>21</v>
      </c>
      <c r="D1149" s="8" t="str">
        <f>HYPERLINK("http://npthd.inbcu.com/ViewContent.aspx?filename=NPMR_NBC_2017-07-07_E.MP4$631$767","COMMERCIAL")</f>
        <v>COMMERCIAL</v>
      </c>
      <c r="E1149" s="3" t="s">
        <v>668</v>
      </c>
      <c r="F1149" s="3" t="s">
        <v>4275</v>
      </c>
      <c r="G1149" s="3" t="s">
        <v>1605</v>
      </c>
    </row>
    <row r="1150" spans="1:7">
      <c r="A1150" s="6">
        <v>42923</v>
      </c>
      <c r="B1150" s="3" t="s">
        <v>3494</v>
      </c>
      <c r="C1150" s="3" t="s">
        <v>32</v>
      </c>
      <c r="D1150" s="8" t="str">
        <f>HYPERLINK("http://npthd.inbcu.com/ViewContent.aspx?filename=NPMR_NBC_2017-07-07_E.MP4$767$827","LOCAL")</f>
        <v>LOCAL</v>
      </c>
      <c r="E1150" s="3" t="s">
        <v>66</v>
      </c>
      <c r="F1150" s="3" t="s">
        <v>1605</v>
      </c>
      <c r="G1150" s="3" t="s">
        <v>3856</v>
      </c>
    </row>
    <row r="1151" spans="1:7">
      <c r="A1151" s="6">
        <v>42923</v>
      </c>
      <c r="B1151" s="3" t="s">
        <v>3494</v>
      </c>
      <c r="C1151" s="3" t="s">
        <v>18</v>
      </c>
      <c r="D1151" s="8" t="str">
        <f>HYPERLINK("http://npthd.inbcu.com/ViewContent.aspx?filename=NPMR_NBC_2017-07-07_E.MP4$827$1225","AMERICAS GOT TALENT: auditions 1")</f>
        <v>AMERICAS GOT TALENT: auditions 1</v>
      </c>
      <c r="E1151" s="3" t="s">
        <v>2636</v>
      </c>
      <c r="F1151" s="3" t="s">
        <v>3856</v>
      </c>
      <c r="G1151" s="3" t="s">
        <v>1543</v>
      </c>
    </row>
    <row r="1152" spans="1:7">
      <c r="A1152" s="6">
        <v>42923</v>
      </c>
      <c r="B1152" s="3" t="s">
        <v>3494</v>
      </c>
      <c r="C1152" s="3" t="s">
        <v>21</v>
      </c>
      <c r="D1152" s="8" t="str">
        <f>HYPERLINK("http://npthd.inbcu.com/ViewContent.aspx?filename=NPMR_NBC_2017-07-07_E.MP4$1225$1316","COMMERCIAL")</f>
        <v>COMMERCIAL</v>
      </c>
      <c r="E1152" s="3" t="s">
        <v>77</v>
      </c>
      <c r="F1152" s="3" t="s">
        <v>1543</v>
      </c>
      <c r="G1152" s="3" t="s">
        <v>1545</v>
      </c>
    </row>
    <row r="1153" spans="1:7">
      <c r="A1153" s="6">
        <v>42923</v>
      </c>
      <c r="B1153" s="3" t="s">
        <v>3494</v>
      </c>
      <c r="C1153" s="3" t="s">
        <v>14</v>
      </c>
      <c r="D1153" s="8" t="str">
        <f>HYPERLINK("http://npthd.inbcu.com/ViewContent.aspx?filename=NPMR_NBC_2017-07-07_E.MP4$1316$1331","NFL Network")</f>
        <v>NFL Network</v>
      </c>
      <c r="E1153" s="3" t="s">
        <v>30</v>
      </c>
      <c r="F1153" s="3" t="s">
        <v>1545</v>
      </c>
      <c r="G1153" s="3" t="s">
        <v>4276</v>
      </c>
    </row>
    <row r="1154" spans="1:7">
      <c r="A1154" s="6">
        <v>42923</v>
      </c>
      <c r="B1154" s="3" t="s">
        <v>3494</v>
      </c>
      <c r="C1154" s="3" t="s">
        <v>32</v>
      </c>
      <c r="D1154" s="8" t="str">
        <f>HYPERLINK("http://npthd.inbcu.com/ViewContent.aspx?filename=NPMR_NBC_2017-07-07_E.MP4$1331$1395","LOCAL")</f>
        <v>LOCAL</v>
      </c>
      <c r="E1154" s="3" t="s">
        <v>1902</v>
      </c>
      <c r="F1154" s="3" t="s">
        <v>4276</v>
      </c>
      <c r="G1154" s="3" t="s">
        <v>4277</v>
      </c>
    </row>
    <row r="1155" spans="1:7">
      <c r="A1155" s="6">
        <v>42923</v>
      </c>
      <c r="B1155" s="3" t="s">
        <v>3494</v>
      </c>
      <c r="C1155" s="3" t="s">
        <v>14</v>
      </c>
      <c r="D1155" s="8" t="str">
        <f>HYPERLINK("http://npthd.inbcu.com/ViewContent.aspx?filename=NPMR_NBC_2017-07-07_E.MP4$1395$1410","Sunday Night with Megyn Kelly")</f>
        <v>Sunday Night with Megyn Kelly</v>
      </c>
      <c r="E1155" s="3" t="s">
        <v>30</v>
      </c>
      <c r="F1155" s="3" t="s">
        <v>4277</v>
      </c>
      <c r="G1155" s="3" t="s">
        <v>3609</v>
      </c>
    </row>
    <row r="1156" spans="1:7">
      <c r="A1156" s="6">
        <v>42923</v>
      </c>
      <c r="B1156" s="3" t="s">
        <v>3494</v>
      </c>
      <c r="C1156" s="3" t="s">
        <v>18</v>
      </c>
      <c r="D1156" s="8" t="str">
        <f>HYPERLINK("http://npthd.inbcu.com/ViewContent.aspx?filename=NPMR_NBC_2017-07-07_E.MP4$1410$1896","AMERICAS GOT TALENT: auditions 1")</f>
        <v>AMERICAS GOT TALENT: auditions 1</v>
      </c>
      <c r="E1156" s="3" t="s">
        <v>588</v>
      </c>
      <c r="F1156" s="3" t="s">
        <v>3609</v>
      </c>
      <c r="G1156" s="3" t="s">
        <v>2756</v>
      </c>
    </row>
    <row r="1157" spans="1:7">
      <c r="A1157" s="6">
        <v>42923</v>
      </c>
      <c r="B1157" s="3" t="s">
        <v>3494</v>
      </c>
      <c r="C1157" s="3" t="s">
        <v>14</v>
      </c>
      <c r="D1157" s="8" t="str">
        <f>HYPERLINK("http://npthd.inbcu.com/ViewContent.aspx?filename=NPMR_NBC_2017-07-07_E.MP4$1896$1901","Midnight Texas")</f>
        <v>Midnight Texas</v>
      </c>
      <c r="E1157" s="3" t="s">
        <v>54</v>
      </c>
      <c r="F1157" s="3" t="s">
        <v>2756</v>
      </c>
      <c r="G1157" s="3" t="s">
        <v>2757</v>
      </c>
    </row>
    <row r="1158" spans="1:7">
      <c r="A1158" s="6">
        <v>42923</v>
      </c>
      <c r="B1158" s="3" t="s">
        <v>3494</v>
      </c>
      <c r="C1158" s="3" t="s">
        <v>21</v>
      </c>
      <c r="D1158" s="8" t="str">
        <f>HYPERLINK("http://npthd.inbcu.com/ViewContent.aspx?filename=NPMR_NBC_2017-07-07_E.MP4$1901$2081","COMMERCIAL")</f>
        <v>COMMERCIAL</v>
      </c>
      <c r="E1158" s="3" t="s">
        <v>22</v>
      </c>
      <c r="F1158" s="3" t="s">
        <v>2757</v>
      </c>
      <c r="G1158" s="3" t="s">
        <v>4278</v>
      </c>
    </row>
    <row r="1159" spans="1:7">
      <c r="A1159" s="6">
        <v>42923</v>
      </c>
      <c r="B1159" s="3" t="s">
        <v>3494</v>
      </c>
      <c r="C1159" s="3" t="s">
        <v>1618</v>
      </c>
      <c r="D1159" s="8" t="str">
        <f>HYPERLINK("http://npthd.inbcu.com/ViewContent.aspx?filename=NPMR_NBC_2017-07-07_E.MP4$2081$2111","PSA")</f>
        <v>PSA</v>
      </c>
      <c r="E1159" s="3" t="s">
        <v>38</v>
      </c>
      <c r="F1159" s="3" t="s">
        <v>4278</v>
      </c>
      <c r="G1159" s="3" t="s">
        <v>4279</v>
      </c>
    </row>
    <row r="1160" spans="1:7">
      <c r="A1160" s="6">
        <v>42923</v>
      </c>
      <c r="B1160" s="3" t="s">
        <v>3494</v>
      </c>
      <c r="C1160" s="3" t="s">
        <v>18</v>
      </c>
      <c r="D1160" s="8" t="str">
        <f>HYPERLINK("http://npthd.inbcu.com/ViewContent.aspx?filename=NPMR_NBC_2017-07-07_E.MP4$2111$2626","AMERICAS GOT TALENT: auditions 1")</f>
        <v>AMERICAS GOT TALENT: auditions 1</v>
      </c>
      <c r="E1160" s="3" t="s">
        <v>2229</v>
      </c>
      <c r="F1160" s="3" t="s">
        <v>4279</v>
      </c>
      <c r="G1160" s="3" t="s">
        <v>4280</v>
      </c>
    </row>
    <row r="1161" spans="1:7">
      <c r="A1161" s="6">
        <v>42923</v>
      </c>
      <c r="B1161" s="3" t="s">
        <v>3494</v>
      </c>
      <c r="C1161" s="3" t="s">
        <v>21</v>
      </c>
      <c r="D1161" s="8" t="str">
        <f>HYPERLINK("http://npthd.inbcu.com/ViewContent.aspx?filename=NPMR_NBC_2017-07-07_E.MP4$2626$2717","COMMERCIAL")</f>
        <v>COMMERCIAL</v>
      </c>
      <c r="E1161" s="3" t="s">
        <v>77</v>
      </c>
      <c r="F1161" s="3" t="s">
        <v>4280</v>
      </c>
      <c r="G1161" s="3" t="s">
        <v>3245</v>
      </c>
    </row>
    <row r="1162" spans="1:7">
      <c r="A1162" s="6">
        <v>42923</v>
      </c>
      <c r="B1162" s="3" t="s">
        <v>3494</v>
      </c>
      <c r="C1162" s="3" t="s">
        <v>14</v>
      </c>
      <c r="D1162" s="8" t="str">
        <f>HYPERLINK("http://npthd.inbcu.com/ViewContent.aspx?filename=NPMR_NBC_2017-07-07_E.MP4$2717$2732","American Ninja Warrior")</f>
        <v>American Ninja Warrior</v>
      </c>
      <c r="E1162" s="3" t="s">
        <v>30</v>
      </c>
      <c r="F1162" s="3" t="s">
        <v>3245</v>
      </c>
      <c r="G1162" s="3" t="s">
        <v>1271</v>
      </c>
    </row>
    <row r="1163" spans="1:7">
      <c r="A1163" s="6">
        <v>42923</v>
      </c>
      <c r="B1163" s="3" t="s">
        <v>3494</v>
      </c>
      <c r="C1163" s="3" t="s">
        <v>21</v>
      </c>
      <c r="D1163" s="8" t="str">
        <f>HYPERLINK("http://npthd.inbcu.com/ViewContent.aspx?filename=NPMR_NBC_2017-07-07_E.MP4$2732$2822","COMMERCIAL")</f>
        <v>COMMERCIAL</v>
      </c>
      <c r="E1163" s="3" t="s">
        <v>46</v>
      </c>
      <c r="F1163" s="3" t="s">
        <v>1271</v>
      </c>
      <c r="G1163" s="3" t="s">
        <v>4281</v>
      </c>
    </row>
    <row r="1164" spans="1:7">
      <c r="A1164" s="6">
        <v>42923</v>
      </c>
      <c r="B1164" s="3" t="s">
        <v>3494</v>
      </c>
      <c r="C1164" s="3" t="s">
        <v>14</v>
      </c>
      <c r="D1164" s="8" t="str">
        <f>HYPERLINK("http://npthd.inbcu.com/ViewContent.aspx?filename=NPMR_NBC_2017-07-07_E.MP4$2822$2852","Brave, The")</f>
        <v>Brave, The</v>
      </c>
      <c r="E1164" s="3" t="s">
        <v>38</v>
      </c>
      <c r="F1164" s="3" t="s">
        <v>4281</v>
      </c>
      <c r="G1164" s="3" t="s">
        <v>4282</v>
      </c>
    </row>
    <row r="1165" spans="1:7">
      <c r="A1165" s="6">
        <v>42923</v>
      </c>
      <c r="B1165" s="3" t="s">
        <v>3494</v>
      </c>
      <c r="C1165" s="3" t="s">
        <v>18</v>
      </c>
      <c r="D1165" s="8" t="str">
        <f>HYPERLINK("http://npthd.inbcu.com/ViewContent.aspx?filename=NPMR_NBC_2017-07-07_E.MP4$2852$3263","AMERICAS GOT TALENT: auditions 1")</f>
        <v>AMERICAS GOT TALENT: auditions 1</v>
      </c>
      <c r="E1165" s="3" t="s">
        <v>100</v>
      </c>
      <c r="F1165" s="3" t="s">
        <v>4282</v>
      </c>
      <c r="G1165" s="3" t="s">
        <v>4283</v>
      </c>
    </row>
    <row r="1166" spans="1:7">
      <c r="A1166" s="6">
        <v>42923</v>
      </c>
      <c r="B1166" s="3" t="s">
        <v>3494</v>
      </c>
      <c r="C1166" s="3" t="s">
        <v>21</v>
      </c>
      <c r="D1166" s="8" t="str">
        <f>HYPERLINK("http://npthd.inbcu.com/ViewContent.aspx?filename=NPMR_NBC_2017-07-07_E.MP4$3263$3353","COMMERCIAL")</f>
        <v>COMMERCIAL</v>
      </c>
      <c r="E1166" s="3" t="s">
        <v>46</v>
      </c>
      <c r="F1166" s="3" t="s">
        <v>4283</v>
      </c>
      <c r="G1166" s="3" t="s">
        <v>4284</v>
      </c>
    </row>
    <row r="1167" spans="1:7">
      <c r="A1167" s="6">
        <v>42923</v>
      </c>
      <c r="B1167" s="3" t="s">
        <v>3494</v>
      </c>
      <c r="C1167" s="3" t="s">
        <v>32</v>
      </c>
      <c r="D1167" s="8" t="str">
        <f>HYPERLINK("http://npthd.inbcu.com/ViewContent.aspx?filename=NPMR_NBC_2017-07-07_E.MP4$3353$3443","LOCAL")</f>
        <v>LOCAL</v>
      </c>
      <c r="E1167" s="3" t="s">
        <v>46</v>
      </c>
      <c r="F1167" s="3" t="s">
        <v>4284</v>
      </c>
      <c r="G1167" s="3" t="s">
        <v>363</v>
      </c>
    </row>
    <row r="1168" spans="1:7">
      <c r="A1168" s="6">
        <v>42923</v>
      </c>
      <c r="B1168" s="3" t="s">
        <v>3494</v>
      </c>
      <c r="C1168" s="3" t="s">
        <v>14</v>
      </c>
      <c r="D1168" s="8" t="str">
        <f>HYPERLINK("http://npthd.inbcu.com/ViewContent.aspx?filename=NPMR_NBC_2017-07-07_E.MP4$3443$3473","World of Dance")</f>
        <v>World of Dance</v>
      </c>
      <c r="E1168" s="3" t="s">
        <v>38</v>
      </c>
      <c r="F1168" s="3" t="s">
        <v>363</v>
      </c>
      <c r="G1168" s="3" t="s">
        <v>4285</v>
      </c>
    </row>
    <row r="1169" spans="1:7">
      <c r="A1169" s="6">
        <v>42923</v>
      </c>
      <c r="B1169" s="3" t="s">
        <v>3494</v>
      </c>
      <c r="C1169" s="3" t="s">
        <v>14</v>
      </c>
      <c r="D1169" s="8" t="str">
        <f>HYPERLINK("http://npthd.inbcu.com/ViewContent.aspx?filename=NPMR_NBC_2017-07-07_E.MP4$3473$3488","Will &amp; Grace")</f>
        <v>Will &amp; Grace</v>
      </c>
      <c r="E1169" s="3" t="s">
        <v>30</v>
      </c>
      <c r="F1169" s="3" t="s">
        <v>4285</v>
      </c>
      <c r="G1169" s="3" t="s">
        <v>4286</v>
      </c>
    </row>
    <row r="1170" spans="1:7">
      <c r="A1170" s="6">
        <v>42923</v>
      </c>
      <c r="B1170" s="3" t="s">
        <v>3494</v>
      </c>
      <c r="C1170" s="3" t="s">
        <v>18</v>
      </c>
      <c r="D1170" s="8" t="str">
        <f>HYPERLINK("http://npthd.inbcu.com/ViewContent.aspx?filename=NPMR_NBC_2017-07-07_E.MP4$3488$3967","AMERICAS GOT TALENT: auditions 1")</f>
        <v>AMERICAS GOT TALENT: auditions 1</v>
      </c>
      <c r="E1170" s="3" t="s">
        <v>1129</v>
      </c>
      <c r="F1170" s="3" t="s">
        <v>4286</v>
      </c>
      <c r="G1170" s="3" t="s">
        <v>2626</v>
      </c>
    </row>
    <row r="1171" spans="1:7">
      <c r="A1171" s="6">
        <v>42923</v>
      </c>
      <c r="B1171" s="3" t="s">
        <v>3494</v>
      </c>
      <c r="C1171" s="3" t="s">
        <v>21</v>
      </c>
      <c r="D1171" s="8" t="str">
        <f>HYPERLINK("http://npthd.inbcu.com/ViewContent.aspx?filename=NPMR_NBC_2017-07-07_E.MP4$3967$4147","COMMERCIAL")</f>
        <v>COMMERCIAL</v>
      </c>
      <c r="E1171" s="3" t="s">
        <v>22</v>
      </c>
      <c r="F1171" s="3" t="s">
        <v>2626</v>
      </c>
      <c r="G1171" s="3" t="s">
        <v>4287</v>
      </c>
    </row>
    <row r="1172" spans="1:7">
      <c r="A1172" s="6">
        <v>42923</v>
      </c>
      <c r="B1172" s="3" t="s">
        <v>3494</v>
      </c>
      <c r="C1172" s="3" t="s">
        <v>14</v>
      </c>
      <c r="D1172" s="8" t="str">
        <f>HYPERLINK("http://npthd.inbcu.com/ViewContent.aspx?filename=NPMR_NBC_2017-07-07_E.MP4$4147$4162","Marlon")</f>
        <v>Marlon</v>
      </c>
      <c r="E1172" s="3" t="s">
        <v>30</v>
      </c>
      <c r="F1172" s="3" t="s">
        <v>4287</v>
      </c>
      <c r="G1172" s="3" t="s">
        <v>3021</v>
      </c>
    </row>
    <row r="1173" spans="1:7">
      <c r="A1173" s="6">
        <v>42923</v>
      </c>
      <c r="B1173" s="3" t="s">
        <v>3494</v>
      </c>
      <c r="C1173" s="3" t="s">
        <v>18</v>
      </c>
      <c r="D1173" s="8" t="str">
        <f>HYPERLINK("http://npthd.inbcu.com/ViewContent.aspx?filename=NPMR_NBC_2017-07-07_E.MP4$4162$4575","AMERICAS GOT TALENT: auditions 1")</f>
        <v>AMERICAS GOT TALENT: auditions 1</v>
      </c>
      <c r="E1173" s="3" t="s">
        <v>2603</v>
      </c>
      <c r="F1173" s="3" t="s">
        <v>3021</v>
      </c>
      <c r="G1173" s="3" t="s">
        <v>4288</v>
      </c>
    </row>
    <row r="1174" spans="1:7">
      <c r="A1174" s="6">
        <v>42923</v>
      </c>
      <c r="B1174" s="3" t="s">
        <v>3494</v>
      </c>
      <c r="C1174" s="3" t="s">
        <v>21</v>
      </c>
      <c r="D1174" s="8" t="str">
        <f>HYPERLINK("http://npthd.inbcu.com/ViewContent.aspx?filename=NPMR_NBC_2017-07-07_E.MP4$4575$4665","COMMERCIAL")</f>
        <v>COMMERCIAL</v>
      </c>
      <c r="E1174" s="3" t="s">
        <v>46</v>
      </c>
      <c r="F1174" s="3" t="s">
        <v>4288</v>
      </c>
      <c r="G1174" s="3" t="s">
        <v>4289</v>
      </c>
    </row>
    <row r="1175" spans="1:7">
      <c r="A1175" s="6">
        <v>42923</v>
      </c>
      <c r="B1175" s="3" t="s">
        <v>3494</v>
      </c>
      <c r="C1175" s="3" t="s">
        <v>32</v>
      </c>
      <c r="D1175" s="8" t="str">
        <f>HYPERLINK("http://npthd.inbcu.com/ViewContent.aspx?filename=NPMR_NBC_2017-07-07_E.MP4$4665$4774","LOCAL")</f>
        <v>LOCAL</v>
      </c>
      <c r="E1175" s="3" t="s">
        <v>4211</v>
      </c>
      <c r="F1175" s="3" t="s">
        <v>4289</v>
      </c>
      <c r="G1175" s="3" t="s">
        <v>4290</v>
      </c>
    </row>
    <row r="1176" spans="1:7">
      <c r="A1176" s="6">
        <v>42923</v>
      </c>
      <c r="B1176" s="3" t="s">
        <v>3494</v>
      </c>
      <c r="C1176" s="3" t="s">
        <v>14</v>
      </c>
      <c r="D1176" s="8" t="str">
        <f>HYPERLINK("http://npthd.inbcu.com/ViewContent.aspx?filename=NPMR_NBC_2017-07-07_E.MP4$4774$4804","Midnight Texas")</f>
        <v>Midnight Texas</v>
      </c>
      <c r="E1176" s="3" t="s">
        <v>38</v>
      </c>
      <c r="F1176" s="3" t="s">
        <v>4290</v>
      </c>
      <c r="G1176" s="3" t="s">
        <v>4291</v>
      </c>
    </row>
    <row r="1177" spans="1:7">
      <c r="A1177" s="6">
        <v>42923</v>
      </c>
      <c r="B1177" s="3" t="s">
        <v>3494</v>
      </c>
      <c r="C1177" s="3" t="s">
        <v>18</v>
      </c>
      <c r="D1177" s="8" t="str">
        <f>HYPERLINK("http://npthd.inbcu.com/ViewContent.aspx?filename=NPMR_NBC_2017-07-07_E.MP4$4804$5278","AMERICAS GOT TALENT: auditions 1")</f>
        <v>AMERICAS GOT TALENT: auditions 1</v>
      </c>
      <c r="E1177" s="3" t="s">
        <v>1843</v>
      </c>
      <c r="F1177" s="3" t="s">
        <v>4291</v>
      </c>
      <c r="G1177" s="3" t="s">
        <v>4292</v>
      </c>
    </row>
    <row r="1178" spans="1:7">
      <c r="A1178" s="6">
        <v>42923</v>
      </c>
      <c r="B1178" s="3" t="s">
        <v>3494</v>
      </c>
      <c r="C1178" s="3" t="s">
        <v>21</v>
      </c>
      <c r="D1178" s="8" t="str">
        <f>HYPERLINK("http://npthd.inbcu.com/ViewContent.aspx?filename=NPMR_NBC_2017-07-07_E.MP4$5278$5458","COMMERCIAL")</f>
        <v>COMMERCIAL</v>
      </c>
      <c r="E1178" s="3" t="s">
        <v>22</v>
      </c>
      <c r="F1178" s="3" t="s">
        <v>4292</v>
      </c>
      <c r="G1178" s="3" t="s">
        <v>4293</v>
      </c>
    </row>
    <row r="1179" spans="1:7">
      <c r="A1179" s="6">
        <v>42923</v>
      </c>
      <c r="B1179" s="3" t="s">
        <v>3494</v>
      </c>
      <c r="C1179" s="3" t="s">
        <v>14</v>
      </c>
      <c r="D1179" s="8" t="str">
        <f>HYPERLINK("http://npthd.inbcu.com/ViewContent.aspx?filename=NPMR_NBC_2017-07-07_E.MP4$5458$5473","American Ninja Warrior")</f>
        <v>American Ninja Warrior</v>
      </c>
      <c r="E1179" s="3" t="s">
        <v>30</v>
      </c>
      <c r="F1179" s="3" t="s">
        <v>4293</v>
      </c>
      <c r="G1179" s="3" t="s">
        <v>4294</v>
      </c>
    </row>
    <row r="1180" spans="1:7">
      <c r="A1180" s="6">
        <v>42923</v>
      </c>
      <c r="B1180" s="3" t="s">
        <v>3494</v>
      </c>
      <c r="C1180" s="3" t="s">
        <v>18</v>
      </c>
      <c r="D1180" s="8" t="str">
        <f>HYPERLINK("http://npthd.inbcu.com/ViewContent.aspx?filename=NPMR_NBC_2017-07-07_E.MP4$5473$5888","AMERICAS GOT TALENT: auditions 1")</f>
        <v>AMERICAS GOT TALENT: auditions 1</v>
      </c>
      <c r="E1180" s="3" t="s">
        <v>2146</v>
      </c>
      <c r="F1180" s="3" t="s">
        <v>4294</v>
      </c>
      <c r="G1180" s="3" t="s">
        <v>4295</v>
      </c>
    </row>
    <row r="1181" spans="1:7">
      <c r="A1181" s="6">
        <v>42923</v>
      </c>
      <c r="B1181" s="3" t="s">
        <v>3494</v>
      </c>
      <c r="C1181" s="3" t="s">
        <v>21</v>
      </c>
      <c r="D1181" s="8" t="str">
        <f>HYPERLINK("http://npthd.inbcu.com/ViewContent.aspx?filename=NPMR_NBC_2017-07-07_E.MP4$5888$6008","COMMERCIAL")</f>
        <v>COMMERCIAL</v>
      </c>
      <c r="E1181" s="3" t="s">
        <v>43</v>
      </c>
      <c r="F1181" s="3" t="s">
        <v>4295</v>
      </c>
      <c r="G1181" s="3" t="s">
        <v>4296</v>
      </c>
    </row>
    <row r="1182" spans="1:7">
      <c r="A1182" s="6">
        <v>42923</v>
      </c>
      <c r="B1182" s="3" t="s">
        <v>3494</v>
      </c>
      <c r="C1182" s="3" t="s">
        <v>14</v>
      </c>
      <c r="D1182" s="8" t="str">
        <f>HYPERLINK("http://npthd.inbcu.com/ViewContent.aspx?filename=NPMR_NBC_2017-07-07_E.MP4$6008$6013","Spartan Race")</f>
        <v>Spartan Race</v>
      </c>
      <c r="E1182" s="3" t="s">
        <v>54</v>
      </c>
      <c r="F1182" s="3" t="s">
        <v>4296</v>
      </c>
      <c r="G1182" s="3" t="s">
        <v>4297</v>
      </c>
    </row>
    <row r="1183" spans="1:7">
      <c r="A1183" s="6">
        <v>42923</v>
      </c>
      <c r="B1183" s="3" t="s">
        <v>3494</v>
      </c>
      <c r="C1183" s="3" t="s">
        <v>32</v>
      </c>
      <c r="D1183" s="8" t="str">
        <f>HYPERLINK("http://npthd.inbcu.com/ViewContent.aspx?filename=NPMR_NBC_2017-07-07_E.MP4$6013$6103","LOCAL")</f>
        <v>LOCAL</v>
      </c>
      <c r="E1183" s="3" t="s">
        <v>46</v>
      </c>
      <c r="F1183" s="3" t="s">
        <v>4297</v>
      </c>
      <c r="G1183" s="3" t="s">
        <v>4298</v>
      </c>
    </row>
    <row r="1184" spans="1:7">
      <c r="A1184" s="6">
        <v>42923</v>
      </c>
      <c r="B1184" s="3" t="s">
        <v>3494</v>
      </c>
      <c r="C1184" s="3" t="s">
        <v>14</v>
      </c>
      <c r="D1184" s="8" t="str">
        <f>HYPERLINK("http://npthd.inbcu.com/ViewContent.aspx?filename=NPMR_NBC_2017-07-07_E.MP4$6103$6118","World of Dance")</f>
        <v>World of Dance</v>
      </c>
      <c r="E1184" s="3" t="s">
        <v>30</v>
      </c>
      <c r="F1184" s="3" t="s">
        <v>4298</v>
      </c>
      <c r="G1184" s="3" t="s">
        <v>4299</v>
      </c>
    </row>
    <row r="1185" spans="1:7">
      <c r="A1185" s="6">
        <v>42923</v>
      </c>
      <c r="B1185" s="3" t="s">
        <v>3494</v>
      </c>
      <c r="C1185" s="3" t="s">
        <v>18</v>
      </c>
      <c r="D1185" s="8" t="str">
        <f>HYPERLINK("http://npthd.inbcu.com/ViewContent.aspx?filename=NPMR_NBC_2017-07-07_E.MP4$6118$6602","AMERICAS GOT TALENT: auditions 1")</f>
        <v>AMERICAS GOT TALENT: auditions 1</v>
      </c>
      <c r="E1185" s="3" t="s">
        <v>73</v>
      </c>
      <c r="F1185" s="3" t="s">
        <v>4299</v>
      </c>
      <c r="G1185" s="3" t="s">
        <v>4300</v>
      </c>
    </row>
    <row r="1186" spans="1:7">
      <c r="A1186" s="6">
        <v>42923</v>
      </c>
      <c r="B1186" s="3" t="s">
        <v>3494</v>
      </c>
      <c r="C1186" s="3" t="s">
        <v>21</v>
      </c>
      <c r="D1186" s="8" t="str">
        <f>HYPERLINK("http://npthd.inbcu.com/ViewContent.aspx?filename=NPMR_NBC_2017-07-07_E.MP4$6602$6782","COMMERCIAL")</f>
        <v>COMMERCIAL</v>
      </c>
      <c r="E1186" s="3" t="s">
        <v>22</v>
      </c>
      <c r="F1186" s="3" t="s">
        <v>4300</v>
      </c>
      <c r="G1186" s="3" t="s">
        <v>1798</v>
      </c>
    </row>
    <row r="1187" spans="1:7">
      <c r="A1187" s="6">
        <v>42923</v>
      </c>
      <c r="B1187" s="3" t="s">
        <v>3494</v>
      </c>
      <c r="C1187" s="3" t="s">
        <v>14</v>
      </c>
      <c r="D1187" s="8" t="str">
        <f>HYPERLINK("http://npthd.inbcu.com/ViewContent.aspx?filename=NPMR_NBC_2017-07-07_E.MP4$6782$6797","Dateline NBC")</f>
        <v>Dateline NBC</v>
      </c>
      <c r="E1187" s="3" t="s">
        <v>30</v>
      </c>
      <c r="F1187" s="3" t="s">
        <v>1798</v>
      </c>
      <c r="G1187" s="3" t="s">
        <v>4301</v>
      </c>
    </row>
    <row r="1188" spans="1:7">
      <c r="A1188" s="6">
        <v>42923</v>
      </c>
      <c r="B1188" s="3" t="s">
        <v>3494</v>
      </c>
      <c r="C1188" s="3" t="s">
        <v>18</v>
      </c>
      <c r="D1188" s="8" t="str">
        <f>HYPERLINK("http://npthd.inbcu.com/ViewContent.aspx?filename=NPMR_NBC_2017-07-07_E.MP4$6797$7265","AMERICAS GOT TALENT: auditions 1")</f>
        <v>AMERICAS GOT TALENT: auditions 1</v>
      </c>
      <c r="E1188" s="3" t="s">
        <v>678</v>
      </c>
      <c r="F1188" s="3" t="s">
        <v>4301</v>
      </c>
      <c r="G1188" s="3" t="s">
        <v>749</v>
      </c>
    </row>
    <row r="1189" spans="1:7">
      <c r="A1189" s="6">
        <v>42923</v>
      </c>
      <c r="B1189" s="3" t="s">
        <v>3494</v>
      </c>
      <c r="C1189" s="3" t="s">
        <v>14</v>
      </c>
      <c r="D1189" s="8" t="str">
        <f>HYPERLINK("http://npthd.inbcu.com/ViewContent.aspx?filename=NPMR_NBC_2017-07-07_E.MP4$7265$7295","Americas Got Talent")</f>
        <v>Americas Got Talent</v>
      </c>
      <c r="E1189" s="3" t="s">
        <v>38</v>
      </c>
      <c r="F1189" s="3" t="s">
        <v>749</v>
      </c>
      <c r="G1189" s="3" t="s">
        <v>750</v>
      </c>
    </row>
    <row r="1190" spans="1:7">
      <c r="A1190" s="6">
        <v>42923</v>
      </c>
      <c r="B1190" s="3" t="s">
        <v>3494</v>
      </c>
      <c r="C1190" s="3" t="s">
        <v>18</v>
      </c>
      <c r="D1190" s="8" t="str">
        <f>HYPERLINK("http://npthd.inbcu.com/ViewContent.aspx?filename=NPMR_NBC_2017-07-07_E.MP4$7295$7300","AMERICAS GOT TALENT: auditions 1")</f>
        <v>AMERICAS GOT TALENT: auditions 1</v>
      </c>
      <c r="E1190" s="3" t="s">
        <v>54</v>
      </c>
      <c r="F1190" s="3" t="s">
        <v>750</v>
      </c>
      <c r="G1190" s="3" t="s">
        <v>394</v>
      </c>
    </row>
    <row r="1191" spans="1:7">
      <c r="A1191" s="6">
        <v>42923</v>
      </c>
      <c r="B1191" s="3" t="s">
        <v>3494</v>
      </c>
      <c r="C1191" s="3" t="s">
        <v>18</v>
      </c>
      <c r="D1191" s="8" t="str">
        <f>HYPERLINK("http://npthd.inbcu.com/ViewContent.aspx?filename=NPMR_NBC_2017-07-07_E.MP4$7300$7727","DATELINE NBC: fr2642")</f>
        <v>DATELINE NBC: fr2642</v>
      </c>
      <c r="E1191" s="3" t="s">
        <v>1709</v>
      </c>
      <c r="F1191" s="3" t="s">
        <v>394</v>
      </c>
      <c r="G1191" s="3" t="s">
        <v>4302</v>
      </c>
    </row>
    <row r="1192" spans="1:7">
      <c r="A1192" s="6">
        <v>42923</v>
      </c>
      <c r="B1192" s="3" t="s">
        <v>3494</v>
      </c>
      <c r="C1192" s="3" t="s">
        <v>21</v>
      </c>
      <c r="D1192" s="8" t="str">
        <f>HYPERLINK("http://npthd.inbcu.com/ViewContent.aspx?filename=NPMR_NBC_2017-07-07_E.MP4$7727$7848","COMMERCIAL")</f>
        <v>COMMERCIAL</v>
      </c>
      <c r="E1192" s="3" t="s">
        <v>175</v>
      </c>
      <c r="F1192" s="3" t="s">
        <v>4302</v>
      </c>
      <c r="G1192" s="3" t="s">
        <v>4303</v>
      </c>
    </row>
    <row r="1193" spans="1:7">
      <c r="A1193" s="6">
        <v>42923</v>
      </c>
      <c r="B1193" s="3" t="s">
        <v>3494</v>
      </c>
      <c r="C1193" s="3" t="s">
        <v>14</v>
      </c>
      <c r="D1193" s="8" t="str">
        <f>HYPERLINK("http://npthd.inbcu.com/ViewContent.aspx?filename=NPMR_NBC_2017-07-07_E.MP4$7848$7863","Today")</f>
        <v>Today</v>
      </c>
      <c r="E1193" s="3" t="s">
        <v>30</v>
      </c>
      <c r="F1193" s="3" t="s">
        <v>4303</v>
      </c>
      <c r="G1193" s="3" t="s">
        <v>4304</v>
      </c>
    </row>
    <row r="1194" spans="1:7">
      <c r="A1194" s="6">
        <v>42923</v>
      </c>
      <c r="B1194" s="3" t="s">
        <v>3494</v>
      </c>
      <c r="C1194" s="3" t="s">
        <v>32</v>
      </c>
      <c r="D1194" s="8" t="str">
        <f>HYPERLINK("http://npthd.inbcu.com/ViewContent.aspx?filename=NPMR_NBC_2017-07-07_E.MP4$7863$7925","LOCAL")</f>
        <v>LOCAL</v>
      </c>
      <c r="E1194" s="3" t="s">
        <v>257</v>
      </c>
      <c r="F1194" s="3" t="s">
        <v>4304</v>
      </c>
      <c r="G1194" s="3" t="s">
        <v>4305</v>
      </c>
    </row>
    <row r="1195" spans="1:7">
      <c r="A1195" s="6">
        <v>42923</v>
      </c>
      <c r="B1195" s="3" t="s">
        <v>3494</v>
      </c>
      <c r="C1195" s="3" t="s">
        <v>18</v>
      </c>
      <c r="D1195" s="8" t="str">
        <f>HYPERLINK("http://npthd.inbcu.com/ViewContent.aspx?filename=NPMR_NBC_2017-07-07_E.MP4$7925$8286","DATELINE NBC: fr2642")</f>
        <v>DATELINE NBC: fr2642</v>
      </c>
      <c r="E1195" s="3" t="s">
        <v>222</v>
      </c>
      <c r="F1195" s="3" t="s">
        <v>4305</v>
      </c>
      <c r="G1195" s="3" t="s">
        <v>4306</v>
      </c>
    </row>
    <row r="1196" spans="1:7">
      <c r="A1196" s="6">
        <v>42923</v>
      </c>
      <c r="B1196" s="3" t="s">
        <v>3494</v>
      </c>
      <c r="C1196" s="3" t="s">
        <v>21</v>
      </c>
      <c r="D1196" s="8" t="str">
        <f>HYPERLINK("http://npthd.inbcu.com/ViewContent.aspx?filename=NPMR_NBC_2017-07-07_E.MP4$8286$8437","COMMERCIAL")</f>
        <v>COMMERCIAL</v>
      </c>
      <c r="E1196" s="3" t="s">
        <v>91</v>
      </c>
      <c r="F1196" s="3" t="s">
        <v>4306</v>
      </c>
      <c r="G1196" s="3" t="s">
        <v>3842</v>
      </c>
    </row>
    <row r="1197" spans="1:7">
      <c r="A1197" s="6">
        <v>42923</v>
      </c>
      <c r="B1197" s="3" t="s">
        <v>3494</v>
      </c>
      <c r="C1197" s="3" t="s">
        <v>1618</v>
      </c>
      <c r="D1197" s="8" t="str">
        <f>HYPERLINK("http://npthd.inbcu.com/ViewContent.aspx?filename=NPMR_NBC_2017-07-07_E.MP4$8437$8452","PSA")</f>
        <v>PSA</v>
      </c>
      <c r="E1197" s="3" t="s">
        <v>30</v>
      </c>
      <c r="F1197" s="3" t="s">
        <v>3842</v>
      </c>
      <c r="G1197" s="3" t="s">
        <v>3843</v>
      </c>
    </row>
    <row r="1198" spans="1:7">
      <c r="A1198" s="6">
        <v>42923</v>
      </c>
      <c r="B1198" s="3" t="s">
        <v>3494</v>
      </c>
      <c r="C1198" s="3" t="s">
        <v>14</v>
      </c>
      <c r="D1198" s="8" t="str">
        <f>HYPERLINK("http://npthd.inbcu.com/ViewContent.aspx?filename=NPMR_NBC_2017-07-07_E.MP4$8452$8467","Americas Got Talent")</f>
        <v>Americas Got Talent</v>
      </c>
      <c r="E1198" s="3" t="s">
        <v>30</v>
      </c>
      <c r="F1198" s="3" t="s">
        <v>3843</v>
      </c>
      <c r="G1198" s="3" t="s">
        <v>4307</v>
      </c>
    </row>
    <row r="1199" spans="1:7">
      <c r="A1199" s="6">
        <v>42923</v>
      </c>
      <c r="B1199" s="3" t="s">
        <v>3494</v>
      </c>
      <c r="C1199" s="3" t="s">
        <v>14</v>
      </c>
      <c r="D1199" s="8" t="str">
        <f>HYPERLINK("http://npthd.inbcu.com/ViewContent.aspx?filename=NPMR_NBC_2017-07-07_E.MP4$8467$8472","Late Night with Seth Meyers")</f>
        <v>Late Night with Seth Meyers</v>
      </c>
      <c r="E1199" s="3" t="s">
        <v>54</v>
      </c>
      <c r="F1199" s="3" t="s">
        <v>4307</v>
      </c>
      <c r="G1199" s="3" t="s">
        <v>4308</v>
      </c>
    </row>
    <row r="1200" spans="1:7">
      <c r="A1200" s="6">
        <v>42923</v>
      </c>
      <c r="B1200" s="3" t="s">
        <v>3494</v>
      </c>
      <c r="C1200" s="3" t="s">
        <v>18</v>
      </c>
      <c r="D1200" s="8" t="str">
        <f>HYPERLINK("http://npthd.inbcu.com/ViewContent.aspx?filename=NPMR_NBC_2017-07-07_E.MP4$8472$8809","DATELINE NBC: fr2642")</f>
        <v>DATELINE NBC: fr2642</v>
      </c>
      <c r="E1200" s="3" t="s">
        <v>2045</v>
      </c>
      <c r="F1200" s="3" t="s">
        <v>4308</v>
      </c>
      <c r="G1200" s="3" t="s">
        <v>4309</v>
      </c>
    </row>
    <row r="1201" spans="1:7">
      <c r="A1201" s="6">
        <v>42923</v>
      </c>
      <c r="B1201" s="3" t="s">
        <v>3494</v>
      </c>
      <c r="C1201" s="3" t="s">
        <v>21</v>
      </c>
      <c r="D1201" s="8" t="str">
        <f>HYPERLINK("http://npthd.inbcu.com/ViewContent.aspx?filename=NPMR_NBC_2017-07-07_E.MP4$8809$8869","COMMERCIAL")</f>
        <v>COMMERCIAL</v>
      </c>
      <c r="E1201" s="3" t="s">
        <v>66</v>
      </c>
      <c r="F1201" s="3" t="s">
        <v>4309</v>
      </c>
      <c r="G1201" s="3" t="s">
        <v>4310</v>
      </c>
    </row>
    <row r="1202" spans="1:7">
      <c r="A1202" s="6">
        <v>42923</v>
      </c>
      <c r="B1202" s="3" t="s">
        <v>3494</v>
      </c>
      <c r="C1202" s="3" t="s">
        <v>14</v>
      </c>
      <c r="D1202" s="8" t="str">
        <f>HYPERLINK("http://npthd.inbcu.com/ViewContent.aspx?filename=NPMR_NBC_2017-07-07_E.MP4$8869$8874","American Ninja Warrior")</f>
        <v>American Ninja Warrior</v>
      </c>
      <c r="E1202" s="3" t="s">
        <v>54</v>
      </c>
      <c r="F1202" s="3" t="s">
        <v>4310</v>
      </c>
      <c r="G1202" s="3" t="s">
        <v>4311</v>
      </c>
    </row>
    <row r="1203" spans="1:7">
      <c r="A1203" s="6">
        <v>42923</v>
      </c>
      <c r="B1203" s="3" t="s">
        <v>3494</v>
      </c>
      <c r="C1203" s="3" t="s">
        <v>32</v>
      </c>
      <c r="D1203" s="8" t="str">
        <f>HYPERLINK("http://npthd.inbcu.com/ViewContent.aspx?filename=NPMR_NBC_2017-07-07_E.MP4$8874$9039","LOCAL")</f>
        <v>LOCAL</v>
      </c>
      <c r="E1203" s="3" t="s">
        <v>428</v>
      </c>
      <c r="F1203" s="3" t="s">
        <v>4311</v>
      </c>
      <c r="G1203" s="3" t="s">
        <v>4312</v>
      </c>
    </row>
    <row r="1204" spans="1:7">
      <c r="A1204" s="6">
        <v>42923</v>
      </c>
      <c r="B1204" s="3" t="s">
        <v>3494</v>
      </c>
      <c r="C1204" s="3" t="s">
        <v>14</v>
      </c>
      <c r="D1204" s="8" t="str">
        <f>HYPERLINK("http://npthd.inbcu.com/ViewContent.aspx?filename=NPMR_NBC_2017-07-07_E.MP4$9039$9044","Midnight Texas")</f>
        <v>Midnight Texas</v>
      </c>
      <c r="E1204" s="3" t="s">
        <v>54</v>
      </c>
      <c r="F1204" s="3" t="s">
        <v>4312</v>
      </c>
      <c r="G1204" s="3" t="s">
        <v>3594</v>
      </c>
    </row>
    <row r="1205" spans="1:7">
      <c r="A1205" s="6">
        <v>42923</v>
      </c>
      <c r="B1205" s="3" t="s">
        <v>3494</v>
      </c>
      <c r="C1205" s="3" t="s">
        <v>18</v>
      </c>
      <c r="D1205" s="8" t="str">
        <f>HYPERLINK("http://npthd.inbcu.com/ViewContent.aspx?filename=NPMR_NBC_2017-07-07_E.MP4$9044$9447","DATELINE NBC: fr2642")</f>
        <v>DATELINE NBC: fr2642</v>
      </c>
      <c r="E1205" s="3" t="s">
        <v>737</v>
      </c>
      <c r="F1205" s="3" t="s">
        <v>3594</v>
      </c>
      <c r="G1205" s="3" t="s">
        <v>1171</v>
      </c>
    </row>
    <row r="1206" spans="1:7">
      <c r="A1206" s="6">
        <v>42923</v>
      </c>
      <c r="B1206" s="3" t="s">
        <v>3494</v>
      </c>
      <c r="C1206" s="3" t="s">
        <v>21</v>
      </c>
      <c r="D1206" s="8" t="str">
        <f>HYPERLINK("http://npthd.inbcu.com/ViewContent.aspx?filename=NPMR_NBC_2017-07-07_E.MP4$9447$9628","COMMERCIAL")</f>
        <v>COMMERCIAL</v>
      </c>
      <c r="E1206" s="3" t="s">
        <v>108</v>
      </c>
      <c r="F1206" s="3" t="s">
        <v>1171</v>
      </c>
      <c r="G1206" s="3" t="s">
        <v>4313</v>
      </c>
    </row>
    <row r="1207" spans="1:7">
      <c r="A1207" s="6">
        <v>42923</v>
      </c>
      <c r="B1207" s="3" t="s">
        <v>3494</v>
      </c>
      <c r="C1207" s="3" t="s">
        <v>14</v>
      </c>
      <c r="D1207" s="8" t="str">
        <f>HYPERLINK("http://npthd.inbcu.com/ViewContent.aspx?filename=NPMR_NBC_2017-07-07_E.MP4$9628$9643","Sunday Night with Megyn Kelly")</f>
        <v>Sunday Night with Megyn Kelly</v>
      </c>
      <c r="E1207" s="3" t="s">
        <v>30</v>
      </c>
      <c r="F1207" s="3" t="s">
        <v>4313</v>
      </c>
      <c r="G1207" s="3" t="s">
        <v>4314</v>
      </c>
    </row>
    <row r="1208" spans="1:7">
      <c r="A1208" s="6">
        <v>42923</v>
      </c>
      <c r="B1208" s="3" t="s">
        <v>3494</v>
      </c>
      <c r="C1208" s="3" t="s">
        <v>14</v>
      </c>
      <c r="D1208" s="8" t="str">
        <f>HYPERLINK("http://npthd.inbcu.com/ViewContent.aspx?filename=NPMR_NBC_2017-07-07_E.MP4$9643$9673","Will &amp; Grace")</f>
        <v>Will &amp; Grace</v>
      </c>
      <c r="E1208" s="3" t="s">
        <v>38</v>
      </c>
      <c r="F1208" s="3" t="s">
        <v>4314</v>
      </c>
      <c r="G1208" s="3" t="s">
        <v>4315</v>
      </c>
    </row>
    <row r="1209" spans="1:7">
      <c r="A1209" s="6">
        <v>42923</v>
      </c>
      <c r="B1209" s="3" t="s">
        <v>3494</v>
      </c>
      <c r="C1209" s="3" t="s">
        <v>18</v>
      </c>
      <c r="D1209" s="8" t="str">
        <f>HYPERLINK("http://npthd.inbcu.com/ViewContent.aspx?filename=NPMR_NBC_2017-07-07_E.MP4$9673$10233","DATELINE NBC: fr2642")</f>
        <v>DATELINE NBC: fr2642</v>
      </c>
      <c r="E1209" s="3" t="s">
        <v>302</v>
      </c>
      <c r="F1209" s="3" t="s">
        <v>4315</v>
      </c>
      <c r="G1209" s="3" t="s">
        <v>4316</v>
      </c>
    </row>
    <row r="1210" spans="1:7">
      <c r="A1210" s="6">
        <v>42923</v>
      </c>
      <c r="B1210" s="3" t="s">
        <v>3494</v>
      </c>
      <c r="C1210" s="3" t="s">
        <v>21</v>
      </c>
      <c r="D1210" s="8" t="str">
        <f>HYPERLINK("http://npthd.inbcu.com/ViewContent.aspx?filename=NPMR_NBC_2017-07-07_E.MP4$10233$10384","COMMERCIAL")</f>
        <v>COMMERCIAL</v>
      </c>
      <c r="E1210" s="3" t="s">
        <v>91</v>
      </c>
      <c r="F1210" s="3" t="s">
        <v>4316</v>
      </c>
      <c r="G1210" s="3" t="s">
        <v>4317</v>
      </c>
    </row>
    <row r="1211" spans="1:7">
      <c r="A1211" s="6">
        <v>42923</v>
      </c>
      <c r="B1211" s="3" t="s">
        <v>3494</v>
      </c>
      <c r="C1211" s="3" t="s">
        <v>32</v>
      </c>
      <c r="D1211" s="8" t="str">
        <f>HYPERLINK("http://npthd.inbcu.com/ViewContent.aspx?filename=NPMR_NBC_2017-07-07_E.MP4$10384$10399","LOCAL")</f>
        <v>LOCAL</v>
      </c>
      <c r="E1211" s="3" t="s">
        <v>30</v>
      </c>
      <c r="F1211" s="3" t="s">
        <v>4317</v>
      </c>
      <c r="G1211" s="3" t="s">
        <v>4318</v>
      </c>
    </row>
    <row r="1212" spans="1:7">
      <c r="A1212" s="6">
        <v>42923</v>
      </c>
      <c r="B1212" s="3" t="s">
        <v>3494</v>
      </c>
      <c r="C1212" s="3" t="s">
        <v>14</v>
      </c>
      <c r="D1212" s="8" t="str">
        <f>HYPERLINK("http://npthd.inbcu.com/ViewContent.aspx?filename=NPMR_NBC_2017-07-07_E.MP4$10399$10409","Tonight Show starring Jimmy Fallon, The")</f>
        <v>Tonight Show starring Jimmy Fallon, The</v>
      </c>
      <c r="E1212" s="3" t="s">
        <v>197</v>
      </c>
      <c r="F1212" s="3" t="s">
        <v>4318</v>
      </c>
      <c r="G1212" s="3" t="s">
        <v>4319</v>
      </c>
    </row>
    <row r="1213" spans="1:7">
      <c r="A1213" s="6">
        <v>42923</v>
      </c>
      <c r="B1213" s="3" t="s">
        <v>3494</v>
      </c>
      <c r="C1213" s="3" t="s">
        <v>14</v>
      </c>
      <c r="D1213" s="8" t="str">
        <f>HYPERLINK("http://npthd.inbcu.com/ViewContent.aspx?filename=NPMR_NBC_2017-07-07_E.MP4$10409$10419","NASCAR")</f>
        <v>NASCAR</v>
      </c>
      <c r="E1213" s="3" t="s">
        <v>197</v>
      </c>
      <c r="F1213" s="3" t="s">
        <v>4319</v>
      </c>
      <c r="G1213" s="3" t="s">
        <v>4320</v>
      </c>
    </row>
    <row r="1214" spans="1:7">
      <c r="A1214" s="6">
        <v>42923</v>
      </c>
      <c r="B1214" s="3" t="s">
        <v>3494</v>
      </c>
      <c r="C1214" s="3" t="s">
        <v>14</v>
      </c>
      <c r="D1214" s="8" t="str">
        <f>HYPERLINK("http://npthd.inbcu.com/ViewContent.aspx?filename=NPMR_NBC_2017-07-07_E.MP4$10419$10434","Dateline NBC")</f>
        <v>Dateline NBC</v>
      </c>
      <c r="E1214" s="3" t="s">
        <v>30</v>
      </c>
      <c r="F1214" s="3" t="s">
        <v>4320</v>
      </c>
      <c r="G1214" s="3" t="s">
        <v>2050</v>
      </c>
    </row>
    <row r="1215" spans="1:7">
      <c r="A1215" s="6">
        <v>42923</v>
      </c>
      <c r="B1215" s="3" t="s">
        <v>3494</v>
      </c>
      <c r="C1215" s="3" t="s">
        <v>18</v>
      </c>
      <c r="D1215" s="8" t="str">
        <f>HYPERLINK("http://npthd.inbcu.com/ViewContent.aspx?filename=NPMR_NBC_2017-07-07_E.MP4$10434$10866","DATELINE NBC: fr2642")</f>
        <v>DATELINE NBC: fr2642</v>
      </c>
      <c r="E1215" s="3" t="s">
        <v>1372</v>
      </c>
      <c r="F1215" s="3" t="s">
        <v>2050</v>
      </c>
      <c r="G1215" s="3" t="s">
        <v>3604</v>
      </c>
    </row>
    <row r="1216" spans="1:7">
      <c r="A1216" s="6">
        <v>42923</v>
      </c>
      <c r="B1216" s="3" t="s">
        <v>3494</v>
      </c>
      <c r="C1216" s="3" t="s">
        <v>14</v>
      </c>
      <c r="D1216" s="8" t="str">
        <f>HYPERLINK("http://npthd.inbcu.com/ViewContent.aspx?filename=NPMR_NBC_2017-07-07_E.MP4$10866$10871","NBC News")</f>
        <v>NBC News</v>
      </c>
      <c r="E1216" s="3" t="s">
        <v>54</v>
      </c>
      <c r="F1216" s="3" t="s">
        <v>3604</v>
      </c>
      <c r="G1216" s="3" t="s">
        <v>3605</v>
      </c>
    </row>
    <row r="1217" spans="1:7">
      <c r="A1217" s="6">
        <v>42923</v>
      </c>
      <c r="B1217" s="3" t="s">
        <v>3494</v>
      </c>
      <c r="C1217" s="3" t="s">
        <v>32</v>
      </c>
      <c r="D1217" s="8" t="str">
        <f>HYPERLINK("http://npthd.inbcu.com/ViewContent.aspx?filename=NPMR_NBC_2017-07-07_E.MP4$10871$10900","LOCAL")</f>
        <v>LOCAL</v>
      </c>
      <c r="E1217" s="3" t="s">
        <v>24</v>
      </c>
      <c r="F1217" s="3" t="s">
        <v>3605</v>
      </c>
      <c r="G1217" s="3" t="s">
        <v>124</v>
      </c>
    </row>
    <row r="1218" spans="1:7">
      <c r="A1218" s="6">
        <v>42924</v>
      </c>
      <c r="B1218" s="3" t="s">
        <v>3494</v>
      </c>
      <c r="C1218" s="3" t="s">
        <v>18</v>
      </c>
      <c r="D1218" s="8" t="str">
        <f>HYPERLINK("http://npthd.inbcu.com/ViewContent.aspx?filename=NPMR_NBC_2017-07-08_W.MP4$87$560","LITTLE BIG SHOTS: FOREVER YOUNG: age aint nothing but a number")</f>
        <v>LITTLE BIG SHOTS: FOREVER YOUNG: age aint nothing but a number</v>
      </c>
      <c r="E1218" s="3" t="s">
        <v>3954</v>
      </c>
      <c r="F1218" s="3" t="s">
        <v>16</v>
      </c>
      <c r="G1218" s="3" t="s">
        <v>4321</v>
      </c>
    </row>
    <row r="1219" spans="1:7">
      <c r="A1219" s="6">
        <v>42924</v>
      </c>
      <c r="B1219" s="3" t="s">
        <v>3494</v>
      </c>
      <c r="C1219" s="3" t="s">
        <v>21</v>
      </c>
      <c r="D1219" s="8" t="str">
        <f>HYPERLINK("http://npthd.inbcu.com/ViewContent.aspx?filename=NPMR_NBC_2017-07-08_W.MP4$560$740","COMMERCIAL")</f>
        <v>COMMERCIAL</v>
      </c>
      <c r="E1219" s="3" t="s">
        <v>22</v>
      </c>
      <c r="F1219" s="3" t="s">
        <v>4321</v>
      </c>
      <c r="G1219" s="3" t="s">
        <v>4322</v>
      </c>
    </row>
    <row r="1220" spans="1:7">
      <c r="A1220" s="6">
        <v>42924</v>
      </c>
      <c r="B1220" s="3" t="s">
        <v>3494</v>
      </c>
      <c r="C1220" s="3" t="s">
        <v>14</v>
      </c>
      <c r="D1220" s="8" t="str">
        <f>HYPERLINK("http://npthd.inbcu.com/ViewContent.aspx?filename=NPMR_NBC_2017-07-08_W.MP4$740$770","Americas Got Talent")</f>
        <v>Americas Got Talent</v>
      </c>
      <c r="E1220" s="3" t="s">
        <v>38</v>
      </c>
      <c r="F1220" s="3" t="s">
        <v>4322</v>
      </c>
      <c r="G1220" s="3" t="s">
        <v>340</v>
      </c>
    </row>
    <row r="1221" spans="1:7">
      <c r="A1221" s="6">
        <v>42924</v>
      </c>
      <c r="B1221" s="3" t="s">
        <v>3494</v>
      </c>
      <c r="C1221" s="3" t="s">
        <v>18</v>
      </c>
      <c r="D1221" s="8" t="str">
        <f>HYPERLINK("http://npthd.inbcu.com/ViewContent.aspx?filename=NPMR_NBC_2017-07-08_W.MP4$770$1175","LITTLE BIG SHOTS: FOREVER YOUNG: age aint nothing but a number")</f>
        <v>LITTLE BIG SHOTS: FOREVER YOUNG: age aint nothing but a number</v>
      </c>
      <c r="E1221" s="3" t="s">
        <v>1531</v>
      </c>
      <c r="F1221" s="3" t="s">
        <v>340</v>
      </c>
      <c r="G1221" s="3" t="s">
        <v>3168</v>
      </c>
    </row>
    <row r="1222" spans="1:7">
      <c r="A1222" s="6">
        <v>42924</v>
      </c>
      <c r="B1222" s="3" t="s">
        <v>3494</v>
      </c>
      <c r="C1222" s="3" t="s">
        <v>21</v>
      </c>
      <c r="D1222" s="8" t="str">
        <f>HYPERLINK("http://npthd.inbcu.com/ViewContent.aspx?filename=NPMR_NBC_2017-07-08_W.MP4$1175$1265","COMMERCIAL")</f>
        <v>COMMERCIAL</v>
      </c>
      <c r="E1222" s="3" t="s">
        <v>46</v>
      </c>
      <c r="F1222" s="3" t="s">
        <v>3168</v>
      </c>
      <c r="G1222" s="3" t="s">
        <v>4323</v>
      </c>
    </row>
    <row r="1223" spans="1:7">
      <c r="A1223" s="6">
        <v>42924</v>
      </c>
      <c r="B1223" s="3" t="s">
        <v>3494</v>
      </c>
      <c r="C1223" s="3" t="s">
        <v>14</v>
      </c>
      <c r="D1223" s="8" t="str">
        <f>HYPERLINK("http://npthd.inbcu.com/ViewContent.aspx?filename=NPMR_NBC_2017-07-08_W.MP4$1265$1270","Midnight Texas")</f>
        <v>Midnight Texas</v>
      </c>
      <c r="E1223" s="3" t="s">
        <v>54</v>
      </c>
      <c r="F1223" s="3" t="s">
        <v>4323</v>
      </c>
      <c r="G1223" s="3" t="s">
        <v>1825</v>
      </c>
    </row>
    <row r="1224" spans="1:7">
      <c r="A1224" s="6">
        <v>42924</v>
      </c>
      <c r="B1224" s="3" t="s">
        <v>3494</v>
      </c>
      <c r="C1224" s="3" t="s">
        <v>32</v>
      </c>
      <c r="D1224" s="8" t="str">
        <f>HYPERLINK("http://npthd.inbcu.com/ViewContent.aspx?filename=NPMR_NBC_2017-07-08_W.MP4$1270$1396","LOCAL")</f>
        <v>LOCAL</v>
      </c>
      <c r="E1224" s="3" t="s">
        <v>2828</v>
      </c>
      <c r="F1224" s="3" t="s">
        <v>1825</v>
      </c>
      <c r="G1224" s="3" t="s">
        <v>3171</v>
      </c>
    </row>
    <row r="1225" spans="1:7">
      <c r="A1225" s="6">
        <v>42924</v>
      </c>
      <c r="B1225" s="3" t="s">
        <v>3494</v>
      </c>
      <c r="C1225" s="3" t="s">
        <v>18</v>
      </c>
      <c r="D1225" s="8" t="str">
        <f>HYPERLINK("http://npthd.inbcu.com/ViewContent.aspx?filename=NPMR_NBC_2017-07-08_W.MP4$1396$1819","LITTLE BIG SHOTS: FOREVER YOUNG: age aint nothing but a number")</f>
        <v>LITTLE BIG SHOTS: FOREVER YOUNG: age aint nothing but a number</v>
      </c>
      <c r="E1225" s="3" t="s">
        <v>598</v>
      </c>
      <c r="F1225" s="3" t="s">
        <v>3171</v>
      </c>
      <c r="G1225" s="3" t="s">
        <v>1407</v>
      </c>
    </row>
    <row r="1226" spans="1:7">
      <c r="A1226" s="6">
        <v>42924</v>
      </c>
      <c r="B1226" s="3" t="s">
        <v>3494</v>
      </c>
      <c r="C1226" s="3" t="s">
        <v>14</v>
      </c>
      <c r="D1226" s="8" t="str">
        <f>HYPERLINK("http://npthd.inbcu.com/ViewContent.aspx?filename=NPMR_NBC_2017-07-08_W.MP4$1819$1834","American Ninja Warrior")</f>
        <v>American Ninja Warrior</v>
      </c>
      <c r="E1226" s="3" t="s">
        <v>30</v>
      </c>
      <c r="F1226" s="3" t="s">
        <v>1407</v>
      </c>
      <c r="G1226" s="3" t="s">
        <v>4324</v>
      </c>
    </row>
    <row r="1227" spans="1:7">
      <c r="A1227" s="6">
        <v>42924</v>
      </c>
      <c r="B1227" s="3" t="s">
        <v>3494</v>
      </c>
      <c r="C1227" s="3" t="s">
        <v>21</v>
      </c>
      <c r="D1227" s="8" t="str">
        <f>HYPERLINK("http://npthd.inbcu.com/ViewContent.aspx?filename=NPMR_NBC_2017-07-08_W.MP4$1834$2029","COMMERCIAL")</f>
        <v>COMMERCIAL</v>
      </c>
      <c r="E1227" s="3" t="s">
        <v>388</v>
      </c>
      <c r="F1227" s="3" t="s">
        <v>4324</v>
      </c>
      <c r="G1227" s="3" t="s">
        <v>4325</v>
      </c>
    </row>
    <row r="1228" spans="1:7">
      <c r="A1228" s="6">
        <v>42924</v>
      </c>
      <c r="B1228" s="3" t="s">
        <v>3494</v>
      </c>
      <c r="C1228" s="3" t="s">
        <v>14</v>
      </c>
      <c r="D1228" s="8" t="str">
        <f>HYPERLINK("http://npthd.inbcu.com/ViewContent.aspx?filename=NPMR_NBC_2017-07-08_W.MP4$2029$2044","Will &amp; Grace")</f>
        <v>Will &amp; Grace</v>
      </c>
      <c r="E1228" s="3" t="s">
        <v>30</v>
      </c>
      <c r="F1228" s="3" t="s">
        <v>4325</v>
      </c>
      <c r="G1228" s="3" t="s">
        <v>2274</v>
      </c>
    </row>
    <row r="1229" spans="1:7">
      <c r="A1229" s="6">
        <v>42924</v>
      </c>
      <c r="B1229" s="3" t="s">
        <v>3494</v>
      </c>
      <c r="C1229" s="3" t="s">
        <v>18</v>
      </c>
      <c r="D1229" s="8" t="str">
        <f>HYPERLINK("http://npthd.inbcu.com/ViewContent.aspx?filename=NPMR_NBC_2017-07-08_W.MP4$2044$2508","LITTLE BIG SHOTS: FOREVER YOUNG: age aint nothing but a number")</f>
        <v>LITTLE BIG SHOTS: FOREVER YOUNG: age aint nothing but a number</v>
      </c>
      <c r="E1229" s="3" t="s">
        <v>1582</v>
      </c>
      <c r="F1229" s="3" t="s">
        <v>2274</v>
      </c>
      <c r="G1229" s="3" t="s">
        <v>4326</v>
      </c>
    </row>
    <row r="1230" spans="1:7">
      <c r="A1230" s="6">
        <v>42924</v>
      </c>
      <c r="B1230" s="3" t="s">
        <v>3494</v>
      </c>
      <c r="C1230" s="3" t="s">
        <v>21</v>
      </c>
      <c r="D1230" s="8" t="str">
        <f>HYPERLINK("http://npthd.inbcu.com/ViewContent.aspx?filename=NPMR_NBC_2017-07-08_W.MP4$2508$2568","COMMERCIAL")</f>
        <v>COMMERCIAL</v>
      </c>
      <c r="E1230" s="3" t="s">
        <v>66</v>
      </c>
      <c r="F1230" s="3" t="s">
        <v>4326</v>
      </c>
      <c r="G1230" s="3" t="s">
        <v>1197</v>
      </c>
    </row>
    <row r="1231" spans="1:7">
      <c r="A1231" s="6">
        <v>42924</v>
      </c>
      <c r="B1231" s="3" t="s">
        <v>3494</v>
      </c>
      <c r="C1231" s="3" t="s">
        <v>14</v>
      </c>
      <c r="D1231" s="8" t="str">
        <f>HYPERLINK("http://npthd.inbcu.com/ViewContent.aspx?filename=NPMR_NBC_2017-07-08_W.MP4$2568$2583","World of Dance")</f>
        <v>World of Dance</v>
      </c>
      <c r="E1231" s="3" t="s">
        <v>30</v>
      </c>
      <c r="F1231" s="3" t="s">
        <v>1197</v>
      </c>
      <c r="G1231" s="3" t="s">
        <v>4327</v>
      </c>
    </row>
    <row r="1232" spans="1:7">
      <c r="A1232" s="6">
        <v>42924</v>
      </c>
      <c r="B1232" s="3" t="s">
        <v>3494</v>
      </c>
      <c r="C1232" s="3" t="s">
        <v>32</v>
      </c>
      <c r="D1232" s="8" t="str">
        <f>HYPERLINK("http://npthd.inbcu.com/ViewContent.aspx?filename=NPMR_NBC_2017-07-08_W.MP4$2583$2703","LOCAL")</f>
        <v>LOCAL</v>
      </c>
      <c r="E1232" s="3" t="s">
        <v>43</v>
      </c>
      <c r="F1232" s="3" t="s">
        <v>4327</v>
      </c>
      <c r="G1232" s="3" t="s">
        <v>4328</v>
      </c>
    </row>
    <row r="1233" spans="1:7">
      <c r="A1233" s="6">
        <v>42924</v>
      </c>
      <c r="B1233" s="3" t="s">
        <v>3494</v>
      </c>
      <c r="C1233" s="3" t="s">
        <v>14</v>
      </c>
      <c r="D1233" s="8" t="str">
        <f>HYPERLINK("http://npthd.inbcu.com/ViewContent.aspx?filename=NPMR_NBC_2017-07-08_W.MP4$2703$2718","Dateline Saturday Night Mystery")</f>
        <v>Dateline Saturday Night Mystery</v>
      </c>
      <c r="E1233" s="3" t="s">
        <v>30</v>
      </c>
      <c r="F1233" s="3" t="s">
        <v>4328</v>
      </c>
      <c r="G1233" s="3" t="s">
        <v>4329</v>
      </c>
    </row>
    <row r="1234" spans="1:7">
      <c r="A1234" s="6">
        <v>42924</v>
      </c>
      <c r="B1234" s="3" t="s">
        <v>3494</v>
      </c>
      <c r="C1234" s="3" t="s">
        <v>18</v>
      </c>
      <c r="D1234" s="8" t="str">
        <f>HYPERLINK("http://npthd.inbcu.com/ViewContent.aspx?filename=NPMR_NBC_2017-07-08_W.MP4$2718$3075","LITTLE BIG SHOTS: FOREVER YOUNG: age aint nothing but a number")</f>
        <v>LITTLE BIG SHOTS: FOREVER YOUNG: age aint nothing but a number</v>
      </c>
      <c r="E1234" s="3" t="s">
        <v>323</v>
      </c>
      <c r="F1234" s="3" t="s">
        <v>4329</v>
      </c>
      <c r="G1234" s="3" t="s">
        <v>4330</v>
      </c>
    </row>
    <row r="1235" spans="1:7">
      <c r="A1235" s="6">
        <v>42924</v>
      </c>
      <c r="B1235" s="3" t="s">
        <v>3494</v>
      </c>
      <c r="C1235" s="3" t="s">
        <v>21</v>
      </c>
      <c r="D1235" s="8" t="str">
        <f>HYPERLINK("http://npthd.inbcu.com/ViewContent.aspx?filename=NPMR_NBC_2017-07-08_W.MP4$3075$3255","COMMERCIAL")</f>
        <v>COMMERCIAL</v>
      </c>
      <c r="E1235" s="3" t="s">
        <v>22</v>
      </c>
      <c r="F1235" s="3" t="s">
        <v>4330</v>
      </c>
      <c r="G1235" s="3" t="s">
        <v>4331</v>
      </c>
    </row>
    <row r="1236" spans="1:7">
      <c r="A1236" s="6">
        <v>42924</v>
      </c>
      <c r="B1236" s="3" t="s">
        <v>3494</v>
      </c>
      <c r="C1236" s="3" t="s">
        <v>14</v>
      </c>
      <c r="D1236" s="8" t="str">
        <f>HYPERLINK("http://npthd.inbcu.com/ViewContent.aspx?filename=NPMR_NBC_2017-07-08_W.MP4$3255$3285","Brave, The")</f>
        <v>Brave, The</v>
      </c>
      <c r="E1236" s="3" t="s">
        <v>38</v>
      </c>
      <c r="F1236" s="3" t="s">
        <v>4331</v>
      </c>
      <c r="G1236" s="3" t="s">
        <v>4332</v>
      </c>
    </row>
    <row r="1237" spans="1:7">
      <c r="A1237" s="6">
        <v>42924</v>
      </c>
      <c r="B1237" s="3" t="s">
        <v>3494</v>
      </c>
      <c r="C1237" s="3" t="s">
        <v>18</v>
      </c>
      <c r="D1237" s="8" t="str">
        <f>HYPERLINK("http://npthd.inbcu.com/ViewContent.aspx?filename=NPMR_NBC_2017-07-08_W.MP4$3285$3652","LITTLE BIG SHOTS: FOREVER YOUNG: age aint nothing but a number")</f>
        <v>LITTLE BIG SHOTS: FOREVER YOUNG: age aint nothing but a number</v>
      </c>
      <c r="E1237" s="3" t="s">
        <v>3590</v>
      </c>
      <c r="F1237" s="3" t="s">
        <v>4332</v>
      </c>
      <c r="G1237" s="3" t="s">
        <v>4333</v>
      </c>
    </row>
    <row r="1238" spans="1:7">
      <c r="A1238" s="6">
        <v>42924</v>
      </c>
      <c r="B1238" s="3" t="s">
        <v>3494</v>
      </c>
      <c r="C1238" s="3" t="s">
        <v>14</v>
      </c>
      <c r="D1238" s="8" t="str">
        <f>HYPERLINK("http://npthd.inbcu.com/ViewContent.aspx?filename=NPMR_NBC_2017-07-08_W.MP4$3652$3682","Little Big Shots: Forever Young")</f>
        <v>Little Big Shots: Forever Young</v>
      </c>
      <c r="E1238" s="3" t="s">
        <v>38</v>
      </c>
      <c r="F1238" s="3" t="s">
        <v>4333</v>
      </c>
      <c r="G1238" s="3" t="s">
        <v>2196</v>
      </c>
    </row>
    <row r="1239" spans="1:7">
      <c r="A1239" s="6">
        <v>42924</v>
      </c>
      <c r="B1239" s="3" t="s">
        <v>3494</v>
      </c>
      <c r="C1239" s="3" t="s">
        <v>18</v>
      </c>
      <c r="D1239" s="8" t="str">
        <f>HYPERLINK("http://npthd.inbcu.com/ViewContent.aspx?filename=NPMR_NBC_2017-07-08_W.MP4$3682$3687","LITTLE BIG SHOTS: FOREVER YOUNG: age aint nothing but a number")</f>
        <v>LITTLE BIG SHOTS: FOREVER YOUNG: age aint nothing but a number</v>
      </c>
      <c r="E1239" s="3" t="s">
        <v>54</v>
      </c>
      <c r="F1239" s="3" t="s">
        <v>2196</v>
      </c>
      <c r="G1239" s="3" t="s">
        <v>242</v>
      </c>
    </row>
    <row r="1240" spans="1:7">
      <c r="A1240" s="6">
        <v>42924</v>
      </c>
      <c r="B1240" s="3" t="s">
        <v>3494</v>
      </c>
      <c r="C1240" s="3" t="s">
        <v>18</v>
      </c>
      <c r="D1240" s="8" t="str">
        <f>HYPERLINK("http://npthd.inbcu.com/ViewContent.aspx?filename=NPMR_NBC_2017-07-08_W.MP4$3687$4066","DATELINE SATURDAY NIGHT MYSTERY: sa2642")</f>
        <v>DATELINE SATURDAY NIGHT MYSTERY: sa2642</v>
      </c>
      <c r="E1240" s="3" t="s">
        <v>1174</v>
      </c>
      <c r="F1240" s="3" t="s">
        <v>242</v>
      </c>
      <c r="G1240" s="3" t="s">
        <v>4334</v>
      </c>
    </row>
    <row r="1241" spans="1:7">
      <c r="A1241" s="6">
        <v>42924</v>
      </c>
      <c r="B1241" s="3" t="s">
        <v>3494</v>
      </c>
      <c r="C1241" s="3" t="s">
        <v>21</v>
      </c>
      <c r="D1241" s="8" t="str">
        <f>HYPERLINK("http://npthd.inbcu.com/ViewContent.aspx?filename=NPMR_NBC_2017-07-08_W.MP4$4066$4186","COMMERCIAL")</f>
        <v>COMMERCIAL</v>
      </c>
      <c r="E1241" s="3" t="s">
        <v>43</v>
      </c>
      <c r="F1241" s="3" t="s">
        <v>4334</v>
      </c>
      <c r="G1241" s="3" t="s">
        <v>4335</v>
      </c>
    </row>
    <row r="1242" spans="1:7">
      <c r="A1242" s="6">
        <v>42924</v>
      </c>
      <c r="B1242" s="3" t="s">
        <v>3494</v>
      </c>
      <c r="C1242" s="3" t="s">
        <v>14</v>
      </c>
      <c r="D1242" s="8" t="str">
        <f>HYPERLINK("http://npthd.inbcu.com/ViewContent.aspx?filename=NPMR_NBC_2017-07-08_W.MP4$4186$4216","Law &amp; Order True Crime Menendez")</f>
        <v>Law &amp; Order True Crime Menendez</v>
      </c>
      <c r="E1242" s="3" t="s">
        <v>38</v>
      </c>
      <c r="F1242" s="3" t="s">
        <v>4335</v>
      </c>
      <c r="G1242" s="3" t="s">
        <v>2968</v>
      </c>
    </row>
    <row r="1243" spans="1:7">
      <c r="A1243" s="6">
        <v>42924</v>
      </c>
      <c r="B1243" s="3" t="s">
        <v>3494</v>
      </c>
      <c r="C1243" s="3" t="s">
        <v>18</v>
      </c>
      <c r="D1243" s="8" t="str">
        <f>HYPERLINK("http://npthd.inbcu.com/ViewContent.aspx?filename=NPMR_NBC_2017-07-08_W.MP4$4216$4592","DATELINE SATURDAY NIGHT MYSTERY: sa2642")</f>
        <v>DATELINE SATURDAY NIGHT MYSTERY: sa2642</v>
      </c>
      <c r="E1243" s="3" t="s">
        <v>79</v>
      </c>
      <c r="F1243" s="3" t="s">
        <v>2968</v>
      </c>
      <c r="G1243" s="3" t="s">
        <v>4336</v>
      </c>
    </row>
    <row r="1244" spans="1:7">
      <c r="A1244" s="6">
        <v>42924</v>
      </c>
      <c r="B1244" s="3" t="s">
        <v>3494</v>
      </c>
      <c r="C1244" s="3" t="s">
        <v>21</v>
      </c>
      <c r="D1244" s="8" t="str">
        <f>HYPERLINK("http://npthd.inbcu.com/ViewContent.aspx?filename=NPMR_NBC_2017-07-08_W.MP4$4592$4652","COMMERCIAL")</f>
        <v>COMMERCIAL</v>
      </c>
      <c r="E1244" s="3" t="s">
        <v>66</v>
      </c>
      <c r="F1244" s="3" t="s">
        <v>4336</v>
      </c>
      <c r="G1244" s="3" t="s">
        <v>4289</v>
      </c>
    </row>
    <row r="1245" spans="1:7">
      <c r="A1245" s="6">
        <v>42924</v>
      </c>
      <c r="B1245" s="3" t="s">
        <v>3494</v>
      </c>
      <c r="C1245" s="3" t="s">
        <v>14</v>
      </c>
      <c r="D1245" s="8" t="str">
        <f>HYPERLINK("http://npthd.inbcu.com/ViewContent.aspx?filename=NPMR_NBC_2017-07-08_W.MP4$4652$4657","Midnight Texas")</f>
        <v>Midnight Texas</v>
      </c>
      <c r="E1245" s="3" t="s">
        <v>54</v>
      </c>
      <c r="F1245" s="3" t="s">
        <v>4289</v>
      </c>
      <c r="G1245" s="3" t="s">
        <v>4337</v>
      </c>
    </row>
    <row r="1246" spans="1:7">
      <c r="A1246" s="6">
        <v>42924</v>
      </c>
      <c r="B1246" s="3" t="s">
        <v>3494</v>
      </c>
      <c r="C1246" s="3" t="s">
        <v>32</v>
      </c>
      <c r="D1246" s="8" t="str">
        <f>HYPERLINK("http://npthd.inbcu.com/ViewContent.aspx?filename=NPMR_NBC_2017-07-08_W.MP4$4657$4797","LOCAL")</f>
        <v>LOCAL</v>
      </c>
      <c r="E1246" s="3" t="s">
        <v>623</v>
      </c>
      <c r="F1246" s="3" t="s">
        <v>4337</v>
      </c>
      <c r="G1246" s="3" t="s">
        <v>3732</v>
      </c>
    </row>
    <row r="1247" spans="1:7">
      <c r="A1247" s="6">
        <v>42924</v>
      </c>
      <c r="B1247" s="3" t="s">
        <v>3494</v>
      </c>
      <c r="C1247" s="3" t="s">
        <v>18</v>
      </c>
      <c r="D1247" s="8" t="str">
        <f>HYPERLINK("http://npthd.inbcu.com/ViewContent.aspx?filename=NPMR_NBC_2017-07-08_W.MP4$4797$5229","DATELINE SATURDAY NIGHT MYSTERY: sa2642")</f>
        <v>DATELINE SATURDAY NIGHT MYSTERY: sa2642</v>
      </c>
      <c r="E1247" s="3" t="s">
        <v>1372</v>
      </c>
      <c r="F1247" s="3" t="s">
        <v>3732</v>
      </c>
      <c r="G1247" s="3" t="s">
        <v>4338</v>
      </c>
    </row>
    <row r="1248" spans="1:7">
      <c r="A1248" s="6">
        <v>42924</v>
      </c>
      <c r="B1248" s="3" t="s">
        <v>3494</v>
      </c>
      <c r="C1248" s="3" t="s">
        <v>21</v>
      </c>
      <c r="D1248" s="8" t="str">
        <f>HYPERLINK("http://npthd.inbcu.com/ViewContent.aspx?filename=NPMR_NBC_2017-07-08_W.MP4$5229$5379","COMMERCIAL")</f>
        <v>COMMERCIAL</v>
      </c>
      <c r="E1248" s="3" t="s">
        <v>28</v>
      </c>
      <c r="F1248" s="3" t="s">
        <v>4338</v>
      </c>
      <c r="G1248" s="3" t="s">
        <v>4339</v>
      </c>
    </row>
    <row r="1249" spans="1:7">
      <c r="A1249" s="6">
        <v>42924</v>
      </c>
      <c r="B1249" s="3" t="s">
        <v>3494</v>
      </c>
      <c r="C1249" s="3" t="s">
        <v>14</v>
      </c>
      <c r="D1249" s="8" t="str">
        <f>HYPERLINK("http://npthd.inbcu.com/ViewContent.aspx?filename=NPMR_NBC_2017-07-08_W.MP4$5379$5409","American Ninja Warrior")</f>
        <v>American Ninja Warrior</v>
      </c>
      <c r="E1249" s="3" t="s">
        <v>38</v>
      </c>
      <c r="F1249" s="3" t="s">
        <v>4339</v>
      </c>
      <c r="G1249" s="3" t="s">
        <v>4340</v>
      </c>
    </row>
    <row r="1250" spans="1:7">
      <c r="A1250" s="6">
        <v>42924</v>
      </c>
      <c r="B1250" s="3" t="s">
        <v>3494</v>
      </c>
      <c r="C1250" s="3" t="s">
        <v>18</v>
      </c>
      <c r="D1250" s="8" t="str">
        <f>HYPERLINK("http://npthd.inbcu.com/ViewContent.aspx?filename=NPMR_NBC_2017-07-08_W.MP4$5409$5779","DATELINE SATURDAY NIGHT MYSTERY: sa2642")</f>
        <v>DATELINE SATURDAY NIGHT MYSTERY: sa2642</v>
      </c>
      <c r="E1250" s="3" t="s">
        <v>538</v>
      </c>
      <c r="F1250" s="3" t="s">
        <v>4340</v>
      </c>
      <c r="G1250" s="3" t="s">
        <v>1727</v>
      </c>
    </row>
    <row r="1251" spans="1:7">
      <c r="A1251" s="6">
        <v>42924</v>
      </c>
      <c r="B1251" s="3" t="s">
        <v>3494</v>
      </c>
      <c r="C1251" s="3" t="s">
        <v>21</v>
      </c>
      <c r="D1251" s="8" t="str">
        <f>HYPERLINK("http://npthd.inbcu.com/ViewContent.aspx?filename=NPMR_NBC_2017-07-08_W.MP4$5779$5840","COMMERCIAL")</f>
        <v>COMMERCIAL</v>
      </c>
      <c r="E1251" s="3" t="s">
        <v>33</v>
      </c>
      <c r="F1251" s="3" t="s">
        <v>1727</v>
      </c>
      <c r="G1251" s="3" t="s">
        <v>1505</v>
      </c>
    </row>
    <row r="1252" spans="1:7">
      <c r="A1252" s="6">
        <v>42924</v>
      </c>
      <c r="B1252" s="3" t="s">
        <v>3494</v>
      </c>
      <c r="C1252" s="3" t="s">
        <v>14</v>
      </c>
      <c r="D1252" s="8" t="str">
        <f>HYPERLINK("http://npthd.inbcu.com/ViewContent.aspx?filename=NPMR_NBC_2017-07-08_W.MP4$5840$5855","Americas Got Talent")</f>
        <v>Americas Got Talent</v>
      </c>
      <c r="E1252" s="3" t="s">
        <v>30</v>
      </c>
      <c r="F1252" s="3" t="s">
        <v>1505</v>
      </c>
      <c r="G1252" s="3" t="s">
        <v>4341</v>
      </c>
    </row>
    <row r="1253" spans="1:7">
      <c r="A1253" s="6">
        <v>42924</v>
      </c>
      <c r="B1253" s="3" t="s">
        <v>3494</v>
      </c>
      <c r="C1253" s="3" t="s">
        <v>32</v>
      </c>
      <c r="D1253" s="8" t="str">
        <f>HYPERLINK("http://npthd.inbcu.com/ViewContent.aspx?filename=NPMR_NBC_2017-07-08_W.MP4$5855$5975","LOCAL")</f>
        <v>LOCAL</v>
      </c>
      <c r="E1253" s="3" t="s">
        <v>43</v>
      </c>
      <c r="F1253" s="3" t="s">
        <v>4341</v>
      </c>
      <c r="G1253" s="3" t="s">
        <v>1855</v>
      </c>
    </row>
    <row r="1254" spans="1:7">
      <c r="A1254" s="6">
        <v>42924</v>
      </c>
      <c r="B1254" s="3" t="s">
        <v>3494</v>
      </c>
      <c r="C1254" s="3" t="s">
        <v>14</v>
      </c>
      <c r="D1254" s="8" t="str">
        <f>HYPERLINK("http://npthd.inbcu.com/ViewContent.aspx?filename=NPMR_NBC_2017-07-08_W.MP4$5975$5990","World of Dance")</f>
        <v>World of Dance</v>
      </c>
      <c r="E1254" s="3" t="s">
        <v>30</v>
      </c>
      <c r="F1254" s="3" t="s">
        <v>1855</v>
      </c>
      <c r="G1254" s="3" t="s">
        <v>4342</v>
      </c>
    </row>
    <row r="1255" spans="1:7">
      <c r="A1255" s="6">
        <v>42924</v>
      </c>
      <c r="B1255" s="3" t="s">
        <v>3494</v>
      </c>
      <c r="C1255" s="3" t="s">
        <v>18</v>
      </c>
      <c r="D1255" s="8" t="str">
        <f>HYPERLINK("http://npthd.inbcu.com/ViewContent.aspx?filename=NPMR_NBC_2017-07-08_W.MP4$5990$6469","DATELINE SATURDAY NIGHT MYSTERY: sa2642")</f>
        <v>DATELINE SATURDAY NIGHT MYSTERY: sa2642</v>
      </c>
      <c r="E1255" s="3" t="s">
        <v>1129</v>
      </c>
      <c r="F1255" s="3" t="s">
        <v>4342</v>
      </c>
      <c r="G1255" s="3" t="s">
        <v>4343</v>
      </c>
    </row>
    <row r="1256" spans="1:7">
      <c r="A1256" s="6">
        <v>42924</v>
      </c>
      <c r="B1256" s="3" t="s">
        <v>3494</v>
      </c>
      <c r="C1256" s="3" t="s">
        <v>21</v>
      </c>
      <c r="D1256" s="8" t="str">
        <f>HYPERLINK("http://npthd.inbcu.com/ViewContent.aspx?filename=NPMR_NBC_2017-07-08_W.MP4$6469$6619","COMMERCIAL")</f>
        <v>COMMERCIAL</v>
      </c>
      <c r="E1256" s="3" t="s">
        <v>28</v>
      </c>
      <c r="F1256" s="3" t="s">
        <v>4343</v>
      </c>
      <c r="G1256" s="3" t="s">
        <v>4344</v>
      </c>
    </row>
    <row r="1257" spans="1:7">
      <c r="A1257" s="6">
        <v>42924</v>
      </c>
      <c r="B1257" s="3" t="s">
        <v>3494</v>
      </c>
      <c r="C1257" s="3" t="s">
        <v>14</v>
      </c>
      <c r="D1257" s="8" t="str">
        <f>HYPERLINK("http://npthd.inbcu.com/ViewContent.aspx?filename=NPMR_NBC_2017-07-08_W.MP4$6619$6649","Midnight Texas")</f>
        <v>Midnight Texas</v>
      </c>
      <c r="E1257" s="3" t="s">
        <v>38</v>
      </c>
      <c r="F1257" s="3" t="s">
        <v>4344</v>
      </c>
      <c r="G1257" s="3" t="s">
        <v>2295</v>
      </c>
    </row>
    <row r="1258" spans="1:7">
      <c r="A1258" s="6">
        <v>42924</v>
      </c>
      <c r="B1258" s="3" t="s">
        <v>3494</v>
      </c>
      <c r="C1258" s="3" t="s">
        <v>14</v>
      </c>
      <c r="D1258" s="8" t="str">
        <f>HYPERLINK("http://npthd.inbcu.com/ViewContent.aspx?filename=NPMR_NBC_2017-07-08_W.MP4$6649$6654","Marlon")</f>
        <v>Marlon</v>
      </c>
      <c r="E1258" s="3" t="s">
        <v>54</v>
      </c>
      <c r="F1258" s="3" t="s">
        <v>2295</v>
      </c>
      <c r="G1258" s="3" t="s">
        <v>4345</v>
      </c>
    </row>
    <row r="1259" spans="1:7">
      <c r="A1259" s="6">
        <v>42924</v>
      </c>
      <c r="B1259" s="3" t="s">
        <v>3494</v>
      </c>
      <c r="C1259" s="3" t="s">
        <v>18</v>
      </c>
      <c r="D1259" s="8" t="str">
        <f>HYPERLINK("http://npthd.inbcu.com/ViewContent.aspx?filename=NPMR_NBC_2017-07-08_W.MP4$6654$7050","DATELINE SATURDAY NIGHT MYSTERY: sa2642")</f>
        <v>DATELINE SATURDAY NIGHT MYSTERY: sa2642</v>
      </c>
      <c r="E1259" s="3" t="s">
        <v>3282</v>
      </c>
      <c r="F1259" s="3" t="s">
        <v>4345</v>
      </c>
      <c r="G1259" s="3" t="s">
        <v>2786</v>
      </c>
    </row>
    <row r="1260" spans="1:7">
      <c r="A1260" s="6">
        <v>42924</v>
      </c>
      <c r="B1260" s="3" t="s">
        <v>3494</v>
      </c>
      <c r="C1260" s="3" t="s">
        <v>21</v>
      </c>
      <c r="D1260" s="8" t="str">
        <f>HYPERLINK("http://npthd.inbcu.com/ViewContent.aspx?filename=NPMR_NBC_2017-07-08_W.MP4$7050$7110","COMMERCIAL")</f>
        <v>COMMERCIAL</v>
      </c>
      <c r="E1260" s="3" t="s">
        <v>66</v>
      </c>
      <c r="F1260" s="3" t="s">
        <v>2786</v>
      </c>
      <c r="G1260" s="3" t="s">
        <v>1231</v>
      </c>
    </row>
    <row r="1261" spans="1:7">
      <c r="A1261" s="6">
        <v>42924</v>
      </c>
      <c r="B1261" s="3" t="s">
        <v>3494</v>
      </c>
      <c r="C1261" s="3" t="s">
        <v>14</v>
      </c>
      <c r="D1261" s="8" t="str">
        <f>HYPERLINK("http://npthd.inbcu.com/ViewContent.aspx?filename=NPMR_NBC_2017-07-08_W.MP4$7110$7115","Americas Got Talent")</f>
        <v>Americas Got Talent</v>
      </c>
      <c r="E1261" s="3" t="s">
        <v>54</v>
      </c>
      <c r="F1261" s="3" t="s">
        <v>1231</v>
      </c>
      <c r="G1261" s="3" t="s">
        <v>4346</v>
      </c>
    </row>
    <row r="1262" spans="1:7">
      <c r="A1262" s="6">
        <v>42924</v>
      </c>
      <c r="B1262" s="3" t="s">
        <v>3494</v>
      </c>
      <c r="C1262" s="3" t="s">
        <v>32</v>
      </c>
      <c r="D1262" s="8" t="str">
        <f>HYPERLINK("http://npthd.inbcu.com/ViewContent.aspx?filename=NPMR_NBC_2017-07-08_W.MP4$7115$7177","LOCAL")</f>
        <v>LOCAL</v>
      </c>
      <c r="E1262" s="3" t="s">
        <v>257</v>
      </c>
      <c r="F1262" s="3" t="s">
        <v>4346</v>
      </c>
      <c r="G1262" s="3" t="s">
        <v>4347</v>
      </c>
    </row>
    <row r="1263" spans="1:7">
      <c r="A1263" s="6">
        <v>42924</v>
      </c>
      <c r="B1263" s="3" t="s">
        <v>3494</v>
      </c>
      <c r="C1263" s="3" t="s">
        <v>18</v>
      </c>
      <c r="D1263" s="8" t="str">
        <f>HYPERLINK("http://npthd.inbcu.com/ViewContent.aspx?filename=NPMR_NBC_2017-07-08_W.MP4$7177$7695","DATELINE SATURDAY NIGHT MYSTERY: sa2642")</f>
        <v>DATELINE SATURDAY NIGHT MYSTERY: sa2642</v>
      </c>
      <c r="E1263" s="3" t="s">
        <v>1095</v>
      </c>
      <c r="F1263" s="3" t="s">
        <v>4347</v>
      </c>
      <c r="G1263" s="3" t="s">
        <v>4348</v>
      </c>
    </row>
    <row r="1264" spans="1:7">
      <c r="A1264" s="6">
        <v>42924</v>
      </c>
      <c r="B1264" s="3" t="s">
        <v>3494</v>
      </c>
      <c r="C1264" s="3" t="s">
        <v>21</v>
      </c>
      <c r="D1264" s="8" t="str">
        <f>HYPERLINK("http://npthd.inbcu.com/ViewContent.aspx?filename=NPMR_NBC_2017-07-08_W.MP4$7695$7815","COMMERCIAL")</f>
        <v>COMMERCIAL</v>
      </c>
      <c r="E1264" s="3" t="s">
        <v>43</v>
      </c>
      <c r="F1264" s="3" t="s">
        <v>4348</v>
      </c>
      <c r="G1264" s="3" t="s">
        <v>4349</v>
      </c>
    </row>
    <row r="1265" spans="1:7">
      <c r="A1265" s="6">
        <v>42924</v>
      </c>
      <c r="B1265" s="3" t="s">
        <v>3494</v>
      </c>
      <c r="C1265" s="3" t="s">
        <v>14</v>
      </c>
      <c r="D1265" s="8" t="str">
        <f>HYPERLINK("http://npthd.inbcu.com/ViewContent.aspx?filename=NPMR_NBC_2017-07-08_W.MP4$7815$7845","NBC Tuesday")</f>
        <v>NBC Tuesday</v>
      </c>
      <c r="E1265" s="3" t="s">
        <v>38</v>
      </c>
      <c r="F1265" s="3" t="s">
        <v>4349</v>
      </c>
      <c r="G1265" s="3" t="s">
        <v>4350</v>
      </c>
    </row>
    <row r="1266" spans="1:7">
      <c r="A1266" s="6">
        <v>42924</v>
      </c>
      <c r="B1266" s="3" t="s">
        <v>3494</v>
      </c>
      <c r="C1266" s="3" t="s">
        <v>1618</v>
      </c>
      <c r="D1266" s="8" t="str">
        <f>HYPERLINK("http://npthd.inbcu.com/ViewContent.aspx?filename=NPMR_NBC_2017-07-08_W.MP4$7845$7860","PSA")</f>
        <v>PSA</v>
      </c>
      <c r="E1266" s="3" t="s">
        <v>30</v>
      </c>
      <c r="F1266" s="3" t="s">
        <v>4350</v>
      </c>
      <c r="G1266" s="3" t="s">
        <v>4351</v>
      </c>
    </row>
    <row r="1267" spans="1:7">
      <c r="A1267" s="6">
        <v>42924</v>
      </c>
      <c r="B1267" s="3" t="s">
        <v>3494</v>
      </c>
      <c r="C1267" s="3" t="s">
        <v>18</v>
      </c>
      <c r="D1267" s="8" t="str">
        <f>HYPERLINK("http://npthd.inbcu.com/ViewContent.aspx?filename=NPMR_NBC_2017-07-08_W.MP4$7860$8284","DATELINE SATURDAY NIGHT MYSTERY: sa2642")</f>
        <v>DATELINE SATURDAY NIGHT MYSTERY: sa2642</v>
      </c>
      <c r="E1267" s="3" t="s">
        <v>1818</v>
      </c>
      <c r="F1267" s="3" t="s">
        <v>4351</v>
      </c>
      <c r="G1267" s="3" t="s">
        <v>1160</v>
      </c>
    </row>
    <row r="1268" spans="1:7">
      <c r="A1268" s="6">
        <v>42924</v>
      </c>
      <c r="B1268" s="3" t="s">
        <v>3494</v>
      </c>
      <c r="C1268" s="3" t="s">
        <v>21</v>
      </c>
      <c r="D1268" s="8" t="str">
        <f>HYPERLINK("http://npthd.inbcu.com/ViewContent.aspx?filename=NPMR_NBC_2017-07-08_W.MP4$8284$8344","COMMERCIAL")</f>
        <v>COMMERCIAL</v>
      </c>
      <c r="E1268" s="3" t="s">
        <v>66</v>
      </c>
      <c r="F1268" s="3" t="s">
        <v>1160</v>
      </c>
      <c r="G1268" s="3" t="s">
        <v>4352</v>
      </c>
    </row>
    <row r="1269" spans="1:7">
      <c r="A1269" s="6">
        <v>42924</v>
      </c>
      <c r="B1269" s="3" t="s">
        <v>3494</v>
      </c>
      <c r="C1269" s="3" t="s">
        <v>14</v>
      </c>
      <c r="D1269" s="8" t="str">
        <f>HYPERLINK("http://npthd.inbcu.com/ViewContent.aspx?filename=NPMR_NBC_2017-07-08_W.MP4$8344$8349","American Ninja Warrior")</f>
        <v>American Ninja Warrior</v>
      </c>
      <c r="E1269" s="3" t="s">
        <v>54</v>
      </c>
      <c r="F1269" s="3" t="s">
        <v>4352</v>
      </c>
      <c r="G1269" s="3" t="s">
        <v>3685</v>
      </c>
    </row>
    <row r="1270" spans="1:7">
      <c r="A1270" s="6">
        <v>42924</v>
      </c>
      <c r="B1270" s="3" t="s">
        <v>3494</v>
      </c>
      <c r="C1270" s="3" t="s">
        <v>32</v>
      </c>
      <c r="D1270" s="8" t="str">
        <f>HYPERLINK("http://npthd.inbcu.com/ViewContent.aspx?filename=NPMR_NBC_2017-07-08_W.MP4$8349$8513","LOCAL")</f>
        <v>LOCAL</v>
      </c>
      <c r="E1270" s="3" t="s">
        <v>4353</v>
      </c>
      <c r="F1270" s="3" t="s">
        <v>3685</v>
      </c>
      <c r="G1270" s="3" t="s">
        <v>3483</v>
      </c>
    </row>
    <row r="1271" spans="1:7">
      <c r="A1271" s="6">
        <v>42924</v>
      </c>
      <c r="B1271" s="3" t="s">
        <v>3494</v>
      </c>
      <c r="C1271" s="3" t="s">
        <v>18</v>
      </c>
      <c r="D1271" s="8" t="str">
        <f>HYPERLINK("http://npthd.inbcu.com/ViewContent.aspx?filename=NPMR_NBC_2017-07-08_W.MP4$8513$8868","DATELINE SATURDAY NIGHT MYSTERY: sa2642")</f>
        <v>DATELINE SATURDAY NIGHT MYSTERY: sa2642</v>
      </c>
      <c r="E1271" s="3" t="s">
        <v>2264</v>
      </c>
      <c r="F1271" s="3" t="s">
        <v>3483</v>
      </c>
      <c r="G1271" s="3" t="s">
        <v>4354</v>
      </c>
    </row>
    <row r="1272" spans="1:7">
      <c r="A1272" s="6">
        <v>42924</v>
      </c>
      <c r="B1272" s="3" t="s">
        <v>3494</v>
      </c>
      <c r="C1272" s="3" t="s">
        <v>21</v>
      </c>
      <c r="D1272" s="8" t="str">
        <f>HYPERLINK("http://npthd.inbcu.com/ViewContent.aspx?filename=NPMR_NBC_2017-07-08_W.MP4$8868$9049","COMMERCIAL")</f>
        <v>COMMERCIAL</v>
      </c>
      <c r="E1272" s="3" t="s">
        <v>108</v>
      </c>
      <c r="F1272" s="3" t="s">
        <v>4354</v>
      </c>
      <c r="G1272" s="3" t="s">
        <v>4355</v>
      </c>
    </row>
    <row r="1273" spans="1:7">
      <c r="A1273" s="6">
        <v>42924</v>
      </c>
      <c r="B1273" s="3" t="s">
        <v>3494</v>
      </c>
      <c r="C1273" s="3" t="s">
        <v>14</v>
      </c>
      <c r="D1273" s="8" t="str">
        <f>HYPERLINK("http://npthd.inbcu.com/ViewContent.aspx?filename=NPMR_NBC_2017-07-08_W.MP4$9049$9064","Midnight Texas")</f>
        <v>Midnight Texas</v>
      </c>
      <c r="E1273" s="3" t="s">
        <v>30</v>
      </c>
      <c r="F1273" s="3" t="s">
        <v>4355</v>
      </c>
      <c r="G1273" s="3" t="s">
        <v>3105</v>
      </c>
    </row>
    <row r="1274" spans="1:7">
      <c r="A1274" s="6">
        <v>42924</v>
      </c>
      <c r="B1274" s="3" t="s">
        <v>3494</v>
      </c>
      <c r="C1274" s="3" t="s">
        <v>14</v>
      </c>
      <c r="D1274" s="8" t="str">
        <f>HYPERLINK("http://npthd.inbcu.com/ViewContent.aspx?filename=NPMR_NBC_2017-07-08_W.MP4$9064$9079","NFL Network")</f>
        <v>NFL Network</v>
      </c>
      <c r="E1274" s="3" t="s">
        <v>30</v>
      </c>
      <c r="F1274" s="3" t="s">
        <v>3105</v>
      </c>
      <c r="G1274" s="3" t="s">
        <v>4356</v>
      </c>
    </row>
    <row r="1275" spans="1:7">
      <c r="A1275" s="6">
        <v>42924</v>
      </c>
      <c r="B1275" s="3" t="s">
        <v>3494</v>
      </c>
      <c r="C1275" s="3" t="s">
        <v>18</v>
      </c>
      <c r="D1275" s="8" t="str">
        <f>HYPERLINK("http://npthd.inbcu.com/ViewContent.aspx?filename=NPMR_NBC_2017-07-08_W.MP4$9079$9524","DATELINE SATURDAY NIGHT MYSTERY: sa2642")</f>
        <v>DATELINE SATURDAY NIGHT MYSTERY: sa2642</v>
      </c>
      <c r="E1275" s="3" t="s">
        <v>426</v>
      </c>
      <c r="F1275" s="3" t="s">
        <v>4356</v>
      </c>
      <c r="G1275" s="3" t="s">
        <v>4357</v>
      </c>
    </row>
    <row r="1276" spans="1:7">
      <c r="A1276" s="6">
        <v>42924</v>
      </c>
      <c r="B1276" s="3" t="s">
        <v>3494</v>
      </c>
      <c r="C1276" s="3" t="s">
        <v>21</v>
      </c>
      <c r="D1276" s="8" t="str">
        <f>HYPERLINK("http://npthd.inbcu.com/ViewContent.aspx?filename=NPMR_NBC_2017-07-08_W.MP4$9524$9675","COMMERCIAL")</f>
        <v>COMMERCIAL</v>
      </c>
      <c r="E1276" s="3" t="s">
        <v>91</v>
      </c>
      <c r="F1276" s="3" t="s">
        <v>4357</v>
      </c>
      <c r="G1276" s="3" t="s">
        <v>4358</v>
      </c>
    </row>
    <row r="1277" spans="1:7">
      <c r="A1277" s="6">
        <v>42924</v>
      </c>
      <c r="B1277" s="3" t="s">
        <v>3494</v>
      </c>
      <c r="C1277" s="3" t="s">
        <v>14</v>
      </c>
      <c r="D1277" s="8" t="str">
        <f>HYPERLINK("http://npthd.inbcu.com/ViewContent.aspx?filename=NPMR_NBC_2017-07-08_W.MP4$9675$9690","Sunday Night with Megyn Kelly")</f>
        <v>Sunday Night with Megyn Kelly</v>
      </c>
      <c r="E1277" s="3" t="s">
        <v>30</v>
      </c>
      <c r="F1277" s="3" t="s">
        <v>4358</v>
      </c>
      <c r="G1277" s="3" t="s">
        <v>766</v>
      </c>
    </row>
    <row r="1278" spans="1:7">
      <c r="A1278" s="6">
        <v>42924</v>
      </c>
      <c r="B1278" s="3" t="s">
        <v>3494</v>
      </c>
      <c r="C1278" s="3" t="s">
        <v>14</v>
      </c>
      <c r="D1278" s="8" t="str">
        <f>HYPERLINK("http://npthd.inbcu.com/ViewContent.aspx?filename=NPMR_NBC_2017-07-08_W.MP4$9690$9720","Brave, The")</f>
        <v>Brave, The</v>
      </c>
      <c r="E1278" s="3" t="s">
        <v>38</v>
      </c>
      <c r="F1278" s="3" t="s">
        <v>766</v>
      </c>
      <c r="G1278" s="3" t="s">
        <v>4359</v>
      </c>
    </row>
    <row r="1279" spans="1:7">
      <c r="A1279" s="6">
        <v>42924</v>
      </c>
      <c r="B1279" s="3" t="s">
        <v>3494</v>
      </c>
      <c r="C1279" s="3" t="s">
        <v>18</v>
      </c>
      <c r="D1279" s="8" t="str">
        <f>HYPERLINK("http://npthd.inbcu.com/ViewContent.aspx?filename=NPMR_NBC_2017-07-08_W.MP4$9720$10115","DATELINE SATURDAY NIGHT MYSTERY: sa2642")</f>
        <v>DATELINE SATURDAY NIGHT MYSTERY: sa2642</v>
      </c>
      <c r="E1279" s="3" t="s">
        <v>1655</v>
      </c>
      <c r="F1279" s="3" t="s">
        <v>4359</v>
      </c>
      <c r="G1279" s="3" t="s">
        <v>4360</v>
      </c>
    </row>
    <row r="1280" spans="1:7">
      <c r="A1280" s="6">
        <v>42924</v>
      </c>
      <c r="B1280" s="3" t="s">
        <v>3494</v>
      </c>
      <c r="C1280" s="3" t="s">
        <v>21</v>
      </c>
      <c r="D1280" s="8" t="str">
        <f>HYPERLINK("http://npthd.inbcu.com/ViewContent.aspx?filename=NPMR_NBC_2017-07-08_W.MP4$10115$10264","COMMERCIAL")</f>
        <v>COMMERCIAL</v>
      </c>
      <c r="E1280" s="3" t="s">
        <v>952</v>
      </c>
      <c r="F1280" s="3" t="s">
        <v>4360</v>
      </c>
      <c r="G1280" s="3" t="s">
        <v>4361</v>
      </c>
    </row>
    <row r="1281" spans="1:7">
      <c r="A1281" s="6">
        <v>42924</v>
      </c>
      <c r="B1281" s="3" t="s">
        <v>3494</v>
      </c>
      <c r="C1281" s="3" t="s">
        <v>32</v>
      </c>
      <c r="D1281" s="8" t="str">
        <f>HYPERLINK("http://npthd.inbcu.com/ViewContent.aspx?filename=NPMR_NBC_2017-07-08_W.MP4$10264$10280","LOCAL")</f>
        <v>LOCAL</v>
      </c>
      <c r="E1281" s="3" t="s">
        <v>64</v>
      </c>
      <c r="F1281" s="3" t="s">
        <v>4361</v>
      </c>
      <c r="G1281" s="3" t="s">
        <v>4362</v>
      </c>
    </row>
    <row r="1282" spans="1:7">
      <c r="A1282" s="6">
        <v>42924</v>
      </c>
      <c r="B1282" s="3" t="s">
        <v>3494</v>
      </c>
      <c r="C1282" s="3" t="s">
        <v>14</v>
      </c>
      <c r="D1282" s="8" t="str">
        <f>HYPERLINK("http://npthd.inbcu.com/ViewContent.aspx?filename=NPMR_NBC_2017-07-08_W.MP4$10280$10295","Dateline NBC")</f>
        <v>Dateline NBC</v>
      </c>
      <c r="E1282" s="3" t="s">
        <v>30</v>
      </c>
      <c r="F1282" s="3" t="s">
        <v>4362</v>
      </c>
      <c r="G1282" s="3" t="s">
        <v>3451</v>
      </c>
    </row>
    <row r="1283" spans="1:7">
      <c r="A1283" s="6">
        <v>42924</v>
      </c>
      <c r="B1283" s="3" t="s">
        <v>3494</v>
      </c>
      <c r="C1283" s="3" t="s">
        <v>14</v>
      </c>
      <c r="D1283" s="8" t="str">
        <f>HYPERLINK("http://npthd.inbcu.com/ViewContent.aspx?filename=NPMR_NBC_2017-07-08_W.MP4$10295$10310","American Ninja Warrior")</f>
        <v>American Ninja Warrior</v>
      </c>
      <c r="E1283" s="3" t="s">
        <v>30</v>
      </c>
      <c r="F1283" s="3" t="s">
        <v>3451</v>
      </c>
      <c r="G1283" s="3" t="s">
        <v>4363</v>
      </c>
    </row>
    <row r="1284" spans="1:7">
      <c r="A1284" s="6">
        <v>42924</v>
      </c>
      <c r="B1284" s="3" t="s">
        <v>3494</v>
      </c>
      <c r="C1284" s="3" t="s">
        <v>18</v>
      </c>
      <c r="D1284" s="8" t="str">
        <f>HYPERLINK("http://npthd.inbcu.com/ViewContent.aspx?filename=NPMR_NBC_2017-07-08_W.MP4$10310$10852","DATELINE SATURDAY NIGHT MYSTERY: sa2642")</f>
        <v>DATELINE SATURDAY NIGHT MYSTERY: sa2642</v>
      </c>
      <c r="E1284" s="3" t="s">
        <v>2741</v>
      </c>
      <c r="F1284" s="3" t="s">
        <v>4363</v>
      </c>
      <c r="G1284" s="3" t="s">
        <v>4364</v>
      </c>
    </row>
    <row r="1285" spans="1:7">
      <c r="A1285" s="6">
        <v>42924</v>
      </c>
      <c r="B1285" s="3" t="s">
        <v>3494</v>
      </c>
      <c r="C1285" s="3" t="s">
        <v>14</v>
      </c>
      <c r="D1285" s="8" t="str">
        <f>HYPERLINK("http://npthd.inbcu.com/ViewContent.aspx?filename=NPMR_NBC_2017-07-08_W.MP4$10852$10857","NBC News")</f>
        <v>NBC News</v>
      </c>
      <c r="E1285" s="3" t="s">
        <v>54</v>
      </c>
      <c r="F1285" s="3" t="s">
        <v>4364</v>
      </c>
      <c r="G1285" s="3" t="s">
        <v>3554</v>
      </c>
    </row>
    <row r="1286" spans="1:7">
      <c r="A1286" s="6">
        <v>42924</v>
      </c>
      <c r="B1286" s="3" t="s">
        <v>3494</v>
      </c>
      <c r="C1286" s="3" t="s">
        <v>32</v>
      </c>
      <c r="D1286" s="8" t="str">
        <f>HYPERLINK("http://npthd.inbcu.com/ViewContent.aspx?filename=NPMR_NBC_2017-07-08_W.MP4$10857$10887","LOCAL")</f>
        <v>LOCAL</v>
      </c>
      <c r="E1286" s="3" t="s">
        <v>38</v>
      </c>
      <c r="F1286" s="3" t="s">
        <v>3554</v>
      </c>
      <c r="G1286" s="3" t="s">
        <v>124</v>
      </c>
    </row>
    <row r="1287" spans="1:7">
      <c r="A1287" s="6">
        <v>42925</v>
      </c>
      <c r="B1287" s="3" t="s">
        <v>3494</v>
      </c>
      <c r="C1287" s="3" t="s">
        <v>18</v>
      </c>
      <c r="D1287" s="8" t="str">
        <f>HYPERLINK("http://npthd.inbcu.com/ViewContent.aspx?filename=NPMR_NBC_2017-07-09_E.MP4$80$924","SUNDAY NIGHT WITH MEGYN KELLY: mgn105")</f>
        <v>SUNDAY NIGHT WITH MEGYN KELLY: mgn105</v>
      </c>
      <c r="E1287" s="3" t="s">
        <v>4365</v>
      </c>
      <c r="F1287" s="3" t="s">
        <v>311</v>
      </c>
      <c r="G1287" s="3" t="s">
        <v>4366</v>
      </c>
    </row>
    <row r="1288" spans="1:7">
      <c r="A1288" s="6">
        <v>42925</v>
      </c>
      <c r="B1288" s="3" t="s">
        <v>3494</v>
      </c>
      <c r="C1288" s="3" t="s">
        <v>21</v>
      </c>
      <c r="D1288" s="8" t="str">
        <f>HYPERLINK("http://npthd.inbcu.com/ViewContent.aspx?filename=NPMR_NBC_2017-07-09_E.MP4$924$1014","COMMERCIAL")</f>
        <v>COMMERCIAL</v>
      </c>
      <c r="E1288" s="3" t="s">
        <v>46</v>
      </c>
      <c r="F1288" s="3" t="s">
        <v>4366</v>
      </c>
      <c r="G1288" s="3" t="s">
        <v>4367</v>
      </c>
    </row>
    <row r="1289" spans="1:7">
      <c r="A1289" s="6">
        <v>42925</v>
      </c>
      <c r="B1289" s="3" t="s">
        <v>3494</v>
      </c>
      <c r="C1289" s="3" t="s">
        <v>14</v>
      </c>
      <c r="D1289" s="8" t="str">
        <f>HYPERLINK("http://npthd.inbcu.com/ViewContent.aspx?filename=NPMR_NBC_2017-07-09_E.MP4$1014$1029","Americas Got Talent")</f>
        <v>Americas Got Talent</v>
      </c>
      <c r="E1289" s="3" t="s">
        <v>30</v>
      </c>
      <c r="F1289" s="3" t="s">
        <v>4367</v>
      </c>
      <c r="G1289" s="3" t="s">
        <v>4368</v>
      </c>
    </row>
    <row r="1290" spans="1:7">
      <c r="A1290" s="6">
        <v>42925</v>
      </c>
      <c r="B1290" s="3" t="s">
        <v>3494</v>
      </c>
      <c r="C1290" s="3" t="s">
        <v>14</v>
      </c>
      <c r="D1290" s="8" t="str">
        <f>HYPERLINK("http://npthd.inbcu.com/ViewContent.aspx?filename=NPMR_NBC_2017-07-09_E.MP4$1029$1059","World of Dance")</f>
        <v>World of Dance</v>
      </c>
      <c r="E1290" s="3" t="s">
        <v>38</v>
      </c>
      <c r="F1290" s="3" t="s">
        <v>4368</v>
      </c>
      <c r="G1290" s="3" t="s">
        <v>4369</v>
      </c>
    </row>
    <row r="1291" spans="1:7">
      <c r="A1291" s="6">
        <v>42925</v>
      </c>
      <c r="B1291" s="3" t="s">
        <v>3494</v>
      </c>
      <c r="C1291" s="3" t="s">
        <v>18</v>
      </c>
      <c r="D1291" s="8" t="str">
        <f>HYPERLINK("http://npthd.inbcu.com/ViewContent.aspx?filename=NPMR_NBC_2017-07-09_E.MP4$1059$1775","SUNDAY NIGHT WITH MEGYN KELLY: mgn105")</f>
        <v>SUNDAY NIGHT WITH MEGYN KELLY: mgn105</v>
      </c>
      <c r="E1291" s="3" t="s">
        <v>1977</v>
      </c>
      <c r="F1291" s="3" t="s">
        <v>4369</v>
      </c>
      <c r="G1291" s="3" t="s">
        <v>4370</v>
      </c>
    </row>
    <row r="1292" spans="1:7">
      <c r="A1292" s="6">
        <v>42925</v>
      </c>
      <c r="B1292" s="3" t="s">
        <v>3494</v>
      </c>
      <c r="C1292" s="3" t="s">
        <v>21</v>
      </c>
      <c r="D1292" s="8" t="str">
        <f>HYPERLINK("http://npthd.inbcu.com/ViewContent.aspx?filename=NPMR_NBC_2017-07-09_E.MP4$1775$1850","COMMERCIAL")</f>
        <v>COMMERCIAL</v>
      </c>
      <c r="E1292" s="3" t="s">
        <v>531</v>
      </c>
      <c r="F1292" s="3" t="s">
        <v>4370</v>
      </c>
      <c r="G1292" s="3" t="s">
        <v>4371</v>
      </c>
    </row>
    <row r="1293" spans="1:7">
      <c r="A1293" s="6">
        <v>42925</v>
      </c>
      <c r="B1293" s="3" t="s">
        <v>3494</v>
      </c>
      <c r="C1293" s="3" t="s">
        <v>14</v>
      </c>
      <c r="D1293" s="8" t="str">
        <f>HYPERLINK("http://npthd.inbcu.com/ViewContent.aspx?filename=NPMR_NBC_2017-07-09_E.MP4$1850$1865","Today")</f>
        <v>Today</v>
      </c>
      <c r="E1293" s="3" t="s">
        <v>30</v>
      </c>
      <c r="F1293" s="3" t="s">
        <v>4371</v>
      </c>
      <c r="G1293" s="3" t="s">
        <v>4372</v>
      </c>
    </row>
    <row r="1294" spans="1:7">
      <c r="A1294" s="6">
        <v>42925</v>
      </c>
      <c r="B1294" s="3" t="s">
        <v>3494</v>
      </c>
      <c r="C1294" s="3" t="s">
        <v>32</v>
      </c>
      <c r="D1294" s="8" t="str">
        <f>HYPERLINK("http://npthd.inbcu.com/ViewContent.aspx?filename=NPMR_NBC_2017-07-09_E.MP4$1865$1959","LOCAL")</f>
        <v>LOCAL</v>
      </c>
      <c r="E1294" s="3" t="s">
        <v>1917</v>
      </c>
      <c r="F1294" s="3" t="s">
        <v>4372</v>
      </c>
      <c r="G1294" s="3" t="s">
        <v>4373</v>
      </c>
    </row>
    <row r="1295" spans="1:7">
      <c r="A1295" s="6">
        <v>42925</v>
      </c>
      <c r="B1295" s="3" t="s">
        <v>3494</v>
      </c>
      <c r="C1295" s="3" t="s">
        <v>14</v>
      </c>
      <c r="D1295" s="8" t="str">
        <f>HYPERLINK("http://npthd.inbcu.com/ViewContent.aspx?filename=NPMR_NBC_2017-07-09_E.MP4$1959$1989","Brave, The")</f>
        <v>Brave, The</v>
      </c>
      <c r="E1295" s="3" t="s">
        <v>38</v>
      </c>
      <c r="F1295" s="3" t="s">
        <v>4373</v>
      </c>
      <c r="G1295" s="3" t="s">
        <v>4374</v>
      </c>
    </row>
    <row r="1296" spans="1:7">
      <c r="A1296" s="6">
        <v>42925</v>
      </c>
      <c r="B1296" s="3" t="s">
        <v>3494</v>
      </c>
      <c r="C1296" s="3" t="s">
        <v>18</v>
      </c>
      <c r="D1296" s="8" t="str">
        <f>HYPERLINK("http://npthd.inbcu.com/ViewContent.aspx?filename=NPMR_NBC_2017-07-09_E.MP4$1989$2667","SUNDAY NIGHT WITH MEGYN KELLY: mgn105")</f>
        <v>SUNDAY NIGHT WITH MEGYN KELLY: mgn105</v>
      </c>
      <c r="E1296" s="3" t="s">
        <v>339</v>
      </c>
      <c r="F1296" s="3" t="s">
        <v>4374</v>
      </c>
      <c r="G1296" s="3" t="s">
        <v>4375</v>
      </c>
    </row>
    <row r="1297" spans="1:7">
      <c r="A1297" s="6">
        <v>42925</v>
      </c>
      <c r="B1297" s="3" t="s">
        <v>3494</v>
      </c>
      <c r="C1297" s="3" t="s">
        <v>21</v>
      </c>
      <c r="D1297" s="8" t="str">
        <f>HYPERLINK("http://npthd.inbcu.com/ViewContent.aspx?filename=NPMR_NBC_2017-07-09_E.MP4$2667$2817","COMMERCIAL")</f>
        <v>COMMERCIAL</v>
      </c>
      <c r="E1297" s="3" t="s">
        <v>28</v>
      </c>
      <c r="F1297" s="3" t="s">
        <v>4375</v>
      </c>
      <c r="G1297" s="3" t="s">
        <v>4376</v>
      </c>
    </row>
    <row r="1298" spans="1:7">
      <c r="A1298" s="6">
        <v>42925</v>
      </c>
      <c r="B1298" s="3" t="s">
        <v>3494</v>
      </c>
      <c r="C1298" s="3" t="s">
        <v>4377</v>
      </c>
      <c r="D1298" s="8" t="str">
        <f>HYPERLINK("http://npthd.inbcu.com/ViewContent.aspx?filename=NPMR_NBC_2017-07-09_E.MP4$2817$2832","OTHER")</f>
        <v>OTHER</v>
      </c>
      <c r="E1298" s="3" t="s">
        <v>30</v>
      </c>
      <c r="F1298" s="3" t="s">
        <v>4376</v>
      </c>
      <c r="G1298" s="3" t="s">
        <v>4378</v>
      </c>
    </row>
    <row r="1299" spans="1:7">
      <c r="A1299" s="6">
        <v>42925</v>
      </c>
      <c r="B1299" s="3" t="s">
        <v>3494</v>
      </c>
      <c r="C1299" s="3" t="s">
        <v>14</v>
      </c>
      <c r="D1299" s="8" t="str">
        <f>HYPERLINK("http://npthd.inbcu.com/ViewContent.aspx?filename=NPMR_NBC_2017-07-09_E.MP4$2832$2862","American Ninja Warrior")</f>
        <v>American Ninja Warrior</v>
      </c>
      <c r="E1299" s="3" t="s">
        <v>38</v>
      </c>
      <c r="F1299" s="3" t="s">
        <v>4378</v>
      </c>
      <c r="G1299" s="3" t="s">
        <v>4379</v>
      </c>
    </row>
    <row r="1300" spans="1:7">
      <c r="A1300" s="6">
        <v>42925</v>
      </c>
      <c r="B1300" s="3" t="s">
        <v>3494</v>
      </c>
      <c r="C1300" s="3" t="s">
        <v>18</v>
      </c>
      <c r="D1300" s="8" t="str">
        <f>HYPERLINK("http://npthd.inbcu.com/ViewContent.aspx?filename=NPMR_NBC_2017-07-09_E.MP4$2862$3115","SUNDAY NIGHT WITH MEGYN KELLY: mgn105")</f>
        <v>SUNDAY NIGHT WITH MEGYN KELLY: mgn105</v>
      </c>
      <c r="E1300" s="3" t="s">
        <v>2105</v>
      </c>
      <c r="F1300" s="3" t="s">
        <v>4379</v>
      </c>
      <c r="G1300" s="3" t="s">
        <v>4380</v>
      </c>
    </row>
    <row r="1301" spans="1:7">
      <c r="A1301" s="6">
        <v>42925</v>
      </c>
      <c r="B1301" s="3" t="s">
        <v>3494</v>
      </c>
      <c r="C1301" s="3" t="s">
        <v>21</v>
      </c>
      <c r="D1301" s="8" t="str">
        <f>HYPERLINK("http://npthd.inbcu.com/ViewContent.aspx?filename=NPMR_NBC_2017-07-09_E.MP4$3115$3205","COMMERCIAL")</f>
        <v>COMMERCIAL</v>
      </c>
      <c r="E1301" s="3" t="s">
        <v>46</v>
      </c>
      <c r="F1301" s="3" t="s">
        <v>4380</v>
      </c>
      <c r="G1301" s="3" t="s">
        <v>4381</v>
      </c>
    </row>
    <row r="1302" spans="1:7">
      <c r="A1302" s="6">
        <v>42925</v>
      </c>
      <c r="B1302" s="3" t="s">
        <v>3494</v>
      </c>
      <c r="C1302" s="3" t="s">
        <v>14</v>
      </c>
      <c r="D1302" s="8" t="str">
        <f>HYPERLINK("http://npthd.inbcu.com/ViewContent.aspx?filename=NPMR_NBC_2017-07-09_E.MP4$3205$3210","Little Big Shots: Forever Young")</f>
        <v>Little Big Shots: Forever Young</v>
      </c>
      <c r="E1302" s="3" t="s">
        <v>54</v>
      </c>
      <c r="F1302" s="3" t="s">
        <v>4381</v>
      </c>
      <c r="G1302" s="3" t="s">
        <v>4382</v>
      </c>
    </row>
    <row r="1303" spans="1:7">
      <c r="A1303" s="6">
        <v>42925</v>
      </c>
      <c r="B1303" s="3" t="s">
        <v>3494</v>
      </c>
      <c r="C1303" s="3" t="s">
        <v>32</v>
      </c>
      <c r="D1303" s="8" t="str">
        <f>HYPERLINK("http://npthd.inbcu.com/ViewContent.aspx?filename=NPMR_NBC_2017-07-09_E.MP4$3210$3330","LOCAL")</f>
        <v>LOCAL</v>
      </c>
      <c r="E1303" s="3" t="s">
        <v>43</v>
      </c>
      <c r="F1303" s="3" t="s">
        <v>4382</v>
      </c>
      <c r="G1303" s="3" t="s">
        <v>4383</v>
      </c>
    </row>
    <row r="1304" spans="1:7">
      <c r="A1304" s="6">
        <v>42925</v>
      </c>
      <c r="B1304" s="3" t="s">
        <v>3494</v>
      </c>
      <c r="C1304" s="3" t="s">
        <v>14</v>
      </c>
      <c r="D1304" s="8" t="str">
        <f>HYPERLINK("http://npthd.inbcu.com/ViewContent.aspx?filename=NPMR_NBC_2017-07-09_E.MP4$3330$3335","American Ninja Warrior")</f>
        <v>American Ninja Warrior</v>
      </c>
      <c r="E1304" s="3" t="s">
        <v>54</v>
      </c>
      <c r="F1304" s="3" t="s">
        <v>4383</v>
      </c>
      <c r="G1304" s="3" t="s">
        <v>4384</v>
      </c>
    </row>
    <row r="1305" spans="1:7">
      <c r="A1305" s="6">
        <v>42925</v>
      </c>
      <c r="B1305" s="3" t="s">
        <v>3494</v>
      </c>
      <c r="C1305" s="3" t="s">
        <v>18</v>
      </c>
      <c r="D1305" s="8" t="str">
        <f>HYPERLINK("http://npthd.inbcu.com/ViewContent.aspx?filename=NPMR_NBC_2017-07-09_E.MP4$3335$3448","SUNDAY NIGHT WITH MEGYN KELLY: mgn105")</f>
        <v>SUNDAY NIGHT WITH MEGYN KELLY: mgn105</v>
      </c>
      <c r="E1305" s="3" t="s">
        <v>4385</v>
      </c>
      <c r="F1305" s="3" t="s">
        <v>4384</v>
      </c>
      <c r="G1305" s="3" t="s">
        <v>4386</v>
      </c>
    </row>
    <row r="1306" spans="1:7">
      <c r="A1306" s="6">
        <v>42925</v>
      </c>
      <c r="B1306" s="3" t="s">
        <v>3494</v>
      </c>
      <c r="C1306" s="3" t="s">
        <v>21</v>
      </c>
      <c r="D1306" s="8" t="str">
        <f>HYPERLINK("http://npthd.inbcu.com/ViewContent.aspx?filename=NPMR_NBC_2017-07-09_E.MP4$3448$3598","COMMERCIAL")</f>
        <v>COMMERCIAL</v>
      </c>
      <c r="E1306" s="3" t="s">
        <v>28</v>
      </c>
      <c r="F1306" s="3" t="s">
        <v>4386</v>
      </c>
      <c r="G1306" s="3" t="s">
        <v>4387</v>
      </c>
    </row>
    <row r="1307" spans="1:7">
      <c r="A1307" s="6">
        <v>42925</v>
      </c>
      <c r="B1307" s="3" t="s">
        <v>3494</v>
      </c>
      <c r="C1307" s="3" t="s">
        <v>14</v>
      </c>
      <c r="D1307" s="8" t="str">
        <f>HYPERLINK("http://npthd.inbcu.com/ViewContent.aspx?filename=NPMR_NBC_2017-07-09_E.MP4$3598$3613","Dateline NBC")</f>
        <v>Dateline NBC</v>
      </c>
      <c r="E1307" s="3" t="s">
        <v>30</v>
      </c>
      <c r="F1307" s="3" t="s">
        <v>4387</v>
      </c>
      <c r="G1307" s="3" t="s">
        <v>4388</v>
      </c>
    </row>
    <row r="1308" spans="1:7">
      <c r="A1308" s="6">
        <v>42925</v>
      </c>
      <c r="B1308" s="3" t="s">
        <v>3494</v>
      </c>
      <c r="C1308" s="3" t="s">
        <v>18</v>
      </c>
      <c r="D1308" s="8" t="str">
        <f>HYPERLINK("http://npthd.inbcu.com/ViewContent.aspx?filename=NPMR_NBC_2017-07-09_E.MP4$3613$3679","SUNDAY NIGHT WITH MEGYN KELLY: mgn105")</f>
        <v>SUNDAY NIGHT WITH MEGYN KELLY: mgn105</v>
      </c>
      <c r="E1308" s="3" t="s">
        <v>2088</v>
      </c>
      <c r="F1308" s="3" t="s">
        <v>4388</v>
      </c>
      <c r="G1308" s="3" t="s">
        <v>3655</v>
      </c>
    </row>
    <row r="1309" spans="1:7">
      <c r="A1309" s="6">
        <v>42925</v>
      </c>
      <c r="B1309" s="3" t="s">
        <v>3494</v>
      </c>
      <c r="C1309" s="3" t="s">
        <v>18</v>
      </c>
      <c r="D1309" s="8" t="str">
        <f>HYPERLINK("http://npthd.inbcu.com/ViewContent.aspx?filename=NPMR_NBC_2017-07-09_E.MP4$3679$4127","THE WALL: lenny and sharon")</f>
        <v>THE WALL: lenny and sharon</v>
      </c>
      <c r="E1309" s="3" t="s">
        <v>163</v>
      </c>
      <c r="F1309" s="3" t="s">
        <v>3655</v>
      </c>
      <c r="G1309" s="3" t="s">
        <v>4389</v>
      </c>
    </row>
    <row r="1310" spans="1:7">
      <c r="A1310" s="6">
        <v>42925</v>
      </c>
      <c r="B1310" s="3" t="s">
        <v>3494</v>
      </c>
      <c r="C1310" s="3" t="s">
        <v>21</v>
      </c>
      <c r="D1310" s="8" t="str">
        <f>HYPERLINK("http://npthd.inbcu.com/ViewContent.aspx?filename=NPMR_NBC_2017-07-09_E.MP4$4127$4308","COMMERCIAL")</f>
        <v>COMMERCIAL</v>
      </c>
      <c r="E1310" s="3" t="s">
        <v>108</v>
      </c>
      <c r="F1310" s="3" t="s">
        <v>4389</v>
      </c>
      <c r="G1310" s="3" t="s">
        <v>4390</v>
      </c>
    </row>
    <row r="1311" spans="1:7">
      <c r="A1311" s="6">
        <v>42925</v>
      </c>
      <c r="B1311" s="3" t="s">
        <v>3494</v>
      </c>
      <c r="C1311" s="3" t="s">
        <v>14</v>
      </c>
      <c r="D1311" s="8" t="str">
        <f>HYPERLINK("http://npthd.inbcu.com/ViewContent.aspx?filename=NPMR_NBC_2017-07-09_E.MP4$4308$4338","American Ninja Warrior")</f>
        <v>American Ninja Warrior</v>
      </c>
      <c r="E1311" s="3" t="s">
        <v>38</v>
      </c>
      <c r="F1311" s="3" t="s">
        <v>4390</v>
      </c>
      <c r="G1311" s="3" t="s">
        <v>4044</v>
      </c>
    </row>
    <row r="1312" spans="1:7">
      <c r="A1312" s="6">
        <v>42925</v>
      </c>
      <c r="B1312" s="3" t="s">
        <v>3494</v>
      </c>
      <c r="C1312" s="3" t="s">
        <v>18</v>
      </c>
      <c r="D1312" s="8" t="str">
        <f>HYPERLINK("http://npthd.inbcu.com/ViewContent.aspx?filename=NPMR_NBC_2017-07-09_E.MP4$4338$4931","THE WALL: lenny and sharon")</f>
        <v>THE WALL: lenny and sharon</v>
      </c>
      <c r="E1312" s="3" t="s">
        <v>641</v>
      </c>
      <c r="F1312" s="3" t="s">
        <v>4044</v>
      </c>
      <c r="G1312" s="3" t="s">
        <v>2892</v>
      </c>
    </row>
    <row r="1313" spans="1:7">
      <c r="A1313" s="6">
        <v>42925</v>
      </c>
      <c r="B1313" s="3" t="s">
        <v>3494</v>
      </c>
      <c r="C1313" s="3" t="s">
        <v>21</v>
      </c>
      <c r="D1313" s="8" t="str">
        <f>HYPERLINK("http://npthd.inbcu.com/ViewContent.aspx?filename=NPMR_NBC_2017-07-09_E.MP4$4931$5051","COMMERCIAL")</f>
        <v>COMMERCIAL</v>
      </c>
      <c r="E1313" s="3" t="s">
        <v>43</v>
      </c>
      <c r="F1313" s="3" t="s">
        <v>2892</v>
      </c>
      <c r="G1313" s="3" t="s">
        <v>3919</v>
      </c>
    </row>
    <row r="1314" spans="1:7">
      <c r="A1314" s="6">
        <v>42925</v>
      </c>
      <c r="B1314" s="3" t="s">
        <v>3494</v>
      </c>
      <c r="C1314" s="3" t="s">
        <v>14</v>
      </c>
      <c r="D1314" s="8" t="str">
        <f>HYPERLINK("http://npthd.inbcu.com/ViewContent.aspx?filename=NPMR_NBC_2017-07-09_E.MP4$5051$5066","NFL Network")</f>
        <v>NFL Network</v>
      </c>
      <c r="E1314" s="3" t="s">
        <v>30</v>
      </c>
      <c r="F1314" s="3" t="s">
        <v>3919</v>
      </c>
      <c r="G1314" s="3" t="s">
        <v>4391</v>
      </c>
    </row>
    <row r="1315" spans="1:7">
      <c r="A1315" s="6">
        <v>42925</v>
      </c>
      <c r="B1315" s="3" t="s">
        <v>3494</v>
      </c>
      <c r="C1315" s="3" t="s">
        <v>32</v>
      </c>
      <c r="D1315" s="8" t="str">
        <f>HYPERLINK("http://npthd.inbcu.com/ViewContent.aspx?filename=NPMR_NBC_2017-07-09_E.MP4$5066$5160","LOCAL")</f>
        <v>LOCAL</v>
      </c>
      <c r="E1315" s="3" t="s">
        <v>1917</v>
      </c>
      <c r="F1315" s="3" t="s">
        <v>4391</v>
      </c>
      <c r="G1315" s="3" t="s">
        <v>3921</v>
      </c>
    </row>
    <row r="1316" spans="1:7">
      <c r="A1316" s="6">
        <v>42925</v>
      </c>
      <c r="B1316" s="3" t="s">
        <v>3494</v>
      </c>
      <c r="C1316" s="3" t="s">
        <v>14</v>
      </c>
      <c r="D1316" s="8" t="str">
        <f>HYPERLINK("http://npthd.inbcu.com/ViewContent.aspx?filename=NPMR_NBC_2017-07-09_E.MP4$5160$5165","Midnight Texas")</f>
        <v>Midnight Texas</v>
      </c>
      <c r="E1316" s="3" t="s">
        <v>54</v>
      </c>
      <c r="F1316" s="3" t="s">
        <v>3921</v>
      </c>
      <c r="G1316" s="3" t="s">
        <v>4392</v>
      </c>
    </row>
    <row r="1317" spans="1:7">
      <c r="A1317" s="6">
        <v>42925</v>
      </c>
      <c r="B1317" s="3" t="s">
        <v>3494</v>
      </c>
      <c r="C1317" s="3" t="s">
        <v>18</v>
      </c>
      <c r="D1317" s="8" t="str">
        <f>HYPERLINK("http://npthd.inbcu.com/ViewContent.aspx?filename=NPMR_NBC_2017-07-09_E.MP4$5165$5612","THE WALL: lenny and sharon")</f>
        <v>THE WALL: lenny and sharon</v>
      </c>
      <c r="E1317" s="3" t="s">
        <v>1110</v>
      </c>
      <c r="F1317" s="3" t="s">
        <v>4392</v>
      </c>
      <c r="G1317" s="3" t="s">
        <v>37</v>
      </c>
    </row>
    <row r="1318" spans="1:7">
      <c r="A1318" s="6">
        <v>42925</v>
      </c>
      <c r="B1318" s="3" t="s">
        <v>3494</v>
      </c>
      <c r="C1318" s="3" t="s">
        <v>14</v>
      </c>
      <c r="D1318" s="8" t="str">
        <f>HYPERLINK("http://npthd.inbcu.com/ViewContent.aspx?filename=NPMR_NBC_2017-07-09_E.MP4$5612$5627","Americas Got Talent")</f>
        <v>Americas Got Talent</v>
      </c>
      <c r="E1318" s="3" t="s">
        <v>30</v>
      </c>
      <c r="F1318" s="3" t="s">
        <v>37</v>
      </c>
      <c r="G1318" s="3" t="s">
        <v>4393</v>
      </c>
    </row>
    <row r="1319" spans="1:7">
      <c r="A1319" s="6">
        <v>42925</v>
      </c>
      <c r="B1319" s="3" t="s">
        <v>3494</v>
      </c>
      <c r="C1319" s="3" t="s">
        <v>32</v>
      </c>
      <c r="D1319" s="8" t="str">
        <f>HYPERLINK("http://npthd.inbcu.com/ViewContent.aspx?filename=NPMR_NBC_2017-07-09_E.MP4$5627$5807","LOCAL")</f>
        <v>LOCAL</v>
      </c>
      <c r="E1319" s="3" t="s">
        <v>22</v>
      </c>
      <c r="F1319" s="3" t="s">
        <v>4393</v>
      </c>
      <c r="G1319" s="3" t="s">
        <v>3294</v>
      </c>
    </row>
    <row r="1320" spans="1:7">
      <c r="A1320" s="6">
        <v>42925</v>
      </c>
      <c r="B1320" s="3" t="s">
        <v>3494</v>
      </c>
      <c r="C1320" s="3" t="s">
        <v>14</v>
      </c>
      <c r="D1320" s="8" t="str">
        <f>HYPERLINK("http://npthd.inbcu.com/ViewContent.aspx?filename=NPMR_NBC_2017-07-09_E.MP4$5807$5822","World of Dance")</f>
        <v>World of Dance</v>
      </c>
      <c r="E1320" s="3" t="s">
        <v>30</v>
      </c>
      <c r="F1320" s="3" t="s">
        <v>3294</v>
      </c>
      <c r="G1320" s="3" t="s">
        <v>4394</v>
      </c>
    </row>
    <row r="1321" spans="1:7">
      <c r="A1321" s="6">
        <v>42925</v>
      </c>
      <c r="B1321" s="3" t="s">
        <v>3494</v>
      </c>
      <c r="C1321" s="3" t="s">
        <v>18</v>
      </c>
      <c r="D1321" s="8" t="str">
        <f>HYPERLINK("http://npthd.inbcu.com/ViewContent.aspx?filename=NPMR_NBC_2017-07-09_E.MP4$5822$6319","THE WALL: lenny and sharon")</f>
        <v>THE WALL: lenny and sharon</v>
      </c>
      <c r="E1321" s="3" t="s">
        <v>656</v>
      </c>
      <c r="F1321" s="3" t="s">
        <v>4394</v>
      </c>
      <c r="G1321" s="3" t="s">
        <v>235</v>
      </c>
    </row>
    <row r="1322" spans="1:7">
      <c r="A1322" s="6">
        <v>42925</v>
      </c>
      <c r="B1322" s="3" t="s">
        <v>3494</v>
      </c>
      <c r="C1322" s="3" t="s">
        <v>21</v>
      </c>
      <c r="D1322" s="8" t="str">
        <f>HYPERLINK("http://npthd.inbcu.com/ViewContent.aspx?filename=NPMR_NBC_2017-07-09_E.MP4$6319$6409","COMMERCIAL")</f>
        <v>COMMERCIAL</v>
      </c>
      <c r="E1322" s="3" t="s">
        <v>46</v>
      </c>
      <c r="F1322" s="3" t="s">
        <v>235</v>
      </c>
      <c r="G1322" s="3" t="s">
        <v>4395</v>
      </c>
    </row>
    <row r="1323" spans="1:7">
      <c r="A1323" s="6">
        <v>42925</v>
      </c>
      <c r="B1323" s="3" t="s">
        <v>3494</v>
      </c>
      <c r="C1323" s="3" t="s">
        <v>14</v>
      </c>
      <c r="D1323" s="8" t="str">
        <f>HYPERLINK("http://npthd.inbcu.com/ViewContent.aspx?filename=NPMR_NBC_2017-07-09_E.MP4$6409$6424","Night Shift, The")</f>
        <v>Night Shift, The</v>
      </c>
      <c r="E1323" s="3" t="s">
        <v>30</v>
      </c>
      <c r="F1323" s="3" t="s">
        <v>4395</v>
      </c>
      <c r="G1323" s="3" t="s">
        <v>236</v>
      </c>
    </row>
    <row r="1324" spans="1:7">
      <c r="A1324" s="6">
        <v>42925</v>
      </c>
      <c r="B1324" s="3" t="s">
        <v>3494</v>
      </c>
      <c r="C1324" s="3" t="s">
        <v>32</v>
      </c>
      <c r="D1324" s="8" t="str">
        <f>HYPERLINK("http://npthd.inbcu.com/ViewContent.aspx?filename=NPMR_NBC_2017-07-09_E.MP4$6424$6514","LOCAL")</f>
        <v>LOCAL</v>
      </c>
      <c r="E1324" s="3" t="s">
        <v>46</v>
      </c>
      <c r="F1324" s="3" t="s">
        <v>236</v>
      </c>
      <c r="G1324" s="3" t="s">
        <v>2708</v>
      </c>
    </row>
    <row r="1325" spans="1:7">
      <c r="A1325" s="6">
        <v>42925</v>
      </c>
      <c r="B1325" s="3" t="s">
        <v>3494</v>
      </c>
      <c r="C1325" s="3" t="s">
        <v>14</v>
      </c>
      <c r="D1325" s="8" t="str">
        <f>HYPERLINK("http://npthd.inbcu.com/ViewContent.aspx?filename=NPMR_NBC_2017-07-09_E.MP4$6514$6529","Midnight Texas")</f>
        <v>Midnight Texas</v>
      </c>
      <c r="E1325" s="3" t="s">
        <v>30</v>
      </c>
      <c r="F1325" s="3" t="s">
        <v>2708</v>
      </c>
      <c r="G1325" s="3" t="s">
        <v>4100</v>
      </c>
    </row>
    <row r="1326" spans="1:7">
      <c r="A1326" s="6">
        <v>42925</v>
      </c>
      <c r="B1326" s="3" t="s">
        <v>3494</v>
      </c>
      <c r="C1326" s="3" t="s">
        <v>18</v>
      </c>
      <c r="D1326" s="8" t="str">
        <f>HYPERLINK("http://npthd.inbcu.com/ViewContent.aspx?filename=NPMR_NBC_2017-07-09_E.MP4$6529$6838","THE WALL: lenny and sharon")</f>
        <v>THE WALL: lenny and sharon</v>
      </c>
      <c r="E1326" s="3" t="s">
        <v>480</v>
      </c>
      <c r="F1326" s="3" t="s">
        <v>4100</v>
      </c>
      <c r="G1326" s="3" t="s">
        <v>4396</v>
      </c>
    </row>
    <row r="1327" spans="1:7">
      <c r="A1327" s="6">
        <v>42925</v>
      </c>
      <c r="B1327" s="3" t="s">
        <v>3494</v>
      </c>
      <c r="C1327" s="3" t="s">
        <v>21</v>
      </c>
      <c r="D1327" s="8" t="str">
        <f>HYPERLINK("http://npthd.inbcu.com/ViewContent.aspx?filename=NPMR_NBC_2017-07-09_E.MP4$6838$7018","COMMERCIAL")</f>
        <v>COMMERCIAL</v>
      </c>
      <c r="E1327" s="3" t="s">
        <v>22</v>
      </c>
      <c r="F1327" s="3" t="s">
        <v>4396</v>
      </c>
      <c r="G1327" s="3" t="s">
        <v>4397</v>
      </c>
    </row>
    <row r="1328" spans="1:7">
      <c r="A1328" s="6">
        <v>42925</v>
      </c>
      <c r="B1328" s="3" t="s">
        <v>3494</v>
      </c>
      <c r="C1328" s="3" t="s">
        <v>14</v>
      </c>
      <c r="D1328" s="8" t="str">
        <f>HYPERLINK("http://npthd.inbcu.com/ViewContent.aspx?filename=NPMR_NBC_2017-07-09_E.MP4$7018$7033","Little Big Shots: Forever Young")</f>
        <v>Little Big Shots: Forever Young</v>
      </c>
      <c r="E1328" s="3" t="s">
        <v>30</v>
      </c>
      <c r="F1328" s="3" t="s">
        <v>4397</v>
      </c>
      <c r="G1328" s="3" t="s">
        <v>4398</v>
      </c>
    </row>
    <row r="1329" spans="1:7">
      <c r="A1329" s="6">
        <v>42925</v>
      </c>
      <c r="B1329" s="3" t="s">
        <v>3494</v>
      </c>
      <c r="C1329" s="3" t="s">
        <v>14</v>
      </c>
      <c r="D1329" s="8" t="str">
        <f>HYPERLINK("http://npthd.inbcu.com/ViewContent.aspx?filename=NPMR_NBC_2017-07-09_E.MP4$7033$7049","Will &amp; Grace")</f>
        <v>Will &amp; Grace</v>
      </c>
      <c r="E1329" s="3" t="s">
        <v>64</v>
      </c>
      <c r="F1329" s="3" t="s">
        <v>4398</v>
      </c>
      <c r="G1329" s="3" t="s">
        <v>987</v>
      </c>
    </row>
    <row r="1330" spans="1:7">
      <c r="A1330" s="6">
        <v>42925</v>
      </c>
      <c r="B1330" s="3" t="s">
        <v>3494</v>
      </c>
      <c r="C1330" s="3" t="s">
        <v>18</v>
      </c>
      <c r="D1330" s="8" t="str">
        <f>HYPERLINK("http://npthd.inbcu.com/ViewContent.aspx?filename=NPMR_NBC_2017-07-09_E.MP4$7049$7242","THE WALL: lenny and sharon")</f>
        <v>THE WALL: lenny and sharon</v>
      </c>
      <c r="E1330" s="3" t="s">
        <v>2899</v>
      </c>
      <c r="F1330" s="3" t="s">
        <v>987</v>
      </c>
      <c r="G1330" s="3" t="s">
        <v>4399</v>
      </c>
    </row>
    <row r="1331" spans="1:7">
      <c r="A1331" s="6">
        <v>42925</v>
      </c>
      <c r="B1331" s="3" t="s">
        <v>3494</v>
      </c>
      <c r="C1331" s="3" t="s">
        <v>14</v>
      </c>
      <c r="D1331" s="8" t="str">
        <f>HYPERLINK("http://npthd.inbcu.com/ViewContent.aspx?filename=NPMR_NBC_2017-07-09_E.MP4$7242$7254","Wall, The")</f>
        <v>Wall, The</v>
      </c>
      <c r="E1331" s="3" t="s">
        <v>2057</v>
      </c>
      <c r="F1331" s="3" t="s">
        <v>4399</v>
      </c>
      <c r="G1331" s="3" t="s">
        <v>2407</v>
      </c>
    </row>
    <row r="1332" spans="1:7">
      <c r="A1332" s="6">
        <v>42925</v>
      </c>
      <c r="B1332" s="3" t="s">
        <v>3494</v>
      </c>
      <c r="C1332" s="3" t="s">
        <v>14</v>
      </c>
      <c r="D1332" s="8" t="str">
        <f>HYPERLINK("http://npthd.inbcu.com/ViewContent.aspx?filename=NPMR_NBC_2017-07-09_E.MP4$7254$7258","Wall, The")</f>
        <v>Wall, The</v>
      </c>
      <c r="E1332" s="3" t="s">
        <v>84</v>
      </c>
      <c r="F1332" s="3" t="s">
        <v>2407</v>
      </c>
      <c r="G1332" s="3" t="s">
        <v>2144</v>
      </c>
    </row>
    <row r="1333" spans="1:7">
      <c r="A1333" s="6">
        <v>42925</v>
      </c>
      <c r="B1333" s="3" t="s">
        <v>3494</v>
      </c>
      <c r="C1333" s="3" t="s">
        <v>14</v>
      </c>
      <c r="D1333" s="8" t="str">
        <f>HYPERLINK("http://npthd.inbcu.com/ViewContent.aspx?filename=NPMR_NBC_2017-07-09_E.MP4$7258$7272","Brave, The")</f>
        <v>Brave, The</v>
      </c>
      <c r="E1333" s="3" t="s">
        <v>342</v>
      </c>
      <c r="F1333" s="3" t="s">
        <v>2144</v>
      </c>
      <c r="G1333" s="3" t="s">
        <v>3253</v>
      </c>
    </row>
    <row r="1334" spans="1:7">
      <c r="A1334" s="6">
        <v>42925</v>
      </c>
      <c r="B1334" s="3" t="s">
        <v>3494</v>
      </c>
      <c r="C1334" s="3" t="s">
        <v>18</v>
      </c>
      <c r="D1334" s="8" t="str">
        <f>HYPERLINK("http://npthd.inbcu.com/ViewContent.aspx?filename=NPMR_NBC_2017-07-09_E.MP4$7272$7279","THE WALL: lenny and sharon")</f>
        <v>THE WALL: lenny and sharon</v>
      </c>
      <c r="E1334" s="3" t="s">
        <v>567</v>
      </c>
      <c r="F1334" s="3" t="s">
        <v>3253</v>
      </c>
      <c r="G1334" s="3" t="s">
        <v>2283</v>
      </c>
    </row>
    <row r="1335" spans="1:7">
      <c r="A1335" s="6">
        <v>42925</v>
      </c>
      <c r="B1335" s="3" t="s">
        <v>3494</v>
      </c>
      <c r="C1335" s="3" t="s">
        <v>18</v>
      </c>
      <c r="D1335" s="8" t="str">
        <f>HYPERLINK("http://npthd.inbcu.com/ViewContent.aspx?filename=NPMR_NBC_2017-07-09_E.MP4$7279$7846","AMERICAN NINJA WARRIOR: daytona beach qualifiers")</f>
        <v>AMERICAN NINJA WARRIOR: daytona beach qualifiers</v>
      </c>
      <c r="E1335" s="3" t="s">
        <v>2543</v>
      </c>
      <c r="F1335" s="3" t="s">
        <v>2283</v>
      </c>
      <c r="G1335" s="3" t="s">
        <v>4400</v>
      </c>
    </row>
    <row r="1336" spans="1:7">
      <c r="A1336" s="6">
        <v>42925</v>
      </c>
      <c r="B1336" s="3" t="s">
        <v>3494</v>
      </c>
      <c r="C1336" s="3" t="s">
        <v>21</v>
      </c>
      <c r="D1336" s="8" t="str">
        <f>HYPERLINK("http://npthd.inbcu.com/ViewContent.aspx?filename=NPMR_NBC_2017-07-09_E.MP4$7846$8027","COMMERCIAL")</f>
        <v>COMMERCIAL</v>
      </c>
      <c r="E1336" s="3" t="s">
        <v>108</v>
      </c>
      <c r="F1336" s="3" t="s">
        <v>4400</v>
      </c>
      <c r="G1336" s="3" t="s">
        <v>4401</v>
      </c>
    </row>
    <row r="1337" spans="1:7">
      <c r="A1337" s="6">
        <v>42925</v>
      </c>
      <c r="B1337" s="3" t="s">
        <v>3494</v>
      </c>
      <c r="C1337" s="3" t="s">
        <v>14</v>
      </c>
      <c r="D1337" s="8" t="str">
        <f>HYPERLINK("http://npthd.inbcu.com/ViewContent.aspx?filename=NPMR_NBC_2017-07-09_E.MP4$8027$8057","Brave, The")</f>
        <v>Brave, The</v>
      </c>
      <c r="E1337" s="3" t="s">
        <v>38</v>
      </c>
      <c r="F1337" s="3" t="s">
        <v>4401</v>
      </c>
      <c r="G1337" s="3" t="s">
        <v>4402</v>
      </c>
    </row>
    <row r="1338" spans="1:7">
      <c r="A1338" s="6">
        <v>42925</v>
      </c>
      <c r="B1338" s="3" t="s">
        <v>3494</v>
      </c>
      <c r="C1338" s="3" t="s">
        <v>18</v>
      </c>
      <c r="D1338" s="8" t="str">
        <f>HYPERLINK("http://npthd.inbcu.com/ViewContent.aspx?filename=NPMR_NBC_2017-07-09_E.MP4$8057$8632","AMERICAN NINJA WARRIOR: daytona beach qualifiers")</f>
        <v>AMERICAN NINJA WARRIOR: daytona beach qualifiers</v>
      </c>
      <c r="E1338" s="3" t="s">
        <v>89</v>
      </c>
      <c r="F1338" s="3" t="s">
        <v>4402</v>
      </c>
      <c r="G1338" s="3" t="s">
        <v>4250</v>
      </c>
    </row>
    <row r="1339" spans="1:7">
      <c r="A1339" s="6">
        <v>42925</v>
      </c>
      <c r="B1339" s="3" t="s">
        <v>3494</v>
      </c>
      <c r="C1339" s="3" t="s">
        <v>21</v>
      </c>
      <c r="D1339" s="8" t="str">
        <f>HYPERLINK("http://npthd.inbcu.com/ViewContent.aspx?filename=NPMR_NBC_2017-07-09_E.MP4$8632$8692","COMMERCIAL")</f>
        <v>COMMERCIAL</v>
      </c>
      <c r="E1339" s="3" t="s">
        <v>66</v>
      </c>
      <c r="F1339" s="3" t="s">
        <v>4250</v>
      </c>
      <c r="G1339" s="3" t="s">
        <v>4403</v>
      </c>
    </row>
    <row r="1340" spans="1:7">
      <c r="A1340" s="6">
        <v>42925</v>
      </c>
      <c r="B1340" s="3" t="s">
        <v>3494</v>
      </c>
      <c r="C1340" s="3" t="s">
        <v>14</v>
      </c>
      <c r="D1340" s="8" t="str">
        <f>HYPERLINK("http://npthd.inbcu.com/ViewContent.aspx?filename=NPMR_NBC_2017-07-09_E.MP4$8692$8697","Midnight Texas")</f>
        <v>Midnight Texas</v>
      </c>
      <c r="E1340" s="3" t="s">
        <v>54</v>
      </c>
      <c r="F1340" s="3" t="s">
        <v>4403</v>
      </c>
      <c r="G1340" s="3" t="s">
        <v>4404</v>
      </c>
    </row>
    <row r="1341" spans="1:7">
      <c r="A1341" s="6">
        <v>42925</v>
      </c>
      <c r="B1341" s="3" t="s">
        <v>3494</v>
      </c>
      <c r="C1341" s="3" t="s">
        <v>32</v>
      </c>
      <c r="D1341" s="8" t="str">
        <f>HYPERLINK("http://npthd.inbcu.com/ViewContent.aspx?filename=NPMR_NBC_2017-07-09_E.MP4$8697$8821","LOCAL")</f>
        <v>LOCAL</v>
      </c>
      <c r="E1341" s="3" t="s">
        <v>2013</v>
      </c>
      <c r="F1341" s="3" t="s">
        <v>4404</v>
      </c>
      <c r="G1341" s="3" t="s">
        <v>2633</v>
      </c>
    </row>
    <row r="1342" spans="1:7">
      <c r="A1342" s="6">
        <v>42925</v>
      </c>
      <c r="B1342" s="3" t="s">
        <v>3494</v>
      </c>
      <c r="C1342" s="3" t="s">
        <v>14</v>
      </c>
      <c r="D1342" s="8" t="str">
        <f>HYPERLINK("http://npthd.inbcu.com/ViewContent.aspx?filename=NPMR_NBC_2017-07-09_E.MP4$8821$8836","American Ninja Warrior")</f>
        <v>American Ninja Warrior</v>
      </c>
      <c r="E1342" s="3" t="s">
        <v>30</v>
      </c>
      <c r="F1342" s="3" t="s">
        <v>2633</v>
      </c>
      <c r="G1342" s="3" t="s">
        <v>4405</v>
      </c>
    </row>
    <row r="1343" spans="1:7">
      <c r="A1343" s="6">
        <v>42925</v>
      </c>
      <c r="B1343" s="3" t="s">
        <v>3494</v>
      </c>
      <c r="C1343" s="3" t="s">
        <v>14</v>
      </c>
      <c r="D1343" s="8" t="str">
        <f>HYPERLINK("http://npthd.inbcu.com/ViewContent.aspx?filename=NPMR_NBC_2017-07-09_E.MP4$8836$8851","Spartan Race")</f>
        <v>Spartan Race</v>
      </c>
      <c r="E1343" s="3" t="s">
        <v>30</v>
      </c>
      <c r="F1343" s="3" t="s">
        <v>4405</v>
      </c>
      <c r="G1343" s="3" t="s">
        <v>4406</v>
      </c>
    </row>
    <row r="1344" spans="1:7">
      <c r="A1344" s="6">
        <v>42925</v>
      </c>
      <c r="B1344" s="3" t="s">
        <v>3494</v>
      </c>
      <c r="C1344" s="3" t="s">
        <v>18</v>
      </c>
      <c r="D1344" s="8" t="str">
        <f>HYPERLINK("http://npthd.inbcu.com/ViewContent.aspx?filename=NPMR_NBC_2017-07-09_E.MP4$8851$9343","AMERICAN NINJA WARRIOR: daytona beach qualifiers")</f>
        <v>AMERICAN NINJA WARRIOR: daytona beach qualifiers</v>
      </c>
      <c r="E1344" s="3" t="s">
        <v>1833</v>
      </c>
      <c r="F1344" s="3" t="s">
        <v>4406</v>
      </c>
      <c r="G1344" s="3" t="s">
        <v>4407</v>
      </c>
    </row>
    <row r="1345" spans="1:7">
      <c r="A1345" s="6">
        <v>42925</v>
      </c>
      <c r="B1345" s="3" t="s">
        <v>3494</v>
      </c>
      <c r="C1345" s="3" t="s">
        <v>21</v>
      </c>
      <c r="D1345" s="8" t="str">
        <f>HYPERLINK("http://npthd.inbcu.com/ViewContent.aspx?filename=NPMR_NBC_2017-07-09_E.MP4$9343$9523","COMMERCIAL")</f>
        <v>COMMERCIAL</v>
      </c>
      <c r="E1345" s="3" t="s">
        <v>22</v>
      </c>
      <c r="F1345" s="3" t="s">
        <v>4407</v>
      </c>
      <c r="G1345" s="3" t="s">
        <v>893</v>
      </c>
    </row>
    <row r="1346" spans="1:7">
      <c r="A1346" s="6">
        <v>42925</v>
      </c>
      <c r="B1346" s="3" t="s">
        <v>3494</v>
      </c>
      <c r="C1346" s="3" t="s">
        <v>14</v>
      </c>
      <c r="D1346" s="8" t="str">
        <f>HYPERLINK("http://npthd.inbcu.com/ViewContent.aspx?filename=NPMR_NBC_2017-07-09_E.MP4$9523$9538","Americas Got Talent")</f>
        <v>Americas Got Talent</v>
      </c>
      <c r="E1346" s="3" t="s">
        <v>30</v>
      </c>
      <c r="F1346" s="3" t="s">
        <v>893</v>
      </c>
      <c r="G1346" s="3" t="s">
        <v>4408</v>
      </c>
    </row>
    <row r="1347" spans="1:7">
      <c r="A1347" s="6">
        <v>42925</v>
      </c>
      <c r="B1347" s="3" t="s">
        <v>3494</v>
      </c>
      <c r="C1347" s="3" t="s">
        <v>14</v>
      </c>
      <c r="D1347" s="8" t="str">
        <f>HYPERLINK("http://npthd.inbcu.com/ViewContent.aspx?filename=NPMR_NBC_2017-07-09_E.MP4$9538$9543","World of Dance")</f>
        <v>World of Dance</v>
      </c>
      <c r="E1347" s="3" t="s">
        <v>54</v>
      </c>
      <c r="F1347" s="3" t="s">
        <v>4408</v>
      </c>
      <c r="G1347" s="3" t="s">
        <v>4409</v>
      </c>
    </row>
    <row r="1348" spans="1:7">
      <c r="A1348" s="6">
        <v>42925</v>
      </c>
      <c r="B1348" s="3" t="s">
        <v>3494</v>
      </c>
      <c r="C1348" s="3" t="s">
        <v>18</v>
      </c>
      <c r="D1348" s="8" t="str">
        <f>HYPERLINK("http://npthd.inbcu.com/ViewContent.aspx?filename=NPMR_NBC_2017-07-09_E.MP4$9543$10121","AMERICAN NINJA WARRIOR: daytona beach qualifiers")</f>
        <v>AMERICAN NINJA WARRIOR: daytona beach qualifiers</v>
      </c>
      <c r="E1348" s="3" t="s">
        <v>2171</v>
      </c>
      <c r="F1348" s="3" t="s">
        <v>4409</v>
      </c>
      <c r="G1348" s="3" t="s">
        <v>4410</v>
      </c>
    </row>
    <row r="1349" spans="1:7">
      <c r="A1349" s="6">
        <v>42925</v>
      </c>
      <c r="B1349" s="3" t="s">
        <v>3494</v>
      </c>
      <c r="C1349" s="3" t="s">
        <v>21</v>
      </c>
      <c r="D1349" s="8" t="str">
        <f>HYPERLINK("http://npthd.inbcu.com/ViewContent.aspx?filename=NPMR_NBC_2017-07-09_E.MP4$10121$10211","COMMERCIAL")</f>
        <v>COMMERCIAL</v>
      </c>
      <c r="E1349" s="3" t="s">
        <v>46</v>
      </c>
      <c r="F1349" s="3" t="s">
        <v>4410</v>
      </c>
      <c r="G1349" s="3" t="s">
        <v>4411</v>
      </c>
    </row>
    <row r="1350" spans="1:7">
      <c r="A1350" s="6">
        <v>42925</v>
      </c>
      <c r="B1350" s="3" t="s">
        <v>3494</v>
      </c>
      <c r="C1350" s="3" t="s">
        <v>14</v>
      </c>
      <c r="D1350" s="8" t="str">
        <f>HYPERLINK("http://npthd.inbcu.com/ViewContent.aspx?filename=NPMR_NBC_2017-07-09_E.MP4$10211$10216","Marlon")</f>
        <v>Marlon</v>
      </c>
      <c r="E1350" s="3" t="s">
        <v>54</v>
      </c>
      <c r="F1350" s="3" t="s">
        <v>4411</v>
      </c>
      <c r="G1350" s="3" t="s">
        <v>1651</v>
      </c>
    </row>
    <row r="1351" spans="1:7">
      <c r="A1351" s="6">
        <v>42925</v>
      </c>
      <c r="B1351" s="3" t="s">
        <v>3494</v>
      </c>
      <c r="C1351" s="3" t="s">
        <v>32</v>
      </c>
      <c r="D1351" s="8" t="str">
        <f>HYPERLINK("http://npthd.inbcu.com/ViewContent.aspx?filename=NPMR_NBC_2017-07-09_E.MP4$10216$10306","LOCAL")</f>
        <v>LOCAL</v>
      </c>
      <c r="E1351" s="3" t="s">
        <v>46</v>
      </c>
      <c r="F1351" s="3" t="s">
        <v>1651</v>
      </c>
      <c r="G1351" s="3" t="s">
        <v>4412</v>
      </c>
    </row>
    <row r="1352" spans="1:7">
      <c r="A1352" s="6">
        <v>42925</v>
      </c>
      <c r="B1352" s="3" t="s">
        <v>3494</v>
      </c>
      <c r="C1352" s="3" t="s">
        <v>14</v>
      </c>
      <c r="D1352" s="8" t="str">
        <f>HYPERLINK("http://npthd.inbcu.com/ViewContent.aspx?filename=NPMR_NBC_2017-07-09_E.MP4$10306$10321","NFL Network")</f>
        <v>NFL Network</v>
      </c>
      <c r="E1352" s="3" t="s">
        <v>30</v>
      </c>
      <c r="F1352" s="3" t="s">
        <v>4412</v>
      </c>
      <c r="G1352" s="3" t="s">
        <v>4118</v>
      </c>
    </row>
    <row r="1353" spans="1:7">
      <c r="A1353" s="6">
        <v>42925</v>
      </c>
      <c r="B1353" s="3" t="s">
        <v>3494</v>
      </c>
      <c r="C1353" s="3" t="s">
        <v>18</v>
      </c>
      <c r="D1353" s="8" t="str">
        <f>HYPERLINK("http://npthd.inbcu.com/ViewContent.aspx?filename=NPMR_NBC_2017-07-09_E.MP4$10321$10664","AMERICAN NINJA WARRIOR: daytona beach qualifiers")</f>
        <v>AMERICAN NINJA WARRIOR: daytona beach qualifiers</v>
      </c>
      <c r="E1353" s="3" t="s">
        <v>1170</v>
      </c>
      <c r="F1353" s="3" t="s">
        <v>4118</v>
      </c>
      <c r="G1353" s="3" t="s">
        <v>4413</v>
      </c>
    </row>
    <row r="1354" spans="1:7">
      <c r="A1354" s="6">
        <v>42925</v>
      </c>
      <c r="B1354" s="3" t="s">
        <v>3494</v>
      </c>
      <c r="C1354" s="3" t="s">
        <v>21</v>
      </c>
      <c r="D1354" s="8" t="str">
        <f>HYPERLINK("http://npthd.inbcu.com/ViewContent.aspx?filename=NPMR_NBC_2017-07-09_E.MP4$10664$10845","COMMERCIAL")</f>
        <v>COMMERCIAL</v>
      </c>
      <c r="E1354" s="3" t="s">
        <v>108</v>
      </c>
      <c r="F1354" s="3" t="s">
        <v>4413</v>
      </c>
      <c r="G1354" s="3" t="s">
        <v>749</v>
      </c>
    </row>
    <row r="1355" spans="1:7">
      <c r="A1355" s="6">
        <v>42925</v>
      </c>
      <c r="B1355" s="3" t="s">
        <v>3494</v>
      </c>
      <c r="C1355" s="3" t="s">
        <v>14</v>
      </c>
      <c r="D1355" s="8" t="str">
        <f>HYPERLINK("http://npthd.inbcu.com/ViewContent.aspx?filename=NPMR_NBC_2017-07-09_E.MP4$10845$10875","Midnight Texas")</f>
        <v>Midnight Texas</v>
      </c>
      <c r="E1355" s="3" t="s">
        <v>38</v>
      </c>
      <c r="F1355" s="3" t="s">
        <v>749</v>
      </c>
      <c r="G1355" s="3" t="s">
        <v>750</v>
      </c>
    </row>
    <row r="1356" spans="1:7">
      <c r="A1356" s="6">
        <v>42925</v>
      </c>
      <c r="B1356" s="3" t="s">
        <v>3494</v>
      </c>
      <c r="C1356" s="3" t="s">
        <v>18</v>
      </c>
      <c r="D1356" s="8" t="str">
        <f>HYPERLINK("http://npthd.inbcu.com/ViewContent.aspx?filename=NPMR_NBC_2017-07-09_E.MP4$10875$11410","AMERICAN NINJA WARRIOR: daytona beach qualifiers")</f>
        <v>AMERICAN NINJA WARRIOR: daytona beach qualifiers</v>
      </c>
      <c r="E1356" s="3" t="s">
        <v>1724</v>
      </c>
      <c r="F1356" s="3" t="s">
        <v>750</v>
      </c>
      <c r="G1356" s="3" t="s">
        <v>4414</v>
      </c>
    </row>
    <row r="1357" spans="1:7">
      <c r="A1357" s="6">
        <v>42925</v>
      </c>
      <c r="B1357" s="3" t="s">
        <v>3494</v>
      </c>
      <c r="C1357" s="3" t="s">
        <v>21</v>
      </c>
      <c r="D1357" s="8" t="str">
        <f>HYPERLINK("http://npthd.inbcu.com/ViewContent.aspx?filename=NPMR_NBC_2017-07-09_E.MP4$11410$11561","COMMERCIAL")</f>
        <v>COMMERCIAL</v>
      </c>
      <c r="E1357" s="3" t="s">
        <v>91</v>
      </c>
      <c r="F1357" s="3" t="s">
        <v>4414</v>
      </c>
      <c r="G1357" s="3" t="s">
        <v>1014</v>
      </c>
    </row>
    <row r="1358" spans="1:7">
      <c r="A1358" s="6">
        <v>42925</v>
      </c>
      <c r="B1358" s="3" t="s">
        <v>3494</v>
      </c>
      <c r="C1358" s="3" t="s">
        <v>1618</v>
      </c>
      <c r="D1358" s="8" t="str">
        <f>HYPERLINK("http://npthd.inbcu.com/ViewContent.aspx?filename=NPMR_NBC_2017-07-09_E.MP4$11561$11590","PSA")</f>
        <v>PSA</v>
      </c>
      <c r="E1358" s="3" t="s">
        <v>24</v>
      </c>
      <c r="F1358" s="3" t="s">
        <v>1014</v>
      </c>
      <c r="G1358" s="3" t="s">
        <v>4415</v>
      </c>
    </row>
    <row r="1359" spans="1:7">
      <c r="A1359" s="6">
        <v>42925</v>
      </c>
      <c r="B1359" s="3" t="s">
        <v>3494</v>
      </c>
      <c r="C1359" s="3" t="s">
        <v>32</v>
      </c>
      <c r="D1359" s="8" t="str">
        <f>HYPERLINK("http://npthd.inbcu.com/ViewContent.aspx?filename=NPMR_NBC_2017-07-09_E.MP4$11590$11622","LOCAL")</f>
        <v>LOCAL</v>
      </c>
      <c r="E1359" s="3" t="s">
        <v>213</v>
      </c>
      <c r="F1359" s="3" t="s">
        <v>4415</v>
      </c>
      <c r="G1359" s="3" t="s">
        <v>4416</v>
      </c>
    </row>
    <row r="1360" spans="1:7">
      <c r="A1360" s="6">
        <v>42925</v>
      </c>
      <c r="B1360" s="3" t="s">
        <v>3494</v>
      </c>
      <c r="C1360" s="3" t="s">
        <v>18</v>
      </c>
      <c r="D1360" s="8" t="str">
        <f>HYPERLINK("http://npthd.inbcu.com/ViewContent.aspx?filename=NPMR_NBC_2017-07-09_E.MP4$11622$12024","AMERICAN NINJA WARRIOR: daytona beach qualifiers")</f>
        <v>AMERICAN NINJA WARRIOR: daytona beach qualifiers</v>
      </c>
      <c r="E1360" s="3" t="s">
        <v>1044</v>
      </c>
      <c r="F1360" s="3" t="s">
        <v>4416</v>
      </c>
      <c r="G1360" s="3" t="s">
        <v>4417</v>
      </c>
    </row>
    <row r="1361" spans="1:7">
      <c r="A1361" s="6">
        <v>42925</v>
      </c>
      <c r="B1361" s="3" t="s">
        <v>3494</v>
      </c>
      <c r="C1361" s="3" t="s">
        <v>21</v>
      </c>
      <c r="D1361" s="8" t="str">
        <f>HYPERLINK("http://npthd.inbcu.com/ViewContent.aspx?filename=NPMR_NBC_2017-07-09_E.MP4$12024$12205","COMMERCIAL")</f>
        <v>COMMERCIAL</v>
      </c>
      <c r="E1361" s="3" t="s">
        <v>108</v>
      </c>
      <c r="F1361" s="3" t="s">
        <v>4417</v>
      </c>
      <c r="G1361" s="3" t="s">
        <v>4418</v>
      </c>
    </row>
    <row r="1362" spans="1:7">
      <c r="A1362" s="6">
        <v>42925</v>
      </c>
      <c r="B1362" s="3" t="s">
        <v>3494</v>
      </c>
      <c r="C1362" s="3" t="s">
        <v>14</v>
      </c>
      <c r="D1362" s="8" t="str">
        <f>HYPERLINK("http://npthd.inbcu.com/ViewContent.aspx?filename=NPMR_NBC_2017-07-09_E.MP4$12205$12234","Americas Got Talent")</f>
        <v>Americas Got Talent</v>
      </c>
      <c r="E1362" s="3" t="s">
        <v>24</v>
      </c>
      <c r="F1362" s="3" t="s">
        <v>4418</v>
      </c>
      <c r="G1362" s="3" t="s">
        <v>4419</v>
      </c>
    </row>
    <row r="1363" spans="1:7">
      <c r="A1363" s="6">
        <v>42925</v>
      </c>
      <c r="B1363" s="3" t="s">
        <v>3494</v>
      </c>
      <c r="C1363" s="3" t="s">
        <v>18</v>
      </c>
      <c r="D1363" s="8" t="str">
        <f>HYPERLINK("http://npthd.inbcu.com/ViewContent.aspx?filename=NPMR_NBC_2017-07-09_E.MP4$12234$12557","AMERICAN NINJA WARRIOR: daytona beach qualifiers")</f>
        <v>AMERICAN NINJA WARRIOR: daytona beach qualifiers</v>
      </c>
      <c r="E1363" s="3" t="s">
        <v>544</v>
      </c>
      <c r="F1363" s="3" t="s">
        <v>4419</v>
      </c>
      <c r="G1363" s="3" t="s">
        <v>4420</v>
      </c>
    </row>
    <row r="1364" spans="1:7">
      <c r="A1364" s="6">
        <v>42925</v>
      </c>
      <c r="B1364" s="3" t="s">
        <v>3494</v>
      </c>
      <c r="C1364" s="3" t="s">
        <v>21</v>
      </c>
      <c r="D1364" s="8" t="str">
        <f>HYPERLINK("http://npthd.inbcu.com/ViewContent.aspx?filename=NPMR_NBC_2017-07-09_E.MP4$12557$12617","COMMERCIAL")</f>
        <v>COMMERCIAL</v>
      </c>
      <c r="E1364" s="3" t="s">
        <v>66</v>
      </c>
      <c r="F1364" s="3" t="s">
        <v>4420</v>
      </c>
      <c r="G1364" s="3" t="s">
        <v>4421</v>
      </c>
    </row>
    <row r="1365" spans="1:7">
      <c r="A1365" s="6">
        <v>42925</v>
      </c>
      <c r="B1365" s="3" t="s">
        <v>3494</v>
      </c>
      <c r="C1365" s="3" t="s">
        <v>14</v>
      </c>
      <c r="D1365" s="8" t="str">
        <f>HYPERLINK("http://npthd.inbcu.com/ViewContent.aspx?filename=NPMR_NBC_2017-07-09_E.MP4$12617$12622","American Ninja Warrior")</f>
        <v>American Ninja Warrior</v>
      </c>
      <c r="E1365" s="3" t="s">
        <v>54</v>
      </c>
      <c r="F1365" s="3" t="s">
        <v>4421</v>
      </c>
      <c r="G1365" s="3" t="s">
        <v>4422</v>
      </c>
    </row>
    <row r="1366" spans="1:7">
      <c r="A1366" s="6">
        <v>42925</v>
      </c>
      <c r="B1366" s="3" t="s">
        <v>3494</v>
      </c>
      <c r="C1366" s="3" t="s">
        <v>32</v>
      </c>
      <c r="D1366" s="8" t="str">
        <f>HYPERLINK("http://npthd.inbcu.com/ViewContent.aspx?filename=NPMR_NBC_2017-07-09_E.MP4$12622$12788","LOCAL")</f>
        <v>LOCAL</v>
      </c>
      <c r="E1366" s="3" t="s">
        <v>144</v>
      </c>
      <c r="F1366" s="3" t="s">
        <v>4422</v>
      </c>
      <c r="G1366" s="3" t="s">
        <v>4423</v>
      </c>
    </row>
    <row r="1367" spans="1:7">
      <c r="A1367" s="6">
        <v>42925</v>
      </c>
      <c r="B1367" s="3" t="s">
        <v>3494</v>
      </c>
      <c r="C1367" s="3" t="s">
        <v>14</v>
      </c>
      <c r="D1367" s="8" t="str">
        <f>HYPERLINK("http://npthd.inbcu.com/ViewContent.aspx?filename=NPMR_NBC_2017-07-09_E.MP4$12788$12792","Midnight Texas")</f>
        <v>Midnight Texas</v>
      </c>
      <c r="E1367" s="3" t="s">
        <v>84</v>
      </c>
      <c r="F1367" s="3" t="s">
        <v>4423</v>
      </c>
      <c r="G1367" s="3" t="s">
        <v>4424</v>
      </c>
    </row>
    <row r="1368" spans="1:7">
      <c r="A1368" s="6">
        <v>42925</v>
      </c>
      <c r="B1368" s="3" t="s">
        <v>3494</v>
      </c>
      <c r="C1368" s="3" t="s">
        <v>18</v>
      </c>
      <c r="D1368" s="8" t="str">
        <f>HYPERLINK("http://npthd.inbcu.com/ViewContent.aspx?filename=NPMR_NBC_2017-07-09_E.MP4$12792$13236","AMERICAN NINJA WARRIOR: daytona beach qualifiers")</f>
        <v>AMERICAN NINJA WARRIOR: daytona beach qualifiers</v>
      </c>
      <c r="E1368" s="3" t="s">
        <v>244</v>
      </c>
      <c r="F1368" s="3" t="s">
        <v>4424</v>
      </c>
      <c r="G1368" s="3" t="s">
        <v>4425</v>
      </c>
    </row>
    <row r="1369" spans="1:7">
      <c r="A1369" s="6">
        <v>42925</v>
      </c>
      <c r="B1369" s="3" t="s">
        <v>3494</v>
      </c>
      <c r="C1369" s="3" t="s">
        <v>21</v>
      </c>
      <c r="D1369" s="8" t="str">
        <f>HYPERLINK("http://npthd.inbcu.com/ViewContent.aspx?filename=NPMR_NBC_2017-07-09_E.MP4$13236$13416","COMMERCIAL")</f>
        <v>COMMERCIAL</v>
      </c>
      <c r="E1369" s="3" t="s">
        <v>22</v>
      </c>
      <c r="F1369" s="3" t="s">
        <v>4425</v>
      </c>
      <c r="G1369" s="3" t="s">
        <v>4426</v>
      </c>
    </row>
    <row r="1370" spans="1:7">
      <c r="A1370" s="6">
        <v>42925</v>
      </c>
      <c r="B1370" s="3" t="s">
        <v>3494</v>
      </c>
      <c r="C1370" s="3" t="s">
        <v>14</v>
      </c>
      <c r="D1370" s="8" t="str">
        <f>HYPERLINK("http://npthd.inbcu.com/ViewContent.aspx?filename=NPMR_NBC_2017-07-09_E.MP4$13416$13447","Will &amp; Grace")</f>
        <v>Will &amp; Grace</v>
      </c>
      <c r="E1370" s="3" t="s">
        <v>98</v>
      </c>
      <c r="F1370" s="3" t="s">
        <v>4426</v>
      </c>
      <c r="G1370" s="3" t="s">
        <v>4427</v>
      </c>
    </row>
    <row r="1371" spans="1:7">
      <c r="A1371" s="6">
        <v>42925</v>
      </c>
      <c r="B1371" s="3" t="s">
        <v>3494</v>
      </c>
      <c r="C1371" s="3" t="s">
        <v>18</v>
      </c>
      <c r="D1371" s="8" t="str">
        <f>HYPERLINK("http://npthd.inbcu.com/ViewContent.aspx?filename=NPMR_NBC_2017-07-09_E.MP4$13447$13840","AMERICAN NINJA WARRIOR: daytona beach qualifiers")</f>
        <v>AMERICAN NINJA WARRIOR: daytona beach qualifiers</v>
      </c>
      <c r="E1371" s="3" t="s">
        <v>765</v>
      </c>
      <c r="F1371" s="3" t="s">
        <v>4427</v>
      </c>
      <c r="G1371" s="3" t="s">
        <v>3550</v>
      </c>
    </row>
    <row r="1372" spans="1:7">
      <c r="A1372" s="6">
        <v>42925</v>
      </c>
      <c r="B1372" s="3" t="s">
        <v>3494</v>
      </c>
      <c r="C1372" s="3" t="s">
        <v>21</v>
      </c>
      <c r="D1372" s="8" t="str">
        <f>HYPERLINK("http://npthd.inbcu.com/ViewContent.aspx?filename=NPMR_NBC_2017-07-09_E.MP4$13840$14021","COMMERCIAL")</f>
        <v>COMMERCIAL</v>
      </c>
      <c r="E1372" s="3" t="s">
        <v>108</v>
      </c>
      <c r="F1372" s="3" t="s">
        <v>3550</v>
      </c>
      <c r="G1372" s="3" t="s">
        <v>3603</v>
      </c>
    </row>
    <row r="1373" spans="1:7">
      <c r="A1373" s="6">
        <v>42925</v>
      </c>
      <c r="B1373" s="3" t="s">
        <v>3494</v>
      </c>
      <c r="C1373" s="3" t="s">
        <v>32</v>
      </c>
      <c r="D1373" s="8" t="str">
        <f>HYPERLINK("http://npthd.inbcu.com/ViewContent.aspx?filename=NPMR_NBC_2017-07-09_E.MP4$14021$14035","LOCAL")</f>
        <v>LOCAL</v>
      </c>
      <c r="E1373" s="3" t="s">
        <v>342</v>
      </c>
      <c r="F1373" s="3" t="s">
        <v>3603</v>
      </c>
      <c r="G1373" s="3" t="s">
        <v>4428</v>
      </c>
    </row>
    <row r="1374" spans="1:7">
      <c r="A1374" s="6">
        <v>42925</v>
      </c>
      <c r="B1374" s="3" t="s">
        <v>3494</v>
      </c>
      <c r="C1374" s="3" t="s">
        <v>14</v>
      </c>
      <c r="D1374" s="8" t="str">
        <f>HYPERLINK("http://npthd.inbcu.com/ViewContent.aspx?filename=NPMR_NBC_2017-07-09_E.MP4$14035$14051","Spartan Race")</f>
        <v>Spartan Race</v>
      </c>
      <c r="E1374" s="3" t="s">
        <v>64</v>
      </c>
      <c r="F1374" s="3" t="s">
        <v>4428</v>
      </c>
      <c r="G1374" s="3" t="s">
        <v>1311</v>
      </c>
    </row>
    <row r="1375" spans="1:7">
      <c r="A1375" s="6">
        <v>42925</v>
      </c>
      <c r="B1375" s="3" t="s">
        <v>3494</v>
      </c>
      <c r="C1375" s="3" t="s">
        <v>18</v>
      </c>
      <c r="D1375" s="8" t="str">
        <f>HYPERLINK("http://npthd.inbcu.com/ViewContent.aspx?filename=NPMR_NBC_2017-07-09_E.MP4$14051$14444","AMERICAN NINJA WARRIOR: daytona beach qualifiers")</f>
        <v>AMERICAN NINJA WARRIOR: daytona beach qualifiers</v>
      </c>
      <c r="E1375" s="3" t="s">
        <v>765</v>
      </c>
      <c r="F1375" s="3" t="s">
        <v>1311</v>
      </c>
      <c r="G1375" s="3" t="s">
        <v>3553</v>
      </c>
    </row>
    <row r="1376" spans="1:7">
      <c r="A1376" s="6">
        <v>42925</v>
      </c>
      <c r="B1376" s="3" t="s">
        <v>3494</v>
      </c>
      <c r="C1376" s="3" t="s">
        <v>14</v>
      </c>
      <c r="D1376" s="8" t="str">
        <f>HYPERLINK("http://npthd.inbcu.com/ViewContent.aspx?filename=NPMR_NBC_2017-07-09_E.MP4$14444$14474","Spartan Race")</f>
        <v>Spartan Race</v>
      </c>
      <c r="E1376" s="3" t="s">
        <v>38</v>
      </c>
      <c r="F1376" s="3" t="s">
        <v>3553</v>
      </c>
      <c r="G1376" s="3" t="s">
        <v>3704</v>
      </c>
    </row>
    <row r="1377" spans="1:7">
      <c r="A1377" s="6">
        <v>42925</v>
      </c>
      <c r="B1377" s="3" t="s">
        <v>3494</v>
      </c>
      <c r="C1377" s="3" t="s">
        <v>18</v>
      </c>
      <c r="D1377" s="8" t="str">
        <f>HYPERLINK("http://npthd.inbcu.com/ViewContent.aspx?filename=NPMR_NBC_2017-07-09_E.MP4$14474$14480","AMERICAN NINJA WARRIOR: daytona beach qualifiers")</f>
        <v>AMERICAN NINJA WARRIOR: daytona beach qualifiers</v>
      </c>
      <c r="E1377" s="3" t="s">
        <v>15</v>
      </c>
      <c r="F1377" s="3" t="s">
        <v>3704</v>
      </c>
      <c r="G1377" s="3" t="s">
        <v>124</v>
      </c>
    </row>
    <row r="1378" spans="1:7">
      <c r="A1378" s="6">
        <v>42926</v>
      </c>
      <c r="B1378" s="3" t="s">
        <v>3494</v>
      </c>
      <c r="C1378" s="3" t="s">
        <v>18</v>
      </c>
      <c r="D1378" s="8" t="str">
        <f>HYPERLINK("http://npthd.inbcu.com/ViewContent.aspx?filename=NPMR_NBC_2017-07-10_E.MP4$96$756","AMERICAN NINJA WARRIOR: cleveland qualifiers")</f>
        <v>AMERICAN NINJA WARRIOR: cleveland qualifiers</v>
      </c>
      <c r="E1378" s="3" t="s">
        <v>4429</v>
      </c>
      <c r="F1378" s="3" t="s">
        <v>16</v>
      </c>
      <c r="G1378" s="3" t="s">
        <v>4430</v>
      </c>
    </row>
    <row r="1379" spans="1:7">
      <c r="A1379" s="6">
        <v>42926</v>
      </c>
      <c r="B1379" s="3" t="s">
        <v>3494</v>
      </c>
      <c r="C1379" s="3" t="s">
        <v>21</v>
      </c>
      <c r="D1379" s="8" t="str">
        <f>HYPERLINK("http://npthd.inbcu.com/ViewContent.aspx?filename=NPMR_NBC_2017-07-10_E.MP4$756$936","COMMERCIAL")</f>
        <v>COMMERCIAL</v>
      </c>
      <c r="E1379" s="3" t="s">
        <v>22</v>
      </c>
      <c r="F1379" s="3" t="s">
        <v>4430</v>
      </c>
      <c r="G1379" s="3" t="s">
        <v>4431</v>
      </c>
    </row>
    <row r="1380" spans="1:7">
      <c r="A1380" s="6">
        <v>42926</v>
      </c>
      <c r="B1380" s="3" t="s">
        <v>3494</v>
      </c>
      <c r="C1380" s="3" t="s">
        <v>14</v>
      </c>
      <c r="D1380" s="8" t="str">
        <f>HYPERLINK("http://npthd.inbcu.com/ViewContent.aspx?filename=NPMR_NBC_2017-07-10_E.MP4$936$952","Watch What Happens Live! (Bravo)")</f>
        <v>Watch What Happens Live! (Bravo)</v>
      </c>
      <c r="E1380" s="3" t="s">
        <v>64</v>
      </c>
      <c r="F1380" s="3" t="s">
        <v>4431</v>
      </c>
      <c r="G1380" s="3" t="s">
        <v>4432</v>
      </c>
    </row>
    <row r="1381" spans="1:7">
      <c r="A1381" s="6">
        <v>42926</v>
      </c>
      <c r="B1381" s="3" t="s">
        <v>3494</v>
      </c>
      <c r="C1381" s="3" t="s">
        <v>1618</v>
      </c>
      <c r="D1381" s="8" t="str">
        <f>HYPERLINK("http://npthd.inbcu.com/ViewContent.aspx?filename=NPMR_NBC_2017-07-10_E.MP4$952$967","PSA")</f>
        <v>PSA</v>
      </c>
      <c r="E1381" s="3" t="s">
        <v>30</v>
      </c>
      <c r="F1381" s="3" t="s">
        <v>4432</v>
      </c>
      <c r="G1381" s="3" t="s">
        <v>4433</v>
      </c>
    </row>
    <row r="1382" spans="1:7">
      <c r="A1382" s="6">
        <v>42926</v>
      </c>
      <c r="B1382" s="3" t="s">
        <v>3494</v>
      </c>
      <c r="C1382" s="3" t="s">
        <v>18</v>
      </c>
      <c r="D1382" s="8" t="str">
        <f>HYPERLINK("http://npthd.inbcu.com/ViewContent.aspx?filename=NPMR_NBC_2017-07-10_E.MP4$967$1421","AMERICAN NINJA WARRIOR: cleveland qualifiers")</f>
        <v>AMERICAN NINJA WARRIOR: cleveland qualifiers</v>
      </c>
      <c r="E1382" s="3" t="s">
        <v>3558</v>
      </c>
      <c r="F1382" s="3" t="s">
        <v>4433</v>
      </c>
      <c r="G1382" s="3" t="s">
        <v>1610</v>
      </c>
    </row>
    <row r="1383" spans="1:7">
      <c r="A1383" s="6">
        <v>42926</v>
      </c>
      <c r="B1383" s="3" t="s">
        <v>3494</v>
      </c>
      <c r="C1383" s="3" t="s">
        <v>21</v>
      </c>
      <c r="D1383" s="8" t="str">
        <f>HYPERLINK("http://npthd.inbcu.com/ViewContent.aspx?filename=NPMR_NBC_2017-07-10_E.MP4$1421$1512","COMMERCIAL")</f>
        <v>COMMERCIAL</v>
      </c>
      <c r="E1383" s="3" t="s">
        <v>77</v>
      </c>
      <c r="F1383" s="3" t="s">
        <v>1610</v>
      </c>
      <c r="G1383" s="3" t="s">
        <v>2568</v>
      </c>
    </row>
    <row r="1384" spans="1:7">
      <c r="A1384" s="6">
        <v>42926</v>
      </c>
      <c r="B1384" s="3" t="s">
        <v>3494</v>
      </c>
      <c r="C1384" s="3" t="s">
        <v>14</v>
      </c>
      <c r="D1384" s="8" t="str">
        <f>HYPERLINK("http://npthd.inbcu.com/ViewContent.aspx?filename=NPMR_NBC_2017-07-10_E.MP4$1512$1517","Wall, The")</f>
        <v>Wall, The</v>
      </c>
      <c r="E1384" s="3" t="s">
        <v>54</v>
      </c>
      <c r="F1384" s="3" t="s">
        <v>2568</v>
      </c>
      <c r="G1384" s="3" t="s">
        <v>4434</v>
      </c>
    </row>
    <row r="1385" spans="1:7">
      <c r="A1385" s="6">
        <v>42926</v>
      </c>
      <c r="B1385" s="3" t="s">
        <v>3494</v>
      </c>
      <c r="C1385" s="3" t="s">
        <v>32</v>
      </c>
      <c r="D1385" s="8" t="str">
        <f>HYPERLINK("http://npthd.inbcu.com/ViewContent.aspx?filename=NPMR_NBC_2017-07-10_E.MP4$1517$1611","LOCAL")</f>
        <v>LOCAL</v>
      </c>
      <c r="E1385" s="3" t="s">
        <v>1917</v>
      </c>
      <c r="F1385" s="3" t="s">
        <v>4434</v>
      </c>
      <c r="G1385" s="3" t="s">
        <v>4435</v>
      </c>
    </row>
    <row r="1386" spans="1:7">
      <c r="A1386" s="6">
        <v>42926</v>
      </c>
      <c r="B1386" s="3" t="s">
        <v>3494</v>
      </c>
      <c r="C1386" s="3" t="s">
        <v>14</v>
      </c>
      <c r="D1386" s="8" t="str">
        <f>HYPERLINK("http://npthd.inbcu.com/ViewContent.aspx?filename=NPMR_NBC_2017-07-10_E.MP4$1611$1640","Midnight Texas")</f>
        <v>Midnight Texas</v>
      </c>
      <c r="E1386" s="3" t="s">
        <v>24</v>
      </c>
      <c r="F1386" s="3" t="s">
        <v>4435</v>
      </c>
      <c r="G1386" s="3" t="s">
        <v>971</v>
      </c>
    </row>
    <row r="1387" spans="1:7">
      <c r="A1387" s="6">
        <v>42926</v>
      </c>
      <c r="B1387" s="3" t="s">
        <v>3494</v>
      </c>
      <c r="C1387" s="3" t="s">
        <v>18</v>
      </c>
      <c r="D1387" s="8" t="str">
        <f>HYPERLINK("http://npthd.inbcu.com/ViewContent.aspx?filename=NPMR_NBC_2017-07-10_E.MP4$1640$2015","AMERICAN NINJA WARRIOR: cleveland qualifiers")</f>
        <v>AMERICAN NINJA WARRIOR: cleveland qualifiers</v>
      </c>
      <c r="E1387" s="3" t="s">
        <v>3802</v>
      </c>
      <c r="F1387" s="3" t="s">
        <v>971</v>
      </c>
      <c r="G1387" s="3" t="s">
        <v>3008</v>
      </c>
    </row>
    <row r="1388" spans="1:7">
      <c r="A1388" s="6">
        <v>42926</v>
      </c>
      <c r="B1388" s="3" t="s">
        <v>3494</v>
      </c>
      <c r="C1388" s="3" t="s">
        <v>14</v>
      </c>
      <c r="D1388" s="8" t="str">
        <f>HYPERLINK("http://npthd.inbcu.com/ViewContent.aspx?filename=NPMR_NBC_2017-07-10_E.MP4$2015$2020","Spartan Race")</f>
        <v>Spartan Race</v>
      </c>
      <c r="E1388" s="3" t="s">
        <v>54</v>
      </c>
      <c r="F1388" s="3" t="s">
        <v>3008</v>
      </c>
      <c r="G1388" s="3" t="s">
        <v>4436</v>
      </c>
    </row>
    <row r="1389" spans="1:7">
      <c r="A1389" s="6">
        <v>42926</v>
      </c>
      <c r="B1389" s="3" t="s">
        <v>3494</v>
      </c>
      <c r="C1389" s="3" t="s">
        <v>21</v>
      </c>
      <c r="D1389" s="8" t="str">
        <f>HYPERLINK("http://npthd.inbcu.com/ViewContent.aspx?filename=NPMR_NBC_2017-07-10_E.MP4$2020$2171","COMMERCIAL")</f>
        <v>COMMERCIAL</v>
      </c>
      <c r="E1389" s="3" t="s">
        <v>91</v>
      </c>
      <c r="F1389" s="3" t="s">
        <v>4436</v>
      </c>
      <c r="G1389" s="3" t="s">
        <v>4437</v>
      </c>
    </row>
    <row r="1390" spans="1:7">
      <c r="A1390" s="6">
        <v>42926</v>
      </c>
      <c r="B1390" s="3" t="s">
        <v>3494</v>
      </c>
      <c r="C1390" s="3" t="s">
        <v>14</v>
      </c>
      <c r="D1390" s="8" t="str">
        <f>HYPERLINK("http://npthd.inbcu.com/ViewContent.aspx?filename=NPMR_NBC_2017-07-10_E.MP4$2171$2200","AGT/WOD")</f>
        <v>AGT/WOD</v>
      </c>
      <c r="E1390" s="3" t="s">
        <v>24</v>
      </c>
      <c r="F1390" s="3" t="s">
        <v>4437</v>
      </c>
      <c r="G1390" s="3" t="s">
        <v>2902</v>
      </c>
    </row>
    <row r="1391" spans="1:7">
      <c r="A1391" s="6">
        <v>42926</v>
      </c>
      <c r="B1391" s="3" t="s">
        <v>3494</v>
      </c>
      <c r="C1391" s="3" t="s">
        <v>14</v>
      </c>
      <c r="D1391" s="8" t="str">
        <f>HYPERLINK("http://npthd.inbcu.com/ViewContent.aspx?filename=NPMR_NBC_2017-07-10_E.MP4$2200$2231","Brave, The")</f>
        <v>Brave, The</v>
      </c>
      <c r="E1391" s="3" t="s">
        <v>98</v>
      </c>
      <c r="F1391" s="3" t="s">
        <v>2902</v>
      </c>
      <c r="G1391" s="3" t="s">
        <v>2704</v>
      </c>
    </row>
    <row r="1392" spans="1:7">
      <c r="A1392" s="6">
        <v>42926</v>
      </c>
      <c r="B1392" s="3" t="s">
        <v>3494</v>
      </c>
      <c r="C1392" s="3" t="s">
        <v>18</v>
      </c>
      <c r="D1392" s="8" t="str">
        <f>HYPERLINK("http://npthd.inbcu.com/ViewContent.aspx?filename=NPMR_NBC_2017-07-10_E.MP4$2231$2769","AMERICAN NINJA WARRIOR: cleveland qualifiers")</f>
        <v>AMERICAN NINJA WARRIOR: cleveland qualifiers</v>
      </c>
      <c r="E1392" s="3" t="s">
        <v>3348</v>
      </c>
      <c r="F1392" s="3" t="s">
        <v>2704</v>
      </c>
      <c r="G1392" s="3" t="s">
        <v>4438</v>
      </c>
    </row>
    <row r="1393" spans="1:7">
      <c r="A1393" s="6">
        <v>42926</v>
      </c>
      <c r="B1393" s="3" t="s">
        <v>3494</v>
      </c>
      <c r="C1393" s="3" t="s">
        <v>21</v>
      </c>
      <c r="D1393" s="8" t="str">
        <f>HYPERLINK("http://npthd.inbcu.com/ViewContent.aspx?filename=NPMR_NBC_2017-07-10_E.MP4$2769$2859","COMMERCIAL")</f>
        <v>COMMERCIAL</v>
      </c>
      <c r="E1393" s="3" t="s">
        <v>46</v>
      </c>
      <c r="F1393" s="3" t="s">
        <v>4438</v>
      </c>
      <c r="G1393" s="3" t="s">
        <v>4439</v>
      </c>
    </row>
    <row r="1394" spans="1:7">
      <c r="A1394" s="6">
        <v>42926</v>
      </c>
      <c r="B1394" s="3" t="s">
        <v>3494</v>
      </c>
      <c r="C1394" s="3" t="s">
        <v>14</v>
      </c>
      <c r="D1394" s="8" t="str">
        <f>HYPERLINK("http://npthd.inbcu.com/ViewContent.aspx?filename=NPMR_NBC_2017-07-10_E.MP4$2859$2865","Will &amp; Grace")</f>
        <v>Will &amp; Grace</v>
      </c>
      <c r="E1394" s="3" t="s">
        <v>15</v>
      </c>
      <c r="F1394" s="3" t="s">
        <v>4439</v>
      </c>
      <c r="G1394" s="3" t="s">
        <v>4440</v>
      </c>
    </row>
    <row r="1395" spans="1:7">
      <c r="A1395" s="6">
        <v>42926</v>
      </c>
      <c r="B1395" s="3" t="s">
        <v>3494</v>
      </c>
      <c r="C1395" s="3" t="s">
        <v>21</v>
      </c>
      <c r="D1395" s="8" t="str">
        <f>HYPERLINK("http://npthd.inbcu.com/ViewContent.aspx?filename=NPMR_NBC_2017-07-10_E.MP4$2865$2955","COMMERCIAL")</f>
        <v>COMMERCIAL</v>
      </c>
      <c r="E1395" s="3" t="s">
        <v>46</v>
      </c>
      <c r="F1395" s="3" t="s">
        <v>4440</v>
      </c>
      <c r="G1395" s="3" t="s">
        <v>4441</v>
      </c>
    </row>
    <row r="1396" spans="1:7">
      <c r="A1396" s="6">
        <v>42926</v>
      </c>
      <c r="B1396" s="3" t="s">
        <v>3494</v>
      </c>
      <c r="C1396" s="3" t="s">
        <v>14</v>
      </c>
      <c r="D1396" s="8" t="str">
        <f>HYPERLINK("http://npthd.inbcu.com/ViewContent.aspx?filename=NPMR_NBC_2017-07-10_E.MP4$2955$2969","Spartan Race")</f>
        <v>Spartan Race</v>
      </c>
      <c r="E1396" s="3" t="s">
        <v>342</v>
      </c>
      <c r="F1396" s="3" t="s">
        <v>4441</v>
      </c>
      <c r="G1396" s="3" t="s">
        <v>4442</v>
      </c>
    </row>
    <row r="1397" spans="1:7">
      <c r="A1397" s="6">
        <v>42926</v>
      </c>
      <c r="B1397" s="3" t="s">
        <v>3494</v>
      </c>
      <c r="C1397" s="3" t="s">
        <v>18</v>
      </c>
      <c r="D1397" s="8" t="str">
        <f>HYPERLINK("http://npthd.inbcu.com/ViewContent.aspx?filename=NPMR_NBC_2017-07-10_E.MP4$2969$3353","AMERICAN NINJA WARRIOR: cleveland qualifiers")</f>
        <v>AMERICAN NINJA WARRIOR: cleveland qualifiers</v>
      </c>
      <c r="E1397" s="3" t="s">
        <v>4443</v>
      </c>
      <c r="F1397" s="3" t="s">
        <v>4442</v>
      </c>
      <c r="G1397" s="3" t="s">
        <v>4444</v>
      </c>
    </row>
    <row r="1398" spans="1:7">
      <c r="A1398" s="6">
        <v>42926</v>
      </c>
      <c r="B1398" s="3" t="s">
        <v>3494</v>
      </c>
      <c r="C1398" s="3" t="s">
        <v>21</v>
      </c>
      <c r="D1398" s="8" t="str">
        <f>HYPERLINK("http://npthd.inbcu.com/ViewContent.aspx?filename=NPMR_NBC_2017-07-10_E.MP4$3353$3533","COMMERCIAL")</f>
        <v>COMMERCIAL</v>
      </c>
      <c r="E1398" s="3" t="s">
        <v>22</v>
      </c>
      <c r="F1398" s="3" t="s">
        <v>4444</v>
      </c>
      <c r="G1398" s="3" t="s">
        <v>152</v>
      </c>
    </row>
    <row r="1399" spans="1:7">
      <c r="A1399" s="6">
        <v>42926</v>
      </c>
      <c r="B1399" s="3" t="s">
        <v>3494</v>
      </c>
      <c r="C1399" s="3" t="s">
        <v>14</v>
      </c>
      <c r="D1399" s="8" t="str">
        <f>HYPERLINK("http://npthd.inbcu.com/ViewContent.aspx?filename=NPMR_NBC_2017-07-10_E.MP4$3533$3549","Wall, The")</f>
        <v>Wall, The</v>
      </c>
      <c r="E1399" s="3" t="s">
        <v>64</v>
      </c>
      <c r="F1399" s="3" t="s">
        <v>152</v>
      </c>
      <c r="G1399" s="3" t="s">
        <v>4445</v>
      </c>
    </row>
    <row r="1400" spans="1:7">
      <c r="A1400" s="6">
        <v>42926</v>
      </c>
      <c r="B1400" s="3" t="s">
        <v>3494</v>
      </c>
      <c r="C1400" s="3" t="s">
        <v>18</v>
      </c>
      <c r="D1400" s="8" t="str">
        <f>HYPERLINK("http://npthd.inbcu.com/ViewContent.aspx?filename=NPMR_NBC_2017-07-10_E.MP4$3549$3958","AMERICAN NINJA WARRIOR: cleveland qualifiers")</f>
        <v>AMERICAN NINJA WARRIOR: cleveland qualifiers</v>
      </c>
      <c r="E1400" s="3" t="s">
        <v>2920</v>
      </c>
      <c r="F1400" s="3" t="s">
        <v>4445</v>
      </c>
      <c r="G1400" s="3" t="s">
        <v>3301</v>
      </c>
    </row>
    <row r="1401" spans="1:7">
      <c r="A1401" s="6">
        <v>42926</v>
      </c>
      <c r="B1401" s="3" t="s">
        <v>3494</v>
      </c>
      <c r="C1401" s="3" t="s">
        <v>21</v>
      </c>
      <c r="D1401" s="8" t="str">
        <f>HYPERLINK("http://npthd.inbcu.com/ViewContent.aspx?filename=NPMR_NBC_2017-07-10_E.MP4$3958$4143","COMMERCIAL")</f>
        <v>COMMERCIAL</v>
      </c>
      <c r="E1401" s="3" t="s">
        <v>3675</v>
      </c>
      <c r="F1401" s="3" t="s">
        <v>3301</v>
      </c>
      <c r="G1401" s="3" t="s">
        <v>4287</v>
      </c>
    </row>
    <row r="1402" spans="1:7">
      <c r="A1402" s="6">
        <v>42926</v>
      </c>
      <c r="B1402" s="3" t="s">
        <v>3494</v>
      </c>
      <c r="C1402" s="3" t="s">
        <v>14</v>
      </c>
      <c r="D1402" s="8" t="str">
        <f>HYPERLINK("http://npthd.inbcu.com/ViewContent.aspx?filename=NPMR_NBC_2017-07-10_E.MP4$4143$4174","Law &amp; Order True Crime Menendez")</f>
        <v>Law &amp; Order True Crime Menendez</v>
      </c>
      <c r="E1402" s="3" t="s">
        <v>98</v>
      </c>
      <c r="F1402" s="3" t="s">
        <v>4287</v>
      </c>
      <c r="G1402" s="3" t="s">
        <v>4446</v>
      </c>
    </row>
    <row r="1403" spans="1:7">
      <c r="A1403" s="6">
        <v>42926</v>
      </c>
      <c r="B1403" s="3" t="s">
        <v>3494</v>
      </c>
      <c r="C1403" s="3" t="s">
        <v>18</v>
      </c>
      <c r="D1403" s="8" t="str">
        <f>HYPERLINK("http://npthd.inbcu.com/ViewContent.aspx?filename=NPMR_NBC_2017-07-10_E.MP4$4174$4576","AMERICAN NINJA WARRIOR: cleveland qualifiers")</f>
        <v>AMERICAN NINJA WARRIOR: cleveland qualifiers</v>
      </c>
      <c r="E1403" s="3" t="s">
        <v>1044</v>
      </c>
      <c r="F1403" s="3" t="s">
        <v>4446</v>
      </c>
      <c r="G1403" s="3" t="s">
        <v>4447</v>
      </c>
    </row>
    <row r="1404" spans="1:7">
      <c r="A1404" s="6">
        <v>42926</v>
      </c>
      <c r="B1404" s="3" t="s">
        <v>3494</v>
      </c>
      <c r="C1404" s="3" t="s">
        <v>21</v>
      </c>
      <c r="D1404" s="8" t="str">
        <f>HYPERLINK("http://npthd.inbcu.com/ViewContent.aspx?filename=NPMR_NBC_2017-07-10_E.MP4$4576$4636","COMMERCIAL")</f>
        <v>COMMERCIAL</v>
      </c>
      <c r="E1404" s="3" t="s">
        <v>66</v>
      </c>
      <c r="F1404" s="3" t="s">
        <v>4447</v>
      </c>
      <c r="G1404" s="3" t="s">
        <v>4206</v>
      </c>
    </row>
    <row r="1405" spans="1:7">
      <c r="A1405" s="6">
        <v>42926</v>
      </c>
      <c r="B1405" s="3" t="s">
        <v>3494</v>
      </c>
      <c r="C1405" s="3" t="s">
        <v>14</v>
      </c>
      <c r="D1405" s="8" t="str">
        <f>HYPERLINK("http://npthd.inbcu.com/ViewContent.aspx?filename=NPMR_NBC_2017-07-10_E.MP4$4636$4652","Fast and Furious (DVD)")</f>
        <v>Fast and Furious (DVD)</v>
      </c>
      <c r="E1405" s="3" t="s">
        <v>64</v>
      </c>
      <c r="F1405" s="3" t="s">
        <v>4206</v>
      </c>
      <c r="G1405" s="3" t="s">
        <v>2631</v>
      </c>
    </row>
    <row r="1406" spans="1:7">
      <c r="A1406" s="6">
        <v>42926</v>
      </c>
      <c r="B1406" s="3" t="s">
        <v>3494</v>
      </c>
      <c r="C1406" s="3" t="s">
        <v>32</v>
      </c>
      <c r="D1406" s="8" t="str">
        <f>HYPERLINK("http://npthd.inbcu.com/ViewContent.aspx?filename=NPMR_NBC_2017-07-10_E.MP4$4652$4796","LOCAL")</f>
        <v>LOCAL</v>
      </c>
      <c r="E1406" s="3" t="s">
        <v>111</v>
      </c>
      <c r="F1406" s="3" t="s">
        <v>2631</v>
      </c>
      <c r="G1406" s="3" t="s">
        <v>2285</v>
      </c>
    </row>
    <row r="1407" spans="1:7">
      <c r="A1407" s="6">
        <v>42926</v>
      </c>
      <c r="B1407" s="3" t="s">
        <v>3494</v>
      </c>
      <c r="C1407" s="3" t="s">
        <v>14</v>
      </c>
      <c r="D1407" s="8" t="str">
        <f>HYPERLINK("http://npthd.inbcu.com/ViewContent.aspx?filename=NPMR_NBC_2017-07-10_E.MP4$4796$4811","Little Big Shots: Forever Young")</f>
        <v>Little Big Shots: Forever Young</v>
      </c>
      <c r="E1407" s="3" t="s">
        <v>30</v>
      </c>
      <c r="F1407" s="3" t="s">
        <v>2285</v>
      </c>
      <c r="G1407" s="3" t="s">
        <v>4448</v>
      </c>
    </row>
    <row r="1408" spans="1:7">
      <c r="A1408" s="6">
        <v>42926</v>
      </c>
      <c r="B1408" s="3" t="s">
        <v>3494</v>
      </c>
      <c r="C1408" s="3" t="s">
        <v>18</v>
      </c>
      <c r="D1408" s="8" t="str">
        <f>HYPERLINK("http://npthd.inbcu.com/ViewContent.aspx?filename=NPMR_NBC_2017-07-10_E.MP4$4811$5217","AMERICAN NINJA WARRIOR: cleveland qualifiers")</f>
        <v>AMERICAN NINJA WARRIOR: cleveland qualifiers</v>
      </c>
      <c r="E1408" s="3" t="s">
        <v>1459</v>
      </c>
      <c r="F1408" s="3" t="s">
        <v>4448</v>
      </c>
      <c r="G1408" s="3" t="s">
        <v>4449</v>
      </c>
    </row>
    <row r="1409" spans="1:7">
      <c r="A1409" s="6">
        <v>42926</v>
      </c>
      <c r="B1409" s="3" t="s">
        <v>3494</v>
      </c>
      <c r="C1409" s="3" t="s">
        <v>21</v>
      </c>
      <c r="D1409" s="8" t="str">
        <f>HYPERLINK("http://npthd.inbcu.com/ViewContent.aspx?filename=NPMR_NBC_2017-07-10_E.MP4$5217$5398","COMMERCIAL")</f>
        <v>COMMERCIAL</v>
      </c>
      <c r="E1409" s="3" t="s">
        <v>108</v>
      </c>
      <c r="F1409" s="3" t="s">
        <v>4449</v>
      </c>
      <c r="G1409" s="3" t="s">
        <v>2357</v>
      </c>
    </row>
    <row r="1410" spans="1:7">
      <c r="A1410" s="6">
        <v>42926</v>
      </c>
      <c r="B1410" s="3" t="s">
        <v>3494</v>
      </c>
      <c r="C1410" s="3" t="s">
        <v>14</v>
      </c>
      <c r="D1410" s="8" t="str">
        <f>HYPERLINK("http://npthd.inbcu.com/ViewContent.aspx?filename=NPMR_NBC_2017-07-10_E.MP4$5398$5413","World of Dance")</f>
        <v>World of Dance</v>
      </c>
      <c r="E1410" s="3" t="s">
        <v>30</v>
      </c>
      <c r="F1410" s="3" t="s">
        <v>2357</v>
      </c>
      <c r="G1410" s="3" t="s">
        <v>4450</v>
      </c>
    </row>
    <row r="1411" spans="1:7">
      <c r="A1411" s="6">
        <v>42926</v>
      </c>
      <c r="B1411" s="3" t="s">
        <v>3494</v>
      </c>
      <c r="C1411" s="3" t="s">
        <v>18</v>
      </c>
      <c r="D1411" s="8" t="str">
        <f>HYPERLINK("http://npthd.inbcu.com/ViewContent.aspx?filename=NPMR_NBC_2017-07-10_E.MP4$5413$5959","AMERICAN NINJA WARRIOR: cleveland qualifiers")</f>
        <v>AMERICAN NINJA WARRIOR: cleveland qualifiers</v>
      </c>
      <c r="E1411" s="3" t="s">
        <v>1385</v>
      </c>
      <c r="F1411" s="3" t="s">
        <v>4450</v>
      </c>
      <c r="G1411" s="3" t="s">
        <v>4409</v>
      </c>
    </row>
    <row r="1412" spans="1:7">
      <c r="A1412" s="6">
        <v>42926</v>
      </c>
      <c r="B1412" s="3" t="s">
        <v>3494</v>
      </c>
      <c r="C1412" s="3" t="s">
        <v>21</v>
      </c>
      <c r="D1412" s="8" t="str">
        <f>HYPERLINK("http://npthd.inbcu.com/ViewContent.aspx?filename=NPMR_NBC_2017-07-10_E.MP4$5959$6080","COMMERCIAL")</f>
        <v>COMMERCIAL</v>
      </c>
      <c r="E1412" s="3" t="s">
        <v>175</v>
      </c>
      <c r="F1412" s="3" t="s">
        <v>4409</v>
      </c>
      <c r="G1412" s="3" t="s">
        <v>1908</v>
      </c>
    </row>
    <row r="1413" spans="1:7">
      <c r="A1413" s="6">
        <v>42926</v>
      </c>
      <c r="B1413" s="3" t="s">
        <v>3494</v>
      </c>
      <c r="C1413" s="3" t="s">
        <v>14</v>
      </c>
      <c r="D1413" s="8" t="str">
        <f>HYPERLINK("http://npthd.inbcu.com/ViewContent.aspx?filename=NPMR_NBC_2017-07-10_E.MP4$6080$6084","Spartan Race")</f>
        <v>Spartan Race</v>
      </c>
      <c r="E1413" s="3" t="s">
        <v>84</v>
      </c>
      <c r="F1413" s="3" t="s">
        <v>1908</v>
      </c>
      <c r="G1413" s="3" t="s">
        <v>4451</v>
      </c>
    </row>
    <row r="1414" spans="1:7">
      <c r="A1414" s="6">
        <v>42926</v>
      </c>
      <c r="B1414" s="3" t="s">
        <v>3494</v>
      </c>
      <c r="C1414" s="3" t="s">
        <v>32</v>
      </c>
      <c r="D1414" s="8" t="str">
        <f>HYPERLINK("http://npthd.inbcu.com/ViewContent.aspx?filename=NPMR_NBC_2017-07-10_E.MP4$6084$6175","LOCAL")</f>
        <v>LOCAL</v>
      </c>
      <c r="E1414" s="3" t="s">
        <v>77</v>
      </c>
      <c r="F1414" s="3" t="s">
        <v>4451</v>
      </c>
      <c r="G1414" s="3" t="s">
        <v>4452</v>
      </c>
    </row>
    <row r="1415" spans="1:7">
      <c r="A1415" s="6">
        <v>42926</v>
      </c>
      <c r="B1415" s="3" t="s">
        <v>3494</v>
      </c>
      <c r="C1415" s="3" t="s">
        <v>14</v>
      </c>
      <c r="D1415" s="8" t="str">
        <f>HYPERLINK("http://npthd.inbcu.com/ViewContent.aspx?filename=NPMR_NBC_2017-07-10_E.MP4$6175$6190","NASCAR")</f>
        <v>NASCAR</v>
      </c>
      <c r="E1415" s="3" t="s">
        <v>30</v>
      </c>
      <c r="F1415" s="3" t="s">
        <v>4452</v>
      </c>
      <c r="G1415" s="3" t="s">
        <v>3308</v>
      </c>
    </row>
    <row r="1416" spans="1:7">
      <c r="A1416" s="6">
        <v>42926</v>
      </c>
      <c r="B1416" s="3" t="s">
        <v>3494</v>
      </c>
      <c r="C1416" s="3" t="s">
        <v>18</v>
      </c>
      <c r="D1416" s="8" t="str">
        <f>HYPERLINK("http://npthd.inbcu.com/ViewContent.aspx?filename=NPMR_NBC_2017-07-10_E.MP4$6190$6520","AMERICAN NINJA WARRIOR: cleveland qualifiers")</f>
        <v>AMERICAN NINJA WARRIOR: cleveland qualifiers</v>
      </c>
      <c r="E1416" s="3" t="s">
        <v>338</v>
      </c>
      <c r="F1416" s="3" t="s">
        <v>3308</v>
      </c>
      <c r="G1416" s="3" t="s">
        <v>897</v>
      </c>
    </row>
    <row r="1417" spans="1:7">
      <c r="A1417" s="6">
        <v>42926</v>
      </c>
      <c r="B1417" s="3" t="s">
        <v>3494</v>
      </c>
      <c r="C1417" s="3" t="s">
        <v>21</v>
      </c>
      <c r="D1417" s="8" t="str">
        <f>HYPERLINK("http://npthd.inbcu.com/ViewContent.aspx?filename=NPMR_NBC_2017-07-10_E.MP4$6520$6700","COMMERCIAL")</f>
        <v>COMMERCIAL</v>
      </c>
      <c r="E1417" s="3" t="s">
        <v>22</v>
      </c>
      <c r="F1417" s="3" t="s">
        <v>897</v>
      </c>
      <c r="G1417" s="3" t="s">
        <v>4453</v>
      </c>
    </row>
    <row r="1418" spans="1:7">
      <c r="A1418" s="6">
        <v>42926</v>
      </c>
      <c r="B1418" s="3" t="s">
        <v>3494</v>
      </c>
      <c r="C1418" s="3" t="s">
        <v>14</v>
      </c>
      <c r="D1418" s="8" t="str">
        <f>HYPERLINK("http://npthd.inbcu.com/ViewContent.aspx?filename=NPMR_NBC_2017-07-10_E.MP4$6700$6715","Americas Got Talent")</f>
        <v>Americas Got Talent</v>
      </c>
      <c r="E1418" s="3" t="s">
        <v>30</v>
      </c>
      <c r="F1418" s="3" t="s">
        <v>4453</v>
      </c>
      <c r="G1418" s="3" t="s">
        <v>2933</v>
      </c>
    </row>
    <row r="1419" spans="1:7">
      <c r="A1419" s="6">
        <v>42926</v>
      </c>
      <c r="B1419" s="3" t="s">
        <v>3494</v>
      </c>
      <c r="C1419" s="3" t="s">
        <v>14</v>
      </c>
      <c r="D1419" s="8" t="str">
        <f>HYPERLINK("http://npthd.inbcu.com/ViewContent.aspx?filename=NPMR_NBC_2017-07-10_E.MP4$6715$6730","Spartan Race")</f>
        <v>Spartan Race</v>
      </c>
      <c r="E1419" s="3" t="s">
        <v>30</v>
      </c>
      <c r="F1419" s="3" t="s">
        <v>2933</v>
      </c>
      <c r="G1419" s="3" t="s">
        <v>2364</v>
      </c>
    </row>
    <row r="1420" spans="1:7">
      <c r="A1420" s="6">
        <v>42926</v>
      </c>
      <c r="B1420" s="3" t="s">
        <v>3494</v>
      </c>
      <c r="C1420" s="3" t="s">
        <v>18</v>
      </c>
      <c r="D1420" s="8" t="str">
        <f>HYPERLINK("http://npthd.inbcu.com/ViewContent.aspx?filename=NPMR_NBC_2017-07-10_E.MP4$6730$7258","AMERICAN NINJA WARRIOR: cleveland qualifiers")</f>
        <v>AMERICAN NINJA WARRIOR: cleveland qualifiers</v>
      </c>
      <c r="E1420" s="3" t="s">
        <v>532</v>
      </c>
      <c r="F1420" s="3" t="s">
        <v>2364</v>
      </c>
      <c r="G1420" s="3" t="s">
        <v>1234</v>
      </c>
    </row>
    <row r="1421" spans="1:7">
      <c r="A1421" s="6">
        <v>42926</v>
      </c>
      <c r="B1421" s="3" t="s">
        <v>3494</v>
      </c>
      <c r="C1421" s="3" t="s">
        <v>14</v>
      </c>
      <c r="D1421" s="8" t="str">
        <f>HYPERLINK("http://npthd.inbcu.com/ViewContent.aspx?filename=NPMR_NBC_2017-07-10_E.MP4$7258$7274","American Ninja Warrior")</f>
        <v>American Ninja Warrior</v>
      </c>
      <c r="E1421" s="3" t="s">
        <v>64</v>
      </c>
      <c r="F1421" s="3" t="s">
        <v>1234</v>
      </c>
      <c r="G1421" s="3" t="s">
        <v>3989</v>
      </c>
    </row>
    <row r="1422" spans="1:7">
      <c r="A1422" s="6">
        <v>42926</v>
      </c>
      <c r="B1422" s="3" t="s">
        <v>3494</v>
      </c>
      <c r="C1422" s="3" t="s">
        <v>14</v>
      </c>
      <c r="D1422" s="8" t="str">
        <f>HYPERLINK("http://npthd.inbcu.com/ViewContent.aspx?filename=NPMR_NBC_2017-07-10_E.MP4$7274$7289","Spartan Race")</f>
        <v>Spartan Race</v>
      </c>
      <c r="E1422" s="3" t="s">
        <v>30</v>
      </c>
      <c r="F1422" s="3" t="s">
        <v>3989</v>
      </c>
      <c r="G1422" s="3" t="s">
        <v>3531</v>
      </c>
    </row>
    <row r="1423" spans="1:7">
      <c r="A1423" s="6">
        <v>42926</v>
      </c>
      <c r="B1423" s="3" t="s">
        <v>3494</v>
      </c>
      <c r="C1423" s="3" t="s">
        <v>18</v>
      </c>
      <c r="D1423" s="8" t="str">
        <f>HYPERLINK("http://npthd.inbcu.com/ViewContent.aspx?filename=NPMR_NBC_2017-07-10_E.MP4$7289$7296","AMERICAN NINJA WARRIOR: cleveland qualifiers")</f>
        <v>AMERICAN NINJA WARRIOR: cleveland qualifiers</v>
      </c>
      <c r="E1423" s="3" t="s">
        <v>567</v>
      </c>
      <c r="F1423" s="3" t="s">
        <v>3531</v>
      </c>
      <c r="G1423" s="3" t="s">
        <v>394</v>
      </c>
    </row>
    <row r="1424" spans="1:7">
      <c r="A1424" s="6">
        <v>42926</v>
      </c>
      <c r="B1424" s="3" t="s">
        <v>3494</v>
      </c>
      <c r="C1424" s="3" t="s">
        <v>18</v>
      </c>
      <c r="D1424" s="8" t="str">
        <f>HYPERLINK("http://npthd.inbcu.com/ViewContent.aspx?filename=NPMR_NBC_2017-07-10_E.MP4$7296$8027","SPARTAN: ULTIMATE TEAM CHALLENGE: round two - night 1")</f>
        <v>SPARTAN: ULTIMATE TEAM CHALLENGE: round two - night 1</v>
      </c>
      <c r="E1424" s="3" t="s">
        <v>4454</v>
      </c>
      <c r="F1424" s="3" t="s">
        <v>394</v>
      </c>
      <c r="G1424" s="3" t="s">
        <v>2482</v>
      </c>
    </row>
    <row r="1425" spans="1:7">
      <c r="A1425" s="6">
        <v>42926</v>
      </c>
      <c r="B1425" s="3" t="s">
        <v>3494</v>
      </c>
      <c r="C1425" s="3" t="s">
        <v>21</v>
      </c>
      <c r="D1425" s="8" t="str">
        <f>HYPERLINK("http://npthd.inbcu.com/ViewContent.aspx?filename=NPMR_NBC_2017-07-10_E.MP4$8027$8178","COMMERCIAL")</f>
        <v>COMMERCIAL</v>
      </c>
      <c r="E1425" s="3" t="s">
        <v>91</v>
      </c>
      <c r="F1425" s="3" t="s">
        <v>2482</v>
      </c>
      <c r="G1425" s="3" t="s">
        <v>4455</v>
      </c>
    </row>
    <row r="1426" spans="1:7">
      <c r="A1426" s="6">
        <v>42926</v>
      </c>
      <c r="B1426" s="3" t="s">
        <v>3494</v>
      </c>
      <c r="C1426" s="3" t="s">
        <v>14</v>
      </c>
      <c r="D1426" s="8" t="str">
        <f>HYPERLINK("http://npthd.inbcu.com/ViewContent.aspx?filename=NPMR_NBC_2017-07-10_E.MP4$8178$8193","Today")</f>
        <v>Today</v>
      </c>
      <c r="E1426" s="3" t="s">
        <v>30</v>
      </c>
      <c r="F1426" s="3" t="s">
        <v>4455</v>
      </c>
      <c r="G1426" s="3" t="s">
        <v>4456</v>
      </c>
    </row>
    <row r="1427" spans="1:7">
      <c r="A1427" s="6">
        <v>42926</v>
      </c>
      <c r="B1427" s="3" t="s">
        <v>3494</v>
      </c>
      <c r="C1427" s="3" t="s">
        <v>32</v>
      </c>
      <c r="D1427" s="8" t="str">
        <f>HYPERLINK("http://npthd.inbcu.com/ViewContent.aspx?filename=NPMR_NBC_2017-07-10_E.MP4$8193$8224","LOCAL")</f>
        <v>LOCAL</v>
      </c>
      <c r="E1427" s="3" t="s">
        <v>98</v>
      </c>
      <c r="F1427" s="3" t="s">
        <v>4456</v>
      </c>
      <c r="G1427" s="3" t="s">
        <v>4457</v>
      </c>
    </row>
    <row r="1428" spans="1:7">
      <c r="A1428" s="6">
        <v>42926</v>
      </c>
      <c r="B1428" s="3" t="s">
        <v>3494</v>
      </c>
      <c r="C1428" s="3" t="s">
        <v>18</v>
      </c>
      <c r="D1428" s="8" t="str">
        <f>HYPERLINK("http://npthd.inbcu.com/ViewContent.aspx?filename=NPMR_NBC_2017-07-10_E.MP4$8224$8576","SPARTAN: ULTIMATE TEAM CHALLENGE: round two - night 1")</f>
        <v>SPARTAN: ULTIMATE TEAM CHALLENGE: round two - night 1</v>
      </c>
      <c r="E1428" s="3" t="s">
        <v>3973</v>
      </c>
      <c r="F1428" s="3" t="s">
        <v>4457</v>
      </c>
      <c r="G1428" s="3" t="s">
        <v>4458</v>
      </c>
    </row>
    <row r="1429" spans="1:7">
      <c r="A1429" s="6">
        <v>42926</v>
      </c>
      <c r="B1429" s="3" t="s">
        <v>3494</v>
      </c>
      <c r="C1429" s="3" t="s">
        <v>21</v>
      </c>
      <c r="D1429" s="8" t="str">
        <f>HYPERLINK("http://npthd.inbcu.com/ViewContent.aspx?filename=NPMR_NBC_2017-07-10_E.MP4$8576$8666","COMMERCIAL")</f>
        <v>COMMERCIAL</v>
      </c>
      <c r="E1429" s="3" t="s">
        <v>46</v>
      </c>
      <c r="F1429" s="3" t="s">
        <v>4458</v>
      </c>
      <c r="G1429" s="3" t="s">
        <v>4459</v>
      </c>
    </row>
    <row r="1430" spans="1:7">
      <c r="A1430" s="6">
        <v>42926</v>
      </c>
      <c r="B1430" s="3" t="s">
        <v>3494</v>
      </c>
      <c r="C1430" s="3" t="s">
        <v>32</v>
      </c>
      <c r="D1430" s="8" t="str">
        <f>HYPERLINK("http://npthd.inbcu.com/ViewContent.aspx?filename=NPMR_NBC_2017-07-10_E.MP4$8666$8681","LOCAL")</f>
        <v>LOCAL</v>
      </c>
      <c r="E1430" s="3" t="s">
        <v>30</v>
      </c>
      <c r="F1430" s="3" t="s">
        <v>4459</v>
      </c>
      <c r="G1430" s="3" t="s">
        <v>4460</v>
      </c>
    </row>
    <row r="1431" spans="1:7">
      <c r="A1431" s="6">
        <v>42926</v>
      </c>
      <c r="B1431" s="3" t="s">
        <v>3494</v>
      </c>
      <c r="C1431" s="3" t="s">
        <v>21</v>
      </c>
      <c r="D1431" s="8" t="str">
        <f>HYPERLINK("http://npthd.inbcu.com/ViewContent.aspx?filename=NPMR_NBC_2017-07-10_E.MP4$8681$8757","COMMERCIAL")</f>
        <v>COMMERCIAL</v>
      </c>
      <c r="E1431" s="3" t="s">
        <v>594</v>
      </c>
      <c r="F1431" s="3" t="s">
        <v>4460</v>
      </c>
      <c r="G1431" s="3" t="s">
        <v>1589</v>
      </c>
    </row>
    <row r="1432" spans="1:7">
      <c r="A1432" s="6">
        <v>42926</v>
      </c>
      <c r="B1432" s="3" t="s">
        <v>3494</v>
      </c>
      <c r="C1432" s="3" t="s">
        <v>14</v>
      </c>
      <c r="D1432" s="8" t="str">
        <f>HYPERLINK("http://npthd.inbcu.com/ViewContent.aspx?filename=NPMR_NBC_2017-07-10_E.MP4$8757$8787","Midnight Texas")</f>
        <v>Midnight Texas</v>
      </c>
      <c r="E1432" s="3" t="s">
        <v>38</v>
      </c>
      <c r="F1432" s="3" t="s">
        <v>1589</v>
      </c>
      <c r="G1432" s="3" t="s">
        <v>4461</v>
      </c>
    </row>
    <row r="1433" spans="1:7">
      <c r="A1433" s="6">
        <v>42926</v>
      </c>
      <c r="B1433" s="3" t="s">
        <v>3494</v>
      </c>
      <c r="C1433" s="3" t="s">
        <v>18</v>
      </c>
      <c r="D1433" s="8" t="str">
        <f>HYPERLINK("http://npthd.inbcu.com/ViewContent.aspx?filename=NPMR_NBC_2017-07-10_E.MP4$8787$9083","SPARTAN: ULTIMATE TEAM CHALLENGE: round two - night 1")</f>
        <v>SPARTAN: ULTIMATE TEAM CHALLENGE: round two - night 1</v>
      </c>
      <c r="E1433" s="3" t="s">
        <v>1389</v>
      </c>
      <c r="F1433" s="3" t="s">
        <v>4461</v>
      </c>
      <c r="G1433" s="3" t="s">
        <v>1665</v>
      </c>
    </row>
    <row r="1434" spans="1:7">
      <c r="A1434" s="6">
        <v>42926</v>
      </c>
      <c r="B1434" s="3" t="s">
        <v>3494</v>
      </c>
      <c r="C1434" s="3" t="s">
        <v>21</v>
      </c>
      <c r="D1434" s="8" t="str">
        <f>HYPERLINK("http://npthd.inbcu.com/ViewContent.aspx?filename=NPMR_NBC_2017-07-10_E.MP4$9083$9143","COMMERCIAL")</f>
        <v>COMMERCIAL</v>
      </c>
      <c r="E1434" s="3" t="s">
        <v>66</v>
      </c>
      <c r="F1434" s="3" t="s">
        <v>1665</v>
      </c>
      <c r="G1434" s="3" t="s">
        <v>3846</v>
      </c>
    </row>
    <row r="1435" spans="1:7">
      <c r="A1435" s="6">
        <v>42926</v>
      </c>
      <c r="B1435" s="3" t="s">
        <v>3494</v>
      </c>
      <c r="C1435" s="3" t="s">
        <v>14</v>
      </c>
      <c r="D1435" s="8" t="str">
        <f>HYPERLINK("http://npthd.inbcu.com/ViewContent.aspx?filename=NPMR_NBC_2017-07-10_E.MP4$9143$9148","Late Night with Seth Meyers")</f>
        <v>Late Night with Seth Meyers</v>
      </c>
      <c r="E1435" s="3" t="s">
        <v>54</v>
      </c>
      <c r="F1435" s="3" t="s">
        <v>3846</v>
      </c>
      <c r="G1435" s="3" t="s">
        <v>4462</v>
      </c>
    </row>
    <row r="1436" spans="1:7">
      <c r="A1436" s="6">
        <v>42926</v>
      </c>
      <c r="B1436" s="3" t="s">
        <v>3494</v>
      </c>
      <c r="C1436" s="3" t="s">
        <v>32</v>
      </c>
      <c r="D1436" s="8" t="str">
        <f>HYPERLINK("http://npthd.inbcu.com/ViewContent.aspx?filename=NPMR_NBC_2017-07-10_E.MP4$9148$9313","LOCAL")</f>
        <v>LOCAL</v>
      </c>
      <c r="E1436" s="3" t="s">
        <v>428</v>
      </c>
      <c r="F1436" s="3" t="s">
        <v>4462</v>
      </c>
      <c r="G1436" s="3" t="s">
        <v>4463</v>
      </c>
    </row>
    <row r="1437" spans="1:7">
      <c r="A1437" s="6">
        <v>42926</v>
      </c>
      <c r="B1437" s="3" t="s">
        <v>3494</v>
      </c>
      <c r="C1437" s="3" t="s">
        <v>14</v>
      </c>
      <c r="D1437" s="8" t="str">
        <f>HYPERLINK("http://npthd.inbcu.com/ViewContent.aspx?filename=NPMR_NBC_2017-07-10_E.MP4$9313$9322","Tonight Show starring Jimmy Fallon, The")</f>
        <v>Tonight Show starring Jimmy Fallon, The</v>
      </c>
      <c r="E1437" s="3" t="s">
        <v>2074</v>
      </c>
      <c r="F1437" s="3" t="s">
        <v>4463</v>
      </c>
      <c r="G1437" s="3" t="s">
        <v>4464</v>
      </c>
    </row>
    <row r="1438" spans="1:7">
      <c r="A1438" s="6">
        <v>42926</v>
      </c>
      <c r="B1438" s="3" t="s">
        <v>3494</v>
      </c>
      <c r="C1438" s="3" t="s">
        <v>14</v>
      </c>
      <c r="D1438" s="8" t="str">
        <f>HYPERLINK("http://npthd.inbcu.com/ViewContent.aspx?filename=NPMR_NBC_2017-07-10_E.MP4$9322$9328","Midnight Texas")</f>
        <v>Midnight Texas</v>
      </c>
      <c r="E1438" s="3" t="s">
        <v>15</v>
      </c>
      <c r="F1438" s="3" t="s">
        <v>4464</v>
      </c>
      <c r="G1438" s="3" t="s">
        <v>2602</v>
      </c>
    </row>
    <row r="1439" spans="1:7">
      <c r="A1439" s="6">
        <v>42926</v>
      </c>
      <c r="B1439" s="3" t="s">
        <v>3494</v>
      </c>
      <c r="C1439" s="3" t="s">
        <v>18</v>
      </c>
      <c r="D1439" s="8" t="str">
        <f>HYPERLINK("http://npthd.inbcu.com/ViewContent.aspx?filename=NPMR_NBC_2017-07-10_E.MP4$9328$9814","SPARTAN: ULTIMATE TEAM CHALLENGE: round two - night 1")</f>
        <v>SPARTAN: ULTIMATE TEAM CHALLENGE: round two - night 1</v>
      </c>
      <c r="E1439" s="3" t="s">
        <v>588</v>
      </c>
      <c r="F1439" s="3" t="s">
        <v>2602</v>
      </c>
      <c r="G1439" s="3" t="s">
        <v>4465</v>
      </c>
    </row>
    <row r="1440" spans="1:7">
      <c r="A1440" s="6">
        <v>42926</v>
      </c>
      <c r="B1440" s="3" t="s">
        <v>3494</v>
      </c>
      <c r="C1440" s="3" t="s">
        <v>21</v>
      </c>
      <c r="D1440" s="8" t="str">
        <f>HYPERLINK("http://npthd.inbcu.com/ViewContent.aspx?filename=NPMR_NBC_2017-07-10_E.MP4$9814$9904","COMMERCIAL")</f>
        <v>COMMERCIAL</v>
      </c>
      <c r="E1440" s="3" t="s">
        <v>46</v>
      </c>
      <c r="F1440" s="3" t="s">
        <v>4465</v>
      </c>
      <c r="G1440" s="3" t="s">
        <v>4466</v>
      </c>
    </row>
    <row r="1441" spans="1:7">
      <c r="A1441" s="6">
        <v>42926</v>
      </c>
      <c r="B1441" s="3" t="s">
        <v>3494</v>
      </c>
      <c r="C1441" s="3" t="s">
        <v>14</v>
      </c>
      <c r="D1441" s="8" t="str">
        <f>HYPERLINK("http://npthd.inbcu.com/ViewContent.aspx?filename=NPMR_NBC_2017-07-10_E.MP4$9904$9919","Fast and Furious (DVD)")</f>
        <v>Fast and Furious (DVD)</v>
      </c>
      <c r="E1441" s="3" t="s">
        <v>30</v>
      </c>
      <c r="F1441" s="3" t="s">
        <v>4466</v>
      </c>
      <c r="G1441" s="3" t="s">
        <v>4235</v>
      </c>
    </row>
    <row r="1442" spans="1:7">
      <c r="A1442" s="6">
        <v>42926</v>
      </c>
      <c r="B1442" s="3" t="s">
        <v>3494</v>
      </c>
      <c r="C1442" s="3" t="s">
        <v>32</v>
      </c>
      <c r="D1442" s="8" t="str">
        <f>HYPERLINK("http://npthd.inbcu.com/ViewContent.aspx?filename=NPMR_NBC_2017-07-10_E.MP4$9919$9995","LOCAL")</f>
        <v>LOCAL</v>
      </c>
      <c r="E1442" s="3" t="s">
        <v>594</v>
      </c>
      <c r="F1442" s="3" t="s">
        <v>4235</v>
      </c>
      <c r="G1442" s="3" t="s">
        <v>1755</v>
      </c>
    </row>
    <row r="1443" spans="1:7">
      <c r="A1443" s="6">
        <v>42926</v>
      </c>
      <c r="B1443" s="3" t="s">
        <v>3494</v>
      </c>
      <c r="C1443" s="3" t="s">
        <v>14</v>
      </c>
      <c r="D1443" s="8" t="str">
        <f>HYPERLINK("http://npthd.inbcu.com/ViewContent.aspx?filename=NPMR_NBC_2017-07-10_E.MP4$9995$10024","AGT/WOD")</f>
        <v>AGT/WOD</v>
      </c>
      <c r="E1443" s="3" t="s">
        <v>24</v>
      </c>
      <c r="F1443" s="3" t="s">
        <v>1755</v>
      </c>
      <c r="G1443" s="3" t="s">
        <v>4467</v>
      </c>
    </row>
    <row r="1444" spans="1:7">
      <c r="A1444" s="6">
        <v>42926</v>
      </c>
      <c r="B1444" s="3" t="s">
        <v>3494</v>
      </c>
      <c r="C1444" s="3" t="s">
        <v>18</v>
      </c>
      <c r="D1444" s="8" t="str">
        <f>HYPERLINK("http://npthd.inbcu.com/ViewContent.aspx?filename=NPMR_NBC_2017-07-10_E.MP4$10024$10325","SPARTAN: ULTIMATE TEAM CHALLENGE: round two - night 1")</f>
        <v>SPARTAN: ULTIMATE TEAM CHALLENGE: round two - night 1</v>
      </c>
      <c r="E1444" s="3" t="s">
        <v>3722</v>
      </c>
      <c r="F1444" s="3" t="s">
        <v>4467</v>
      </c>
      <c r="G1444" s="3" t="s">
        <v>2996</v>
      </c>
    </row>
    <row r="1445" spans="1:7">
      <c r="A1445" s="6">
        <v>42926</v>
      </c>
      <c r="B1445" s="3" t="s">
        <v>3494</v>
      </c>
      <c r="C1445" s="3" t="s">
        <v>21</v>
      </c>
      <c r="D1445" s="8" t="str">
        <f>HYPERLINK("http://npthd.inbcu.com/ViewContent.aspx?filename=NPMR_NBC_2017-07-10_E.MP4$10325$10476","COMMERCIAL")</f>
        <v>COMMERCIAL</v>
      </c>
      <c r="E1445" s="3" t="s">
        <v>91</v>
      </c>
      <c r="F1445" s="3" t="s">
        <v>2996</v>
      </c>
      <c r="G1445" s="3" t="s">
        <v>4468</v>
      </c>
    </row>
    <row r="1446" spans="1:7">
      <c r="A1446" s="6">
        <v>42926</v>
      </c>
      <c r="B1446" s="3" t="s">
        <v>3494</v>
      </c>
      <c r="C1446" s="3" t="s">
        <v>32</v>
      </c>
      <c r="D1446" s="8" t="str">
        <f>HYPERLINK("http://npthd.inbcu.com/ViewContent.aspx?filename=NPMR_NBC_2017-07-10_E.MP4$10476$10491","LOCAL")</f>
        <v>LOCAL</v>
      </c>
      <c r="E1446" s="3" t="s">
        <v>30</v>
      </c>
      <c r="F1446" s="3" t="s">
        <v>4468</v>
      </c>
      <c r="G1446" s="3" t="s">
        <v>4469</v>
      </c>
    </row>
    <row r="1447" spans="1:7">
      <c r="A1447" s="6">
        <v>42926</v>
      </c>
      <c r="B1447" s="3" t="s">
        <v>3494</v>
      </c>
      <c r="C1447" s="3" t="s">
        <v>14</v>
      </c>
      <c r="D1447" s="8" t="str">
        <f>HYPERLINK("http://npthd.inbcu.com/ViewContent.aspx?filename=NPMR_NBC_2017-07-10_E.MP4$10491$10506","Brave, The")</f>
        <v>Brave, The</v>
      </c>
      <c r="E1447" s="3" t="s">
        <v>30</v>
      </c>
      <c r="F1447" s="3" t="s">
        <v>4469</v>
      </c>
      <c r="G1447" s="3" t="s">
        <v>3631</v>
      </c>
    </row>
    <row r="1448" spans="1:7">
      <c r="A1448" s="6">
        <v>42926</v>
      </c>
      <c r="B1448" s="3" t="s">
        <v>3494</v>
      </c>
      <c r="C1448" s="3" t="s">
        <v>18</v>
      </c>
      <c r="D1448" s="8" t="str">
        <f>HYPERLINK("http://npthd.inbcu.com/ViewContent.aspx?filename=NPMR_NBC_2017-07-10_E.MP4$10506$10829","SPARTAN: ULTIMATE TEAM CHALLENGE: round two - night 1")</f>
        <v>SPARTAN: ULTIMATE TEAM CHALLENGE: round two - night 1</v>
      </c>
      <c r="E1448" s="3" t="s">
        <v>544</v>
      </c>
      <c r="F1448" s="3" t="s">
        <v>3631</v>
      </c>
      <c r="G1448" s="3" t="s">
        <v>4238</v>
      </c>
    </row>
    <row r="1449" spans="1:7">
      <c r="A1449" s="6">
        <v>42926</v>
      </c>
      <c r="B1449" s="3" t="s">
        <v>3494</v>
      </c>
      <c r="C1449" s="3" t="s">
        <v>14</v>
      </c>
      <c r="D1449" s="8" t="str">
        <f>HYPERLINK("http://npthd.inbcu.com/ViewContent.aspx?filename=NPMR_NBC_2017-07-10_E.MP4$10829$10859","Spartan Race")</f>
        <v>Spartan Race</v>
      </c>
      <c r="E1449" s="3" t="s">
        <v>38</v>
      </c>
      <c r="F1449" s="3" t="s">
        <v>4238</v>
      </c>
      <c r="G1449" s="3" t="s">
        <v>2176</v>
      </c>
    </row>
    <row r="1450" spans="1:7">
      <c r="A1450" s="6">
        <v>42926</v>
      </c>
      <c r="B1450" s="3" t="s">
        <v>3494</v>
      </c>
      <c r="C1450" s="3" t="s">
        <v>18</v>
      </c>
      <c r="D1450" s="8" t="str">
        <f>HYPERLINK("http://npthd.inbcu.com/ViewContent.aspx?filename=NPMR_NBC_2017-07-10_E.MP4$10859$10866","SPARTAN: ULTIMATE TEAM CHALLENGE: round two - night 1")</f>
        <v>SPARTAN: ULTIMATE TEAM CHALLENGE: round two - night 1</v>
      </c>
      <c r="E1450" s="3" t="s">
        <v>567</v>
      </c>
      <c r="F1450" s="3" t="s">
        <v>2176</v>
      </c>
      <c r="G1450" s="3" t="s">
        <v>3554</v>
      </c>
    </row>
    <row r="1451" spans="1:7">
      <c r="A1451" s="6">
        <v>42926</v>
      </c>
      <c r="B1451" s="3" t="s">
        <v>3494</v>
      </c>
      <c r="C1451" s="3" t="s">
        <v>32</v>
      </c>
      <c r="D1451" s="8" t="str">
        <f>HYPERLINK("http://npthd.inbcu.com/ViewContent.aspx?filename=NPMR_NBC_2017-07-10_E.MP4$10866$10896","LOCAL")</f>
        <v>LOCAL</v>
      </c>
      <c r="E1451" s="3" t="s">
        <v>38</v>
      </c>
      <c r="F1451" s="3" t="s">
        <v>3554</v>
      </c>
      <c r="G1451" s="3" t="s">
        <v>124</v>
      </c>
    </row>
    <row r="1452" spans="1:7">
      <c r="A1452" s="6">
        <v>42927</v>
      </c>
      <c r="B1452" s="3" t="s">
        <v>3494</v>
      </c>
      <c r="C1452" s="3" t="s">
        <v>18</v>
      </c>
      <c r="D1452" s="8" t="str">
        <f>HYPERLINK("http://npthd.inbcu.com/ViewContent.aspx?filename=NPMR_NBC_2017-07-11_E.MP4$101$655","AMERICAS GOT TALENT: auditions 6")</f>
        <v>AMERICAS GOT TALENT: auditions 6</v>
      </c>
      <c r="E1452" s="3" t="s">
        <v>217</v>
      </c>
      <c r="F1452" s="3" t="s">
        <v>16</v>
      </c>
      <c r="G1452" s="3" t="s">
        <v>4470</v>
      </c>
    </row>
    <row r="1453" spans="1:7">
      <c r="A1453" s="6">
        <v>42927</v>
      </c>
      <c r="B1453" s="3" t="s">
        <v>3494</v>
      </c>
      <c r="C1453" s="3" t="s">
        <v>21</v>
      </c>
      <c r="D1453" s="8" t="str">
        <f>HYPERLINK("http://npthd.inbcu.com/ViewContent.aspx?filename=NPMR_NBC_2017-07-11_E.MP4$655$836","COMMERCIAL")</f>
        <v>COMMERCIAL</v>
      </c>
      <c r="E1453" s="3" t="s">
        <v>108</v>
      </c>
      <c r="F1453" s="3" t="s">
        <v>4470</v>
      </c>
      <c r="G1453" s="3" t="s">
        <v>4471</v>
      </c>
    </row>
    <row r="1454" spans="1:7">
      <c r="A1454" s="6">
        <v>42927</v>
      </c>
      <c r="B1454" s="3" t="s">
        <v>3494</v>
      </c>
      <c r="C1454" s="3" t="s">
        <v>14</v>
      </c>
      <c r="D1454" s="8" t="str">
        <f>HYPERLINK("http://npthd.inbcu.com/ViewContent.aspx?filename=NPMR_NBC_2017-07-11_E.MP4$836$866","Wall, The")</f>
        <v>Wall, The</v>
      </c>
      <c r="E1454" s="3" t="s">
        <v>38</v>
      </c>
      <c r="F1454" s="3" t="s">
        <v>4471</v>
      </c>
      <c r="G1454" s="3" t="s">
        <v>4472</v>
      </c>
    </row>
    <row r="1455" spans="1:7">
      <c r="A1455" s="6">
        <v>42927</v>
      </c>
      <c r="B1455" s="3" t="s">
        <v>3494</v>
      </c>
      <c r="C1455" s="3" t="s">
        <v>18</v>
      </c>
      <c r="D1455" s="8" t="str">
        <f>HYPERLINK("http://npthd.inbcu.com/ViewContent.aspx?filename=NPMR_NBC_2017-07-11_E.MP4$866$1192","AMERICAS GOT TALENT: auditions 6")</f>
        <v>AMERICAS GOT TALENT: auditions 6</v>
      </c>
      <c r="E1455" s="3" t="s">
        <v>1215</v>
      </c>
      <c r="F1455" s="3" t="s">
        <v>4472</v>
      </c>
      <c r="G1455" s="3" t="s">
        <v>1823</v>
      </c>
    </row>
    <row r="1456" spans="1:7">
      <c r="A1456" s="6">
        <v>42927</v>
      </c>
      <c r="B1456" s="3" t="s">
        <v>3494</v>
      </c>
      <c r="C1456" s="3" t="s">
        <v>21</v>
      </c>
      <c r="D1456" s="8" t="str">
        <f>HYPERLINK("http://npthd.inbcu.com/ViewContent.aspx?filename=NPMR_NBC_2017-07-11_E.MP4$1192$1282","COMMERCIAL")</f>
        <v>COMMERCIAL</v>
      </c>
      <c r="E1456" s="3" t="s">
        <v>46</v>
      </c>
      <c r="F1456" s="3" t="s">
        <v>1823</v>
      </c>
      <c r="G1456" s="3" t="s">
        <v>3002</v>
      </c>
    </row>
    <row r="1457" spans="1:7">
      <c r="A1457" s="6">
        <v>42927</v>
      </c>
      <c r="B1457" s="3" t="s">
        <v>3494</v>
      </c>
      <c r="C1457" s="3" t="s">
        <v>14</v>
      </c>
      <c r="D1457" s="8" t="str">
        <f>HYPERLINK("http://npthd.inbcu.com/ViewContent.aspx?filename=NPMR_NBC_2017-07-11_E.MP4$1282$1297","Watch What Happens Live! (Bravo)")</f>
        <v>Watch What Happens Live! (Bravo)</v>
      </c>
      <c r="E1457" s="3" t="s">
        <v>30</v>
      </c>
      <c r="F1457" s="3" t="s">
        <v>3002</v>
      </c>
      <c r="G1457" s="3" t="s">
        <v>4473</v>
      </c>
    </row>
    <row r="1458" spans="1:7">
      <c r="A1458" s="6">
        <v>42927</v>
      </c>
      <c r="B1458" s="3" t="s">
        <v>3494</v>
      </c>
      <c r="C1458" s="3" t="s">
        <v>32</v>
      </c>
      <c r="D1458" s="8" t="str">
        <f>HYPERLINK("http://npthd.inbcu.com/ViewContent.aspx?filename=NPMR_NBC_2017-07-11_E.MP4$1297$1391","LOCAL")</f>
        <v>LOCAL</v>
      </c>
      <c r="E1458" s="3" t="s">
        <v>1917</v>
      </c>
      <c r="F1458" s="3" t="s">
        <v>4473</v>
      </c>
      <c r="G1458" s="3" t="s">
        <v>4190</v>
      </c>
    </row>
    <row r="1459" spans="1:7">
      <c r="A1459" s="6">
        <v>42927</v>
      </c>
      <c r="B1459" s="3" t="s">
        <v>3494</v>
      </c>
      <c r="C1459" s="3" t="s">
        <v>14</v>
      </c>
      <c r="D1459" s="8" t="str">
        <f>HYPERLINK("http://npthd.inbcu.com/ViewContent.aspx?filename=NPMR_NBC_2017-07-11_E.MP4$1391$1406","Today")</f>
        <v>Today</v>
      </c>
      <c r="E1459" s="3" t="s">
        <v>30</v>
      </c>
      <c r="F1459" s="3" t="s">
        <v>4190</v>
      </c>
      <c r="G1459" s="3" t="s">
        <v>4191</v>
      </c>
    </row>
    <row r="1460" spans="1:7">
      <c r="A1460" s="6">
        <v>42927</v>
      </c>
      <c r="B1460" s="3" t="s">
        <v>3494</v>
      </c>
      <c r="C1460" s="3" t="s">
        <v>18</v>
      </c>
      <c r="D1460" s="8" t="str">
        <f>HYPERLINK("http://npthd.inbcu.com/ViewContent.aspx?filename=NPMR_NBC_2017-07-11_E.MP4$1406$1894","AMERICAS GOT TALENT: auditions 6")</f>
        <v>AMERICAS GOT TALENT: auditions 6</v>
      </c>
      <c r="E1460" s="3" t="s">
        <v>1546</v>
      </c>
      <c r="F1460" s="3" t="s">
        <v>4191</v>
      </c>
      <c r="G1460" s="3" t="s">
        <v>863</v>
      </c>
    </row>
    <row r="1461" spans="1:7">
      <c r="A1461" s="6">
        <v>42927</v>
      </c>
      <c r="B1461" s="3" t="s">
        <v>3494</v>
      </c>
      <c r="C1461" s="3" t="s">
        <v>14</v>
      </c>
      <c r="D1461" s="8" t="str">
        <f>HYPERLINK("http://npthd.inbcu.com/ViewContent.aspx?filename=NPMR_NBC_2017-07-11_E.MP4$1894$1909","Midnight Texas")</f>
        <v>Midnight Texas</v>
      </c>
      <c r="E1461" s="3" t="s">
        <v>30</v>
      </c>
      <c r="F1461" s="3" t="s">
        <v>863</v>
      </c>
      <c r="G1461" s="3" t="s">
        <v>4474</v>
      </c>
    </row>
    <row r="1462" spans="1:7">
      <c r="A1462" s="6">
        <v>42927</v>
      </c>
      <c r="B1462" s="3" t="s">
        <v>3494</v>
      </c>
      <c r="C1462" s="3" t="s">
        <v>21</v>
      </c>
      <c r="D1462" s="8" t="str">
        <f>HYPERLINK("http://npthd.inbcu.com/ViewContent.aspx?filename=NPMR_NBC_2017-07-11_E.MP4$1909$2060","COMMERCIAL")</f>
        <v>COMMERCIAL</v>
      </c>
      <c r="E1462" s="3" t="s">
        <v>91</v>
      </c>
      <c r="F1462" s="3" t="s">
        <v>4474</v>
      </c>
      <c r="G1462" s="3" t="s">
        <v>4475</v>
      </c>
    </row>
    <row r="1463" spans="1:7">
      <c r="A1463" s="6">
        <v>42927</v>
      </c>
      <c r="B1463" s="3" t="s">
        <v>3494</v>
      </c>
      <c r="C1463" s="3" t="s">
        <v>14</v>
      </c>
      <c r="D1463" s="8" t="str">
        <f>HYPERLINK("http://npthd.inbcu.com/ViewContent.aspx?filename=NPMR_NBC_2017-07-11_E.MP4$2060$2089","World of Dance")</f>
        <v>World of Dance</v>
      </c>
      <c r="E1463" s="3" t="s">
        <v>24</v>
      </c>
      <c r="F1463" s="3" t="s">
        <v>4475</v>
      </c>
      <c r="G1463" s="3" t="s">
        <v>4476</v>
      </c>
    </row>
    <row r="1464" spans="1:7">
      <c r="A1464" s="6">
        <v>42927</v>
      </c>
      <c r="B1464" s="3" t="s">
        <v>3494</v>
      </c>
      <c r="C1464" s="3" t="s">
        <v>18</v>
      </c>
      <c r="D1464" s="8" t="str">
        <f>HYPERLINK("http://npthd.inbcu.com/ViewContent.aspx?filename=NPMR_NBC_2017-07-11_E.MP4$2089$2459","AMERICAS GOT TALENT: auditions 6")</f>
        <v>AMERICAS GOT TALENT: auditions 6</v>
      </c>
      <c r="E1464" s="3" t="s">
        <v>538</v>
      </c>
      <c r="F1464" s="3" t="s">
        <v>4476</v>
      </c>
      <c r="G1464" s="3" t="s">
        <v>1832</v>
      </c>
    </row>
    <row r="1465" spans="1:7">
      <c r="A1465" s="6">
        <v>42927</v>
      </c>
      <c r="B1465" s="3" t="s">
        <v>3494</v>
      </c>
      <c r="C1465" s="3" t="s">
        <v>21</v>
      </c>
      <c r="D1465" s="8" t="str">
        <f>HYPERLINK("http://npthd.inbcu.com/ViewContent.aspx?filename=NPMR_NBC_2017-07-11_E.MP4$2459$2549","COMMERCIAL")</f>
        <v>COMMERCIAL</v>
      </c>
      <c r="E1465" s="3" t="s">
        <v>46</v>
      </c>
      <c r="F1465" s="3" t="s">
        <v>1832</v>
      </c>
      <c r="G1465" s="3" t="s">
        <v>4477</v>
      </c>
    </row>
    <row r="1466" spans="1:7">
      <c r="A1466" s="6">
        <v>42927</v>
      </c>
      <c r="B1466" s="3" t="s">
        <v>3494</v>
      </c>
      <c r="C1466" s="3" t="s">
        <v>14</v>
      </c>
      <c r="D1466" s="8" t="str">
        <f>HYPERLINK("http://npthd.inbcu.com/ViewContent.aspx?filename=NPMR_NBC_2017-07-11_E.MP4$2549$2564","Law &amp; Order True Crime Menendez")</f>
        <v>Law &amp; Order True Crime Menendez</v>
      </c>
      <c r="E1466" s="3" t="s">
        <v>30</v>
      </c>
      <c r="F1466" s="3" t="s">
        <v>4477</v>
      </c>
      <c r="G1466" s="3" t="s">
        <v>4478</v>
      </c>
    </row>
    <row r="1467" spans="1:7">
      <c r="A1467" s="6">
        <v>42927</v>
      </c>
      <c r="B1467" s="3" t="s">
        <v>3494</v>
      </c>
      <c r="C1467" s="3" t="s">
        <v>32</v>
      </c>
      <c r="D1467" s="8" t="str">
        <f>HYPERLINK("http://npthd.inbcu.com/ViewContent.aspx?filename=NPMR_NBC_2017-07-11_E.MP4$2564$2654","LOCAL")</f>
        <v>LOCAL</v>
      </c>
      <c r="E1467" s="3" t="s">
        <v>46</v>
      </c>
      <c r="F1467" s="3" t="s">
        <v>4478</v>
      </c>
      <c r="G1467" s="3" t="s">
        <v>4479</v>
      </c>
    </row>
    <row r="1468" spans="1:7">
      <c r="A1468" s="6">
        <v>42927</v>
      </c>
      <c r="B1468" s="3" t="s">
        <v>3494</v>
      </c>
      <c r="C1468" s="3" t="s">
        <v>14</v>
      </c>
      <c r="D1468" s="8" t="str">
        <f>HYPERLINK("http://npthd.inbcu.com/ViewContent.aspx?filename=NPMR_NBC_2017-07-11_E.MP4$2654$2685","Will &amp; Grace")</f>
        <v>Will &amp; Grace</v>
      </c>
      <c r="E1468" s="3" t="s">
        <v>98</v>
      </c>
      <c r="F1468" s="3" t="s">
        <v>4479</v>
      </c>
      <c r="G1468" s="3" t="s">
        <v>1124</v>
      </c>
    </row>
    <row r="1469" spans="1:7">
      <c r="A1469" s="6">
        <v>42927</v>
      </c>
      <c r="B1469" s="3" t="s">
        <v>3494</v>
      </c>
      <c r="C1469" s="3" t="s">
        <v>18</v>
      </c>
      <c r="D1469" s="8" t="str">
        <f>HYPERLINK("http://npthd.inbcu.com/ViewContent.aspx?filename=NPMR_NBC_2017-07-11_E.MP4$2685$3047","AMERICAS GOT TALENT: auditions 6")</f>
        <v>AMERICAS GOT TALENT: auditions 6</v>
      </c>
      <c r="E1469" s="3" t="s">
        <v>48</v>
      </c>
      <c r="F1469" s="3" t="s">
        <v>1124</v>
      </c>
      <c r="G1469" s="3" t="s">
        <v>2575</v>
      </c>
    </row>
    <row r="1470" spans="1:7">
      <c r="A1470" s="6">
        <v>42927</v>
      </c>
      <c r="B1470" s="3" t="s">
        <v>3494</v>
      </c>
      <c r="C1470" s="3" t="s">
        <v>21</v>
      </c>
      <c r="D1470" s="8" t="str">
        <f>HYPERLINK("http://npthd.inbcu.com/ViewContent.aspx?filename=NPMR_NBC_2017-07-11_E.MP4$3047$3227","COMMERCIAL")</f>
        <v>COMMERCIAL</v>
      </c>
      <c r="E1470" s="3" t="s">
        <v>22</v>
      </c>
      <c r="F1470" s="3" t="s">
        <v>2575</v>
      </c>
      <c r="G1470" s="3" t="s">
        <v>4480</v>
      </c>
    </row>
    <row r="1471" spans="1:7">
      <c r="A1471" s="6">
        <v>42927</v>
      </c>
      <c r="B1471" s="3" t="s">
        <v>3494</v>
      </c>
      <c r="C1471" s="3" t="s">
        <v>14</v>
      </c>
      <c r="D1471" s="8" t="str">
        <f>HYPERLINK("http://npthd.inbcu.com/ViewContent.aspx?filename=NPMR_NBC_2017-07-11_E.MP4$3227$3257","Brave, The")</f>
        <v>Brave, The</v>
      </c>
      <c r="E1471" s="3" t="s">
        <v>38</v>
      </c>
      <c r="F1471" s="3" t="s">
        <v>4480</v>
      </c>
      <c r="G1471" s="3" t="s">
        <v>4481</v>
      </c>
    </row>
    <row r="1472" spans="1:7">
      <c r="A1472" s="6">
        <v>42927</v>
      </c>
      <c r="B1472" s="3" t="s">
        <v>3494</v>
      </c>
      <c r="C1472" s="3" t="s">
        <v>18</v>
      </c>
      <c r="D1472" s="8" t="str">
        <f>HYPERLINK("http://npthd.inbcu.com/ViewContent.aspx?filename=NPMR_NBC_2017-07-11_E.MP4$3257$3827","AMERICAS GOT TALENT: auditions 6")</f>
        <v>AMERICAS GOT TALENT: auditions 6</v>
      </c>
      <c r="E1472" s="3" t="s">
        <v>3283</v>
      </c>
      <c r="F1472" s="3" t="s">
        <v>4481</v>
      </c>
      <c r="G1472" s="3" t="s">
        <v>4482</v>
      </c>
    </row>
    <row r="1473" spans="1:7">
      <c r="A1473" s="6">
        <v>42927</v>
      </c>
      <c r="B1473" s="3" t="s">
        <v>3494</v>
      </c>
      <c r="C1473" s="3" t="s">
        <v>21</v>
      </c>
      <c r="D1473" s="8" t="str">
        <f>HYPERLINK("http://npthd.inbcu.com/ViewContent.aspx?filename=NPMR_NBC_2017-07-11_E.MP4$3827$4007","COMMERCIAL")</f>
        <v>COMMERCIAL</v>
      </c>
      <c r="E1473" s="3" t="s">
        <v>22</v>
      </c>
      <c r="F1473" s="3" t="s">
        <v>4482</v>
      </c>
      <c r="G1473" s="3" t="s">
        <v>4483</v>
      </c>
    </row>
    <row r="1474" spans="1:7">
      <c r="A1474" s="6">
        <v>42927</v>
      </c>
      <c r="B1474" s="3" t="s">
        <v>3494</v>
      </c>
      <c r="C1474" s="3" t="s">
        <v>14</v>
      </c>
      <c r="D1474" s="8" t="str">
        <f>HYPERLINK("http://npthd.inbcu.com/ViewContent.aspx?filename=NPMR_NBC_2017-07-11_E.MP4$4007$4023","Brave, The")</f>
        <v>Brave, The</v>
      </c>
      <c r="E1474" s="3" t="s">
        <v>64</v>
      </c>
      <c r="F1474" s="3" t="s">
        <v>4483</v>
      </c>
      <c r="G1474" s="3" t="s">
        <v>4484</v>
      </c>
    </row>
    <row r="1475" spans="1:7">
      <c r="A1475" s="6">
        <v>42927</v>
      </c>
      <c r="B1475" s="3" t="s">
        <v>3494</v>
      </c>
      <c r="C1475" s="3" t="s">
        <v>18</v>
      </c>
      <c r="D1475" s="8" t="str">
        <f>HYPERLINK("http://npthd.inbcu.com/ViewContent.aspx?filename=NPMR_NBC_2017-07-11_E.MP4$4023$4558","AMERICAS GOT TALENT: auditions 6")</f>
        <v>AMERICAS GOT TALENT: auditions 6</v>
      </c>
      <c r="E1475" s="3" t="s">
        <v>1724</v>
      </c>
      <c r="F1475" s="3" t="s">
        <v>4484</v>
      </c>
      <c r="G1475" s="3" t="s">
        <v>4485</v>
      </c>
    </row>
    <row r="1476" spans="1:7">
      <c r="A1476" s="6">
        <v>42927</v>
      </c>
      <c r="B1476" s="3" t="s">
        <v>3494</v>
      </c>
      <c r="C1476" s="3" t="s">
        <v>21</v>
      </c>
      <c r="D1476" s="8" t="str">
        <f>HYPERLINK("http://npthd.inbcu.com/ViewContent.aspx?filename=NPMR_NBC_2017-07-11_E.MP4$4558$4679","COMMERCIAL")</f>
        <v>COMMERCIAL</v>
      </c>
      <c r="E1476" s="3" t="s">
        <v>175</v>
      </c>
      <c r="F1476" s="3" t="s">
        <v>4485</v>
      </c>
      <c r="G1476" s="3" t="s">
        <v>4486</v>
      </c>
    </row>
    <row r="1477" spans="1:7">
      <c r="A1477" s="6">
        <v>42927</v>
      </c>
      <c r="B1477" s="3" t="s">
        <v>3494</v>
      </c>
      <c r="C1477" s="3" t="s">
        <v>14</v>
      </c>
      <c r="D1477" s="8" t="str">
        <f>HYPERLINK("http://npthd.inbcu.com/ViewContent.aspx?filename=NPMR_NBC_2017-07-11_E.MP4$4679$4683","World of Dance")</f>
        <v>World of Dance</v>
      </c>
      <c r="E1477" s="3" t="s">
        <v>84</v>
      </c>
      <c r="F1477" s="3" t="s">
        <v>4486</v>
      </c>
      <c r="G1477" s="3" t="s">
        <v>4487</v>
      </c>
    </row>
    <row r="1478" spans="1:7">
      <c r="A1478" s="6">
        <v>42927</v>
      </c>
      <c r="B1478" s="3" t="s">
        <v>3494</v>
      </c>
      <c r="C1478" s="3" t="s">
        <v>32</v>
      </c>
      <c r="D1478" s="8" t="str">
        <f>HYPERLINK("http://npthd.inbcu.com/ViewContent.aspx?filename=NPMR_NBC_2017-07-11_E.MP4$4683$4777","LOCAL")</f>
        <v>LOCAL</v>
      </c>
      <c r="E1478" s="3" t="s">
        <v>1917</v>
      </c>
      <c r="F1478" s="3" t="s">
        <v>4487</v>
      </c>
      <c r="G1478" s="3" t="s">
        <v>4488</v>
      </c>
    </row>
    <row r="1479" spans="1:7">
      <c r="A1479" s="6">
        <v>42927</v>
      </c>
      <c r="B1479" s="3" t="s">
        <v>3494</v>
      </c>
      <c r="C1479" s="3" t="s">
        <v>14</v>
      </c>
      <c r="D1479" s="8" t="str">
        <f>HYPERLINK("http://npthd.inbcu.com/ViewContent.aspx?filename=NPMR_NBC_2017-07-11_E.MP4$4777$4792","Wall, The")</f>
        <v>Wall, The</v>
      </c>
      <c r="E1479" s="3" t="s">
        <v>30</v>
      </c>
      <c r="F1479" s="3" t="s">
        <v>4488</v>
      </c>
      <c r="G1479" s="3" t="s">
        <v>4489</v>
      </c>
    </row>
    <row r="1480" spans="1:7">
      <c r="A1480" s="6">
        <v>42927</v>
      </c>
      <c r="B1480" s="3" t="s">
        <v>3494</v>
      </c>
      <c r="C1480" s="3" t="s">
        <v>18</v>
      </c>
      <c r="D1480" s="8" t="str">
        <f>HYPERLINK("http://npthd.inbcu.com/ViewContent.aspx?filename=NPMR_NBC_2017-07-11_E.MP4$4792$5318","AMERICAS GOT TALENT: auditions 6")</f>
        <v>AMERICAS GOT TALENT: auditions 6</v>
      </c>
      <c r="E1480" s="3" t="s">
        <v>775</v>
      </c>
      <c r="F1480" s="3" t="s">
        <v>4489</v>
      </c>
      <c r="G1480" s="3" t="s">
        <v>3782</v>
      </c>
    </row>
    <row r="1481" spans="1:7">
      <c r="A1481" s="6">
        <v>42927</v>
      </c>
      <c r="B1481" s="3" t="s">
        <v>3494</v>
      </c>
      <c r="C1481" s="3" t="s">
        <v>21</v>
      </c>
      <c r="D1481" s="8" t="str">
        <f>HYPERLINK("http://npthd.inbcu.com/ViewContent.aspx?filename=NPMR_NBC_2017-07-11_E.MP4$5318$5499","COMMERCIAL")</f>
        <v>COMMERCIAL</v>
      </c>
      <c r="E1481" s="3" t="s">
        <v>108</v>
      </c>
      <c r="F1481" s="3" t="s">
        <v>3782</v>
      </c>
      <c r="G1481" s="3" t="s">
        <v>4490</v>
      </c>
    </row>
    <row r="1482" spans="1:7">
      <c r="A1482" s="6">
        <v>42927</v>
      </c>
      <c r="B1482" s="3" t="s">
        <v>3494</v>
      </c>
      <c r="C1482" s="3" t="s">
        <v>14</v>
      </c>
      <c r="D1482" s="8" t="str">
        <f>HYPERLINK("http://npthd.inbcu.com/ViewContent.aspx?filename=NPMR_NBC_2017-07-11_E.MP4$5499$5528","Midnight Texas")</f>
        <v>Midnight Texas</v>
      </c>
      <c r="E1482" s="3" t="s">
        <v>24</v>
      </c>
      <c r="F1482" s="3" t="s">
        <v>4490</v>
      </c>
      <c r="G1482" s="3" t="s">
        <v>734</v>
      </c>
    </row>
    <row r="1483" spans="1:7">
      <c r="A1483" s="6">
        <v>42927</v>
      </c>
      <c r="B1483" s="3" t="s">
        <v>3494</v>
      </c>
      <c r="C1483" s="3" t="s">
        <v>18</v>
      </c>
      <c r="D1483" s="8" t="str">
        <f>HYPERLINK("http://npthd.inbcu.com/ViewContent.aspx?filename=NPMR_NBC_2017-07-11_E.MP4$5528$5957","AMERICAS GOT TALENT: auditions 6")</f>
        <v>AMERICAS GOT TALENT: auditions 6</v>
      </c>
      <c r="E1483" s="3" t="s">
        <v>772</v>
      </c>
      <c r="F1483" s="3" t="s">
        <v>734</v>
      </c>
      <c r="G1483" s="3" t="s">
        <v>4491</v>
      </c>
    </row>
    <row r="1484" spans="1:7">
      <c r="A1484" s="6">
        <v>42927</v>
      </c>
      <c r="B1484" s="3" t="s">
        <v>3494</v>
      </c>
      <c r="C1484" s="3" t="s">
        <v>21</v>
      </c>
      <c r="D1484" s="8" t="str">
        <f>HYPERLINK("http://npthd.inbcu.com/ViewContent.aspx?filename=NPMR_NBC_2017-07-11_E.MP4$5957$6078","COMMERCIAL")</f>
        <v>COMMERCIAL</v>
      </c>
      <c r="E1484" s="3" t="s">
        <v>175</v>
      </c>
      <c r="F1484" s="3" t="s">
        <v>4491</v>
      </c>
      <c r="G1484" s="3" t="s">
        <v>553</v>
      </c>
    </row>
    <row r="1485" spans="1:7">
      <c r="A1485" s="6">
        <v>42927</v>
      </c>
      <c r="B1485" s="3" t="s">
        <v>3494</v>
      </c>
      <c r="C1485" s="3" t="s">
        <v>14</v>
      </c>
      <c r="D1485" s="8" t="str">
        <f>HYPERLINK("http://npthd.inbcu.com/ViewContent.aspx?filename=NPMR_NBC_2017-07-11_E.MP4$6078$6082","Will &amp; Grace")</f>
        <v>Will &amp; Grace</v>
      </c>
      <c r="E1485" s="3" t="s">
        <v>84</v>
      </c>
      <c r="F1485" s="3" t="s">
        <v>553</v>
      </c>
      <c r="G1485" s="3" t="s">
        <v>2290</v>
      </c>
    </row>
    <row r="1486" spans="1:7">
      <c r="A1486" s="6">
        <v>42927</v>
      </c>
      <c r="B1486" s="3" t="s">
        <v>3494</v>
      </c>
      <c r="C1486" s="3" t="s">
        <v>32</v>
      </c>
      <c r="D1486" s="8" t="str">
        <f>HYPERLINK("http://npthd.inbcu.com/ViewContent.aspx?filename=NPMR_NBC_2017-07-11_E.MP4$6082$6172","LOCAL")</f>
        <v>LOCAL</v>
      </c>
      <c r="E1486" s="3" t="s">
        <v>46</v>
      </c>
      <c r="F1486" s="3" t="s">
        <v>2290</v>
      </c>
      <c r="G1486" s="3" t="s">
        <v>2155</v>
      </c>
    </row>
    <row r="1487" spans="1:7">
      <c r="A1487" s="6">
        <v>42927</v>
      </c>
      <c r="B1487" s="3" t="s">
        <v>3494</v>
      </c>
      <c r="C1487" s="3" t="s">
        <v>14</v>
      </c>
      <c r="D1487" s="8" t="str">
        <f>HYPERLINK("http://npthd.inbcu.com/ViewContent.aspx?filename=NPMR_NBC_2017-07-11_E.MP4$6172$6188","Little Big Shots: Forever Young")</f>
        <v>Little Big Shots: Forever Young</v>
      </c>
      <c r="E1487" s="3" t="s">
        <v>64</v>
      </c>
      <c r="F1487" s="3" t="s">
        <v>2155</v>
      </c>
      <c r="G1487" s="3" t="s">
        <v>4114</v>
      </c>
    </row>
    <row r="1488" spans="1:7">
      <c r="A1488" s="6">
        <v>42927</v>
      </c>
      <c r="B1488" s="3" t="s">
        <v>3494</v>
      </c>
      <c r="C1488" s="3" t="s">
        <v>18</v>
      </c>
      <c r="D1488" s="8" t="str">
        <f>HYPERLINK("http://npthd.inbcu.com/ViewContent.aspx?filename=NPMR_NBC_2017-07-11_E.MP4$6188$6661","AMERICAS GOT TALENT: auditions 6")</f>
        <v>AMERICAS GOT TALENT: auditions 6</v>
      </c>
      <c r="E1488" s="3" t="s">
        <v>3954</v>
      </c>
      <c r="F1488" s="3" t="s">
        <v>4114</v>
      </c>
      <c r="G1488" s="3" t="s">
        <v>1357</v>
      </c>
    </row>
    <row r="1489" spans="1:7">
      <c r="A1489" s="6">
        <v>42927</v>
      </c>
      <c r="B1489" s="3" t="s">
        <v>3494</v>
      </c>
      <c r="C1489" s="3" t="s">
        <v>21</v>
      </c>
      <c r="D1489" s="8" t="str">
        <f>HYPERLINK("http://npthd.inbcu.com/ViewContent.aspx?filename=NPMR_NBC_2017-07-11_E.MP4$6661$6841","COMMERCIAL")</f>
        <v>COMMERCIAL</v>
      </c>
      <c r="E1489" s="3" t="s">
        <v>22</v>
      </c>
      <c r="F1489" s="3" t="s">
        <v>1357</v>
      </c>
      <c r="G1489" s="3" t="s">
        <v>1361</v>
      </c>
    </row>
    <row r="1490" spans="1:7">
      <c r="A1490" s="6">
        <v>42927</v>
      </c>
      <c r="B1490" s="3" t="s">
        <v>3494</v>
      </c>
      <c r="C1490" s="3" t="s">
        <v>14</v>
      </c>
      <c r="D1490" s="8" t="str">
        <f>HYPERLINK("http://npthd.inbcu.com/ViewContent.aspx?filename=NPMR_NBC_2017-07-11_E.MP4$6841$6857","World of Dance")</f>
        <v>World of Dance</v>
      </c>
      <c r="E1490" s="3" t="s">
        <v>64</v>
      </c>
      <c r="F1490" s="3" t="s">
        <v>1361</v>
      </c>
      <c r="G1490" s="3" t="s">
        <v>4492</v>
      </c>
    </row>
    <row r="1491" spans="1:7">
      <c r="A1491" s="6">
        <v>42927</v>
      </c>
      <c r="B1491" s="3" t="s">
        <v>3494</v>
      </c>
      <c r="C1491" s="3" t="s">
        <v>18</v>
      </c>
      <c r="D1491" s="8" t="str">
        <f>HYPERLINK("http://npthd.inbcu.com/ViewContent.aspx?filename=NPMR_NBC_2017-07-11_E.MP4$6857$7264","AMERICAS GOT TALENT: auditions 6")</f>
        <v>AMERICAS GOT TALENT: auditions 6</v>
      </c>
      <c r="E1491" s="3" t="s">
        <v>1464</v>
      </c>
      <c r="F1491" s="3" t="s">
        <v>4492</v>
      </c>
      <c r="G1491" s="3" t="s">
        <v>1366</v>
      </c>
    </row>
    <row r="1492" spans="1:7">
      <c r="A1492" s="6">
        <v>42927</v>
      </c>
      <c r="B1492" s="3" t="s">
        <v>3494</v>
      </c>
      <c r="C1492" s="3" t="s">
        <v>14</v>
      </c>
      <c r="D1492" s="8" t="str">
        <f>HYPERLINK("http://npthd.inbcu.com/ViewContent.aspx?filename=NPMR_NBC_2017-07-11_E.MP4$7264$7294","Americas Got Talent")</f>
        <v>Americas Got Talent</v>
      </c>
      <c r="E1492" s="3" t="s">
        <v>38</v>
      </c>
      <c r="F1492" s="3" t="s">
        <v>1366</v>
      </c>
      <c r="G1492" s="3" t="s">
        <v>3531</v>
      </c>
    </row>
    <row r="1493" spans="1:7">
      <c r="A1493" s="6">
        <v>42927</v>
      </c>
      <c r="B1493" s="3" t="s">
        <v>3494</v>
      </c>
      <c r="C1493" s="3" t="s">
        <v>18</v>
      </c>
      <c r="D1493" s="8" t="str">
        <f>HYPERLINK("http://npthd.inbcu.com/ViewContent.aspx?filename=NPMR_NBC_2017-07-11_E.MP4$7294$7301","AMERICAS GOT TALENT: auditions 6")</f>
        <v>AMERICAS GOT TALENT: auditions 6</v>
      </c>
      <c r="E1493" s="3" t="s">
        <v>567</v>
      </c>
      <c r="F1493" s="3" t="s">
        <v>3531</v>
      </c>
      <c r="G1493" s="3" t="s">
        <v>394</v>
      </c>
    </row>
    <row r="1494" spans="1:7">
      <c r="A1494" s="6">
        <v>42927</v>
      </c>
      <c r="B1494" s="3" t="s">
        <v>3494</v>
      </c>
      <c r="C1494" s="3" t="s">
        <v>18</v>
      </c>
      <c r="D1494" s="8" t="str">
        <f>HYPERLINK("http://npthd.inbcu.com/ViewContent.aspx?filename=NPMR_NBC_2017-07-11_E.MP4$7301$7946","WORLD OF DANCE: the duels 3")</f>
        <v>WORLD OF DANCE: the duels 3</v>
      </c>
      <c r="E1494" s="3" t="s">
        <v>2534</v>
      </c>
      <c r="F1494" s="3" t="s">
        <v>394</v>
      </c>
      <c r="G1494" s="3" t="s">
        <v>1584</v>
      </c>
    </row>
    <row r="1495" spans="1:7">
      <c r="A1495" s="6">
        <v>42927</v>
      </c>
      <c r="B1495" s="3" t="s">
        <v>3494</v>
      </c>
      <c r="C1495" s="3" t="s">
        <v>21</v>
      </c>
      <c r="D1495" s="8" t="str">
        <f>HYPERLINK("http://npthd.inbcu.com/ViewContent.aspx?filename=NPMR_NBC_2017-07-11_E.MP4$7946$8127","COMMERCIAL")</f>
        <v>COMMERCIAL</v>
      </c>
      <c r="E1495" s="3" t="s">
        <v>108</v>
      </c>
      <c r="F1495" s="3" t="s">
        <v>1584</v>
      </c>
      <c r="G1495" s="3" t="s">
        <v>4493</v>
      </c>
    </row>
    <row r="1496" spans="1:7">
      <c r="A1496" s="6">
        <v>42927</v>
      </c>
      <c r="B1496" s="3" t="s">
        <v>3494</v>
      </c>
      <c r="C1496" s="3" t="s">
        <v>14</v>
      </c>
      <c r="D1496" s="8" t="str">
        <f>HYPERLINK("http://npthd.inbcu.com/ViewContent.aspx?filename=NPMR_NBC_2017-07-11_E.MP4$8127$8142","Little Big Shots: Forever Young")</f>
        <v>Little Big Shots: Forever Young</v>
      </c>
      <c r="E1496" s="3" t="s">
        <v>30</v>
      </c>
      <c r="F1496" s="3" t="s">
        <v>4493</v>
      </c>
      <c r="G1496" s="3" t="s">
        <v>4494</v>
      </c>
    </row>
    <row r="1497" spans="1:7">
      <c r="A1497" s="6">
        <v>42927</v>
      </c>
      <c r="B1497" s="3" t="s">
        <v>3494</v>
      </c>
      <c r="C1497" s="3" t="s">
        <v>32</v>
      </c>
      <c r="D1497" s="8" t="str">
        <f>HYPERLINK("http://npthd.inbcu.com/ViewContent.aspx?filename=NPMR_NBC_2017-07-11_E.MP4$8142$8173","LOCAL")</f>
        <v>LOCAL</v>
      </c>
      <c r="E1497" s="3" t="s">
        <v>98</v>
      </c>
      <c r="F1497" s="3" t="s">
        <v>4494</v>
      </c>
      <c r="G1497" s="3" t="s">
        <v>4495</v>
      </c>
    </row>
    <row r="1498" spans="1:7">
      <c r="A1498" s="6">
        <v>42927</v>
      </c>
      <c r="B1498" s="3" t="s">
        <v>3494</v>
      </c>
      <c r="C1498" s="3" t="s">
        <v>18</v>
      </c>
      <c r="D1498" s="8" t="str">
        <f>HYPERLINK("http://npthd.inbcu.com/ViewContent.aspx?filename=NPMR_NBC_2017-07-11_E.MP4$8173$8565","WORLD OF DANCE: the duels 3")</f>
        <v>WORLD OF DANCE: the duels 3</v>
      </c>
      <c r="E1498" s="3" t="s">
        <v>1222</v>
      </c>
      <c r="F1498" s="3" t="s">
        <v>4495</v>
      </c>
      <c r="G1498" s="3" t="s">
        <v>4496</v>
      </c>
    </row>
    <row r="1499" spans="1:7">
      <c r="A1499" s="6">
        <v>42927</v>
      </c>
      <c r="B1499" s="3" t="s">
        <v>3494</v>
      </c>
      <c r="C1499" s="3" t="s">
        <v>21</v>
      </c>
      <c r="D1499" s="8" t="str">
        <f>HYPERLINK("http://npthd.inbcu.com/ViewContent.aspx?filename=NPMR_NBC_2017-07-11_E.MP4$8565$8745","COMMERCIAL")</f>
        <v>COMMERCIAL</v>
      </c>
      <c r="E1499" s="3" t="s">
        <v>22</v>
      </c>
      <c r="F1499" s="3" t="s">
        <v>4496</v>
      </c>
      <c r="G1499" s="3" t="s">
        <v>4497</v>
      </c>
    </row>
    <row r="1500" spans="1:7">
      <c r="A1500" s="6">
        <v>42927</v>
      </c>
      <c r="B1500" s="3" t="s">
        <v>3494</v>
      </c>
      <c r="C1500" s="3" t="s">
        <v>18</v>
      </c>
      <c r="D1500" s="8" t="str">
        <f>HYPERLINK("http://npthd.inbcu.com/ViewContent.aspx?filename=NPMR_NBC_2017-07-11_E.MP4$8745$9062","WORLD OF DANCE: the duels 3")</f>
        <v>WORLD OF DANCE: the duels 3</v>
      </c>
      <c r="E1500" s="3" t="s">
        <v>3252</v>
      </c>
      <c r="F1500" s="3" t="s">
        <v>4497</v>
      </c>
      <c r="G1500" s="3" t="s">
        <v>1876</v>
      </c>
    </row>
    <row r="1501" spans="1:7">
      <c r="A1501" s="6">
        <v>42927</v>
      </c>
      <c r="B1501" s="3" t="s">
        <v>3494</v>
      </c>
      <c r="C1501" s="3" t="s">
        <v>21</v>
      </c>
      <c r="D1501" s="8" t="str">
        <f>HYPERLINK("http://npthd.inbcu.com/ViewContent.aspx?filename=NPMR_NBC_2017-07-11_E.MP4$9062$9122","COMMERCIAL")</f>
        <v>COMMERCIAL</v>
      </c>
      <c r="E1501" s="3" t="s">
        <v>66</v>
      </c>
      <c r="F1501" s="3" t="s">
        <v>1876</v>
      </c>
      <c r="G1501" s="3" t="s">
        <v>4498</v>
      </c>
    </row>
    <row r="1502" spans="1:7">
      <c r="A1502" s="6">
        <v>42927</v>
      </c>
      <c r="B1502" s="3" t="s">
        <v>3494</v>
      </c>
      <c r="C1502" s="3" t="s">
        <v>14</v>
      </c>
      <c r="D1502" s="8" t="str">
        <f>HYPERLINK("http://npthd.inbcu.com/ViewContent.aspx?filename=NPMR_NBC_2017-07-11_E.MP4$9122$9127","Late Night with Seth Meyers")</f>
        <v>Late Night with Seth Meyers</v>
      </c>
      <c r="E1502" s="3" t="s">
        <v>54</v>
      </c>
      <c r="F1502" s="3" t="s">
        <v>4498</v>
      </c>
      <c r="G1502" s="3" t="s">
        <v>4499</v>
      </c>
    </row>
    <row r="1503" spans="1:7">
      <c r="A1503" s="6">
        <v>42927</v>
      </c>
      <c r="B1503" s="3" t="s">
        <v>3494</v>
      </c>
      <c r="C1503" s="3" t="s">
        <v>32</v>
      </c>
      <c r="D1503" s="8" t="str">
        <f>HYPERLINK("http://npthd.inbcu.com/ViewContent.aspx?filename=NPMR_NBC_2017-07-11_E.MP4$9127$9262","LOCAL")</f>
        <v>LOCAL</v>
      </c>
      <c r="E1503" s="3" t="s">
        <v>459</v>
      </c>
      <c r="F1503" s="3" t="s">
        <v>4499</v>
      </c>
      <c r="G1503" s="3" t="s">
        <v>487</v>
      </c>
    </row>
    <row r="1504" spans="1:7">
      <c r="A1504" s="6">
        <v>42927</v>
      </c>
      <c r="B1504" s="3" t="s">
        <v>3494</v>
      </c>
      <c r="C1504" s="3" t="s">
        <v>32</v>
      </c>
      <c r="D1504" s="8" t="str">
        <f>HYPERLINK("http://npthd.inbcu.com/ViewContent.aspx?filename=NPMR_NBC_2017-07-11_E.MP4$9262$9292","LOCAL")</f>
        <v>LOCAL</v>
      </c>
      <c r="E1504" s="3" t="s">
        <v>38</v>
      </c>
      <c r="F1504" s="3" t="s">
        <v>487</v>
      </c>
      <c r="G1504" s="3" t="s">
        <v>3362</v>
      </c>
    </row>
    <row r="1505" spans="1:7">
      <c r="A1505" s="6">
        <v>42927</v>
      </c>
      <c r="B1505" s="3" t="s">
        <v>3494</v>
      </c>
      <c r="C1505" s="3" t="s">
        <v>14</v>
      </c>
      <c r="D1505" s="8" t="str">
        <f>HYPERLINK("http://npthd.inbcu.com/ViewContent.aspx?filename=NPMR_NBC_2017-07-11_E.MP4$9292$9301","Tonight Show starring Jimmy Fallon, The")</f>
        <v>Tonight Show starring Jimmy Fallon, The</v>
      </c>
      <c r="E1505" s="3" t="s">
        <v>2074</v>
      </c>
      <c r="F1505" s="3" t="s">
        <v>3362</v>
      </c>
      <c r="G1505" s="3" t="s">
        <v>4500</v>
      </c>
    </row>
    <row r="1506" spans="1:7">
      <c r="A1506" s="6">
        <v>42927</v>
      </c>
      <c r="B1506" s="3" t="s">
        <v>3494</v>
      </c>
      <c r="C1506" s="3" t="s">
        <v>14</v>
      </c>
      <c r="D1506" s="8" t="str">
        <f>HYPERLINK("http://npthd.inbcu.com/ViewContent.aspx?filename=NPMR_NBC_2017-07-11_E.MP4$9301$9306","Marlon")</f>
        <v>Marlon</v>
      </c>
      <c r="E1506" s="3" t="s">
        <v>54</v>
      </c>
      <c r="F1506" s="3" t="s">
        <v>4500</v>
      </c>
      <c r="G1506" s="3" t="s">
        <v>4501</v>
      </c>
    </row>
    <row r="1507" spans="1:7">
      <c r="A1507" s="6">
        <v>42927</v>
      </c>
      <c r="B1507" s="3" t="s">
        <v>3494</v>
      </c>
      <c r="C1507" s="3" t="s">
        <v>18</v>
      </c>
      <c r="D1507" s="8" t="str">
        <f>HYPERLINK("http://npthd.inbcu.com/ViewContent.aspx?filename=NPMR_NBC_2017-07-11_E.MP4$9306$9681","WORLD OF DANCE: the duels 3")</f>
        <v>WORLD OF DANCE: the duels 3</v>
      </c>
      <c r="E1507" s="3" t="s">
        <v>3802</v>
      </c>
      <c r="F1507" s="3" t="s">
        <v>4501</v>
      </c>
      <c r="G1507" s="3" t="s">
        <v>1671</v>
      </c>
    </row>
    <row r="1508" spans="1:7">
      <c r="A1508" s="6">
        <v>42927</v>
      </c>
      <c r="B1508" s="3" t="s">
        <v>3494</v>
      </c>
      <c r="C1508" s="3" t="s">
        <v>21</v>
      </c>
      <c r="D1508" s="8" t="str">
        <f>HYPERLINK("http://npthd.inbcu.com/ViewContent.aspx?filename=NPMR_NBC_2017-07-11_E.MP4$9681$9831","COMMERCIAL")</f>
        <v>COMMERCIAL</v>
      </c>
      <c r="E1508" s="3" t="s">
        <v>28</v>
      </c>
      <c r="F1508" s="3" t="s">
        <v>1671</v>
      </c>
      <c r="G1508" s="3" t="s">
        <v>4502</v>
      </c>
    </row>
    <row r="1509" spans="1:7">
      <c r="A1509" s="6">
        <v>42927</v>
      </c>
      <c r="B1509" s="3" t="s">
        <v>3494</v>
      </c>
      <c r="C1509" s="3" t="s">
        <v>14</v>
      </c>
      <c r="D1509" s="8" t="str">
        <f>HYPERLINK("http://npthd.inbcu.com/ViewContent.aspx?filename=NPMR_NBC_2017-07-11_E.MP4$9831$9861","Midnight Texas")</f>
        <v>Midnight Texas</v>
      </c>
      <c r="E1509" s="3" t="s">
        <v>38</v>
      </c>
      <c r="F1509" s="3" t="s">
        <v>4502</v>
      </c>
      <c r="G1509" s="3" t="s">
        <v>2439</v>
      </c>
    </row>
    <row r="1510" spans="1:7">
      <c r="A1510" s="6">
        <v>42927</v>
      </c>
      <c r="B1510" s="3" t="s">
        <v>3494</v>
      </c>
      <c r="C1510" s="3" t="s">
        <v>18</v>
      </c>
      <c r="D1510" s="8" t="str">
        <f>HYPERLINK("http://npthd.inbcu.com/ViewContent.aspx?filename=NPMR_NBC_2017-07-11_E.MP4$9861$10370","AMERICAS GOT TALENT: auditions 6")</f>
        <v>AMERICAS GOT TALENT: auditions 6</v>
      </c>
      <c r="E1510" s="3" t="s">
        <v>396</v>
      </c>
      <c r="F1510" s="3" t="s">
        <v>2439</v>
      </c>
      <c r="G1510" s="3" t="s">
        <v>2884</v>
      </c>
    </row>
    <row r="1511" spans="1:7">
      <c r="A1511" s="6">
        <v>42927</v>
      </c>
      <c r="B1511" s="3" t="s">
        <v>3494</v>
      </c>
      <c r="C1511" s="3" t="s">
        <v>21</v>
      </c>
      <c r="D1511" s="8" t="str">
        <f>HYPERLINK("http://npthd.inbcu.com/ViewContent.aspx?filename=NPMR_NBC_2017-07-11_E.MP4$10370$10490","COMMERCIAL")</f>
        <v>COMMERCIAL</v>
      </c>
      <c r="E1511" s="3" t="s">
        <v>43</v>
      </c>
      <c r="F1511" s="3" t="s">
        <v>2884</v>
      </c>
      <c r="G1511" s="3" t="s">
        <v>4503</v>
      </c>
    </row>
    <row r="1512" spans="1:7">
      <c r="A1512" s="6">
        <v>42927</v>
      </c>
      <c r="B1512" s="3" t="s">
        <v>3494</v>
      </c>
      <c r="C1512" s="3" t="s">
        <v>32</v>
      </c>
      <c r="D1512" s="8" t="str">
        <f>HYPERLINK("http://npthd.inbcu.com/ViewContent.aspx?filename=NPMR_NBC_2017-07-11_E.MP4$10490$10505","LOCAL")</f>
        <v>LOCAL</v>
      </c>
      <c r="E1512" s="3" t="s">
        <v>30</v>
      </c>
      <c r="F1512" s="3" t="s">
        <v>4503</v>
      </c>
      <c r="G1512" s="3" t="s">
        <v>4504</v>
      </c>
    </row>
    <row r="1513" spans="1:7">
      <c r="A1513" s="6">
        <v>42927</v>
      </c>
      <c r="B1513" s="3" t="s">
        <v>3494</v>
      </c>
      <c r="C1513" s="3" t="s">
        <v>14</v>
      </c>
      <c r="D1513" s="8" t="str">
        <f>HYPERLINK("http://npthd.inbcu.com/ViewContent.aspx?filename=NPMR_NBC_2017-07-11_E.MP4$10505$10520","Will &amp; Grace")</f>
        <v>Will &amp; Grace</v>
      </c>
      <c r="E1513" s="3" t="s">
        <v>30</v>
      </c>
      <c r="F1513" s="3" t="s">
        <v>4504</v>
      </c>
      <c r="G1513" s="3" t="s">
        <v>4505</v>
      </c>
    </row>
    <row r="1514" spans="1:7">
      <c r="A1514" s="6">
        <v>42927</v>
      </c>
      <c r="B1514" s="3" t="s">
        <v>3494</v>
      </c>
      <c r="C1514" s="3" t="s">
        <v>14</v>
      </c>
      <c r="D1514" s="8" t="str">
        <f>HYPERLINK("http://npthd.inbcu.com/ViewContent.aspx?filename=NPMR_NBC_2017-07-11_E.MP4$10520$10535","Wall, The")</f>
        <v>Wall, The</v>
      </c>
      <c r="E1514" s="3" t="s">
        <v>30</v>
      </c>
      <c r="F1514" s="3" t="s">
        <v>4505</v>
      </c>
      <c r="G1514" s="3" t="s">
        <v>4506</v>
      </c>
    </row>
    <row r="1515" spans="1:7">
      <c r="A1515" s="6">
        <v>42927</v>
      </c>
      <c r="B1515" s="3" t="s">
        <v>3494</v>
      </c>
      <c r="C1515" s="3" t="s">
        <v>18</v>
      </c>
      <c r="D1515" s="8" t="str">
        <f>HYPERLINK("http://npthd.inbcu.com/ViewContent.aspx?filename=NPMR_NBC_2017-07-11_E.MP4$10535$10834","AMERICAS GOT TALENT: auditions 6")</f>
        <v>AMERICAS GOT TALENT: auditions 6</v>
      </c>
      <c r="E1515" s="3" t="s">
        <v>1522</v>
      </c>
      <c r="F1515" s="3" t="s">
        <v>4506</v>
      </c>
      <c r="G1515" s="3" t="s">
        <v>4238</v>
      </c>
    </row>
    <row r="1516" spans="1:7">
      <c r="A1516" s="6">
        <v>42927</v>
      </c>
      <c r="B1516" s="3" t="s">
        <v>3494</v>
      </c>
      <c r="C1516" s="3" t="s">
        <v>14</v>
      </c>
      <c r="D1516" s="8" t="str">
        <f>HYPERLINK("http://npthd.inbcu.com/ViewContent.aspx?filename=NPMR_NBC_2017-07-11_E.MP4$10834$10865","World of Dance")</f>
        <v>World of Dance</v>
      </c>
      <c r="E1516" s="3" t="s">
        <v>98</v>
      </c>
      <c r="F1516" s="3" t="s">
        <v>4238</v>
      </c>
      <c r="G1516" s="3" t="s">
        <v>3553</v>
      </c>
    </row>
    <row r="1517" spans="1:7">
      <c r="A1517" s="6">
        <v>42927</v>
      </c>
      <c r="B1517" s="3" t="s">
        <v>3494</v>
      </c>
      <c r="C1517" s="3" t="s">
        <v>18</v>
      </c>
      <c r="D1517" s="8" t="str">
        <f>HYPERLINK("http://npthd.inbcu.com/ViewContent.aspx?filename=NPMR_NBC_2017-07-11_E.MP4$10865$10871","AMERICAS GOT TALENT: auditions 6")</f>
        <v>AMERICAS GOT TALENT: auditions 6</v>
      </c>
      <c r="E1517" s="3" t="s">
        <v>15</v>
      </c>
      <c r="F1517" s="3" t="s">
        <v>3553</v>
      </c>
      <c r="G1517" s="3" t="s">
        <v>3554</v>
      </c>
    </row>
    <row r="1518" spans="1:7">
      <c r="A1518" s="6">
        <v>42927</v>
      </c>
      <c r="B1518" s="3" t="s">
        <v>3494</v>
      </c>
      <c r="C1518" s="3" t="s">
        <v>32</v>
      </c>
      <c r="D1518" s="8" t="str">
        <f>HYPERLINK("http://npthd.inbcu.com/ViewContent.aspx?filename=NPMR_NBC_2017-07-11_E.MP4$10871$10901","LOCAL")</f>
        <v>LOCAL</v>
      </c>
      <c r="E1518" s="3" t="s">
        <v>38</v>
      </c>
      <c r="F1518" s="3" t="s">
        <v>3554</v>
      </c>
      <c r="G1518" s="3" t="s">
        <v>124</v>
      </c>
    </row>
    <row r="1519" spans="1:7">
      <c r="A1519" s="6">
        <v>42928</v>
      </c>
      <c r="B1519" s="3" t="s">
        <v>3494</v>
      </c>
      <c r="C1519" s="3" t="s">
        <v>18</v>
      </c>
      <c r="D1519" s="8" t="str">
        <f>HYPERLINK("http://npthd.inbcu.com/ViewContent.aspx?filename=NPMR_NBC_2017-07-12_E.MP4$103$645","LITTLE BIG SHOTS: FOREVER YOUNG: jaws of life")</f>
        <v>LITTLE BIG SHOTS: FOREVER YOUNG: jaws of life</v>
      </c>
      <c r="E1519" s="3" t="s">
        <v>2741</v>
      </c>
      <c r="F1519" s="3" t="s">
        <v>16</v>
      </c>
      <c r="G1519" s="3" t="s">
        <v>4507</v>
      </c>
    </row>
    <row r="1520" spans="1:7">
      <c r="A1520" s="6">
        <v>42928</v>
      </c>
      <c r="B1520" s="3" t="s">
        <v>3494</v>
      </c>
      <c r="C1520" s="3" t="s">
        <v>21</v>
      </c>
      <c r="D1520" s="8" t="str">
        <f>HYPERLINK("http://npthd.inbcu.com/ViewContent.aspx?filename=NPMR_NBC_2017-07-12_E.MP4$645$825","COMMERCIAL")</f>
        <v>COMMERCIAL</v>
      </c>
      <c r="E1520" s="3" t="s">
        <v>22</v>
      </c>
      <c r="F1520" s="3" t="s">
        <v>4507</v>
      </c>
      <c r="G1520" s="3" t="s">
        <v>4508</v>
      </c>
    </row>
    <row r="1521" spans="1:7">
      <c r="A1521" s="6">
        <v>42928</v>
      </c>
      <c r="B1521" s="3" t="s">
        <v>3494</v>
      </c>
      <c r="C1521" s="3" t="s">
        <v>14</v>
      </c>
      <c r="D1521" s="8" t="str">
        <f>HYPERLINK("http://npthd.inbcu.com/ViewContent.aspx?filename=NPMR_NBC_2017-07-12_E.MP4$825$840","Today")</f>
        <v>Today</v>
      </c>
      <c r="E1521" s="3" t="s">
        <v>30</v>
      </c>
      <c r="F1521" s="3" t="s">
        <v>4508</v>
      </c>
      <c r="G1521" s="3" t="s">
        <v>4509</v>
      </c>
    </row>
    <row r="1522" spans="1:7">
      <c r="A1522" s="6">
        <v>42928</v>
      </c>
      <c r="B1522" s="3" t="s">
        <v>3494</v>
      </c>
      <c r="C1522" s="3" t="s">
        <v>14</v>
      </c>
      <c r="D1522" s="8" t="str">
        <f>HYPERLINK("http://npthd.inbcu.com/ViewContent.aspx?filename=NPMR_NBC_2017-07-12_E.MP4$840$855","Will &amp; Grace")</f>
        <v>Will &amp; Grace</v>
      </c>
      <c r="E1522" s="3" t="s">
        <v>30</v>
      </c>
      <c r="F1522" s="3" t="s">
        <v>4509</v>
      </c>
      <c r="G1522" s="3" t="s">
        <v>4510</v>
      </c>
    </row>
    <row r="1523" spans="1:7">
      <c r="A1523" s="6">
        <v>42928</v>
      </c>
      <c r="B1523" s="3" t="s">
        <v>3494</v>
      </c>
      <c r="C1523" s="3" t="s">
        <v>18</v>
      </c>
      <c r="D1523" s="8" t="str">
        <f>HYPERLINK("http://npthd.inbcu.com/ViewContent.aspx?filename=NPMR_NBC_2017-07-12_E.MP4$855$1229","LITTLE BIG SHOTS: FOREVER YOUNG: jaws of life")</f>
        <v>LITTLE BIG SHOTS: FOREVER YOUNG: jaws of life</v>
      </c>
      <c r="E1523" s="3" t="s">
        <v>1255</v>
      </c>
      <c r="F1523" s="3" t="s">
        <v>4510</v>
      </c>
      <c r="G1523" s="3" t="s">
        <v>4140</v>
      </c>
    </row>
    <row r="1524" spans="1:7">
      <c r="A1524" s="6">
        <v>42928</v>
      </c>
      <c r="B1524" s="3" t="s">
        <v>3494</v>
      </c>
      <c r="C1524" s="3" t="s">
        <v>21</v>
      </c>
      <c r="D1524" s="8" t="str">
        <f>HYPERLINK("http://npthd.inbcu.com/ViewContent.aspx?filename=NPMR_NBC_2017-07-12_E.MP4$1229$1319","COMMERCIAL")</f>
        <v>COMMERCIAL</v>
      </c>
      <c r="E1524" s="3" t="s">
        <v>46</v>
      </c>
      <c r="F1524" s="3" t="s">
        <v>4140</v>
      </c>
      <c r="G1524" s="3" t="s">
        <v>1545</v>
      </c>
    </row>
    <row r="1525" spans="1:7">
      <c r="A1525" s="6">
        <v>42928</v>
      </c>
      <c r="B1525" s="3" t="s">
        <v>3494</v>
      </c>
      <c r="C1525" s="3" t="s">
        <v>14</v>
      </c>
      <c r="D1525" s="8" t="str">
        <f>HYPERLINK("http://npthd.inbcu.com/ViewContent.aspx?filename=NPMR_NBC_2017-07-12_E.MP4$1319$1334","Wall, The")</f>
        <v>Wall, The</v>
      </c>
      <c r="E1525" s="3" t="s">
        <v>30</v>
      </c>
      <c r="F1525" s="3" t="s">
        <v>1545</v>
      </c>
      <c r="G1525" s="3" t="s">
        <v>4276</v>
      </c>
    </row>
    <row r="1526" spans="1:7">
      <c r="A1526" s="6">
        <v>42928</v>
      </c>
      <c r="B1526" s="3" t="s">
        <v>3494</v>
      </c>
      <c r="C1526" s="3" t="s">
        <v>32</v>
      </c>
      <c r="D1526" s="8" t="str">
        <f>HYPERLINK("http://npthd.inbcu.com/ViewContent.aspx?filename=NPMR_NBC_2017-07-12_E.MP4$1334$1428","LOCAL")</f>
        <v>LOCAL</v>
      </c>
      <c r="E1526" s="3" t="s">
        <v>1917</v>
      </c>
      <c r="F1526" s="3" t="s">
        <v>4276</v>
      </c>
      <c r="G1526" s="3" t="s">
        <v>1610</v>
      </c>
    </row>
    <row r="1527" spans="1:7">
      <c r="A1527" s="6">
        <v>42928</v>
      </c>
      <c r="B1527" s="3" t="s">
        <v>3494</v>
      </c>
      <c r="C1527" s="3" t="s">
        <v>14</v>
      </c>
      <c r="D1527" s="8" t="str">
        <f>HYPERLINK("http://npthd.inbcu.com/ViewContent.aspx?filename=NPMR_NBC_2017-07-12_E.MP4$1428$1443","Watch What Happens Live! (Bravo)")</f>
        <v>Watch What Happens Live! (Bravo)</v>
      </c>
      <c r="E1527" s="3" t="s">
        <v>30</v>
      </c>
      <c r="F1527" s="3" t="s">
        <v>1610</v>
      </c>
      <c r="G1527" s="3" t="s">
        <v>1404</v>
      </c>
    </row>
    <row r="1528" spans="1:7">
      <c r="A1528" s="6">
        <v>42928</v>
      </c>
      <c r="B1528" s="3" t="s">
        <v>3494</v>
      </c>
      <c r="C1528" s="3" t="s">
        <v>18</v>
      </c>
      <c r="D1528" s="8" t="str">
        <f>HYPERLINK("http://npthd.inbcu.com/ViewContent.aspx?filename=NPMR_NBC_2017-07-12_E.MP4$1443$1831","LITTLE BIG SHOTS: FOREVER YOUNG: jaws of life")</f>
        <v>LITTLE BIG SHOTS: FOREVER YOUNG: jaws of life</v>
      </c>
      <c r="E1528" s="3" t="s">
        <v>1135</v>
      </c>
      <c r="F1528" s="3" t="s">
        <v>1404</v>
      </c>
      <c r="G1528" s="3" t="s">
        <v>509</v>
      </c>
    </row>
    <row r="1529" spans="1:7">
      <c r="A1529" s="6">
        <v>42928</v>
      </c>
      <c r="B1529" s="3" t="s">
        <v>3494</v>
      </c>
      <c r="C1529" s="3" t="s">
        <v>14</v>
      </c>
      <c r="D1529" s="8" t="str">
        <f>HYPERLINK("http://npthd.inbcu.com/ViewContent.aspx?filename=NPMR_NBC_2017-07-12_E.MP4$1831$1846","World of Dance")</f>
        <v>World of Dance</v>
      </c>
      <c r="E1529" s="3" t="s">
        <v>30</v>
      </c>
      <c r="F1529" s="3" t="s">
        <v>509</v>
      </c>
      <c r="G1529" s="3" t="s">
        <v>510</v>
      </c>
    </row>
    <row r="1530" spans="1:7">
      <c r="A1530" s="6">
        <v>42928</v>
      </c>
      <c r="B1530" s="3" t="s">
        <v>3494</v>
      </c>
      <c r="C1530" s="3" t="s">
        <v>21</v>
      </c>
      <c r="D1530" s="8" t="str">
        <f>HYPERLINK("http://npthd.inbcu.com/ViewContent.aspx?filename=NPMR_NBC_2017-07-12_E.MP4$1846$2026","COMMERCIAL")</f>
        <v>COMMERCIAL</v>
      </c>
      <c r="E1530" s="3" t="s">
        <v>22</v>
      </c>
      <c r="F1530" s="3" t="s">
        <v>510</v>
      </c>
      <c r="G1530" s="3" t="s">
        <v>4511</v>
      </c>
    </row>
    <row r="1531" spans="1:7">
      <c r="A1531" s="6">
        <v>42928</v>
      </c>
      <c r="B1531" s="3" t="s">
        <v>3494</v>
      </c>
      <c r="C1531" s="3" t="s">
        <v>14</v>
      </c>
      <c r="D1531" s="8" t="str">
        <f>HYPERLINK("http://npthd.inbcu.com/ViewContent.aspx?filename=NPMR_NBC_2017-07-12_E.MP4$2026$2056","Brave, The")</f>
        <v>Brave, The</v>
      </c>
      <c r="E1531" s="3" t="s">
        <v>38</v>
      </c>
      <c r="F1531" s="3" t="s">
        <v>4511</v>
      </c>
      <c r="G1531" s="3" t="s">
        <v>4512</v>
      </c>
    </row>
    <row r="1532" spans="1:7">
      <c r="A1532" s="6">
        <v>42928</v>
      </c>
      <c r="B1532" s="3" t="s">
        <v>3494</v>
      </c>
      <c r="C1532" s="3" t="s">
        <v>18</v>
      </c>
      <c r="D1532" s="8" t="str">
        <f>HYPERLINK("http://npthd.inbcu.com/ViewContent.aspx?filename=NPMR_NBC_2017-07-12_E.MP4$2056$2470","LITTLE BIG SHOTS: FOREVER YOUNG: jaws of life")</f>
        <v>LITTLE BIG SHOTS: FOREVER YOUNG: jaws of life</v>
      </c>
      <c r="E1532" s="3" t="s">
        <v>1208</v>
      </c>
      <c r="F1532" s="3" t="s">
        <v>4512</v>
      </c>
      <c r="G1532" s="3" t="s">
        <v>4513</v>
      </c>
    </row>
    <row r="1533" spans="1:7">
      <c r="A1533" s="6">
        <v>42928</v>
      </c>
      <c r="B1533" s="3" t="s">
        <v>3494</v>
      </c>
      <c r="C1533" s="3" t="s">
        <v>21</v>
      </c>
      <c r="D1533" s="8" t="str">
        <f>HYPERLINK("http://npthd.inbcu.com/ViewContent.aspx?filename=NPMR_NBC_2017-07-12_E.MP4$2470$2590","COMMERCIAL")</f>
        <v>COMMERCIAL</v>
      </c>
      <c r="E1533" s="3" t="s">
        <v>43</v>
      </c>
      <c r="F1533" s="3" t="s">
        <v>4513</v>
      </c>
      <c r="G1533" s="3" t="s">
        <v>4514</v>
      </c>
    </row>
    <row r="1534" spans="1:7">
      <c r="A1534" s="6">
        <v>42928</v>
      </c>
      <c r="B1534" s="3" t="s">
        <v>3494</v>
      </c>
      <c r="C1534" s="3" t="s">
        <v>14</v>
      </c>
      <c r="D1534" s="8" t="str">
        <f>HYPERLINK("http://npthd.inbcu.com/ViewContent.aspx?filename=NPMR_NBC_2017-07-12_E.MP4$2590$2595","Wall, The")</f>
        <v>Wall, The</v>
      </c>
      <c r="E1534" s="3" t="s">
        <v>54</v>
      </c>
      <c r="F1534" s="3" t="s">
        <v>4514</v>
      </c>
      <c r="G1534" s="3" t="s">
        <v>4515</v>
      </c>
    </row>
    <row r="1535" spans="1:7">
      <c r="A1535" s="6">
        <v>42928</v>
      </c>
      <c r="B1535" s="3" t="s">
        <v>3494</v>
      </c>
      <c r="C1535" s="3" t="s">
        <v>32</v>
      </c>
      <c r="D1535" s="8" t="str">
        <f>HYPERLINK("http://npthd.inbcu.com/ViewContent.aspx?filename=NPMR_NBC_2017-07-12_E.MP4$2595$2685","LOCAL")</f>
        <v>LOCAL</v>
      </c>
      <c r="E1535" s="3" t="s">
        <v>46</v>
      </c>
      <c r="F1535" s="3" t="s">
        <v>4515</v>
      </c>
      <c r="G1535" s="3" t="s">
        <v>4516</v>
      </c>
    </row>
    <row r="1536" spans="1:7">
      <c r="A1536" s="6">
        <v>42928</v>
      </c>
      <c r="B1536" s="3" t="s">
        <v>3494</v>
      </c>
      <c r="C1536" s="3" t="s">
        <v>14</v>
      </c>
      <c r="D1536" s="8" t="str">
        <f>HYPERLINK("http://npthd.inbcu.com/ViewContent.aspx?filename=NPMR_NBC_2017-07-12_E.MP4$2685$2700","Marlon")</f>
        <v>Marlon</v>
      </c>
      <c r="E1536" s="3" t="s">
        <v>30</v>
      </c>
      <c r="F1536" s="3" t="s">
        <v>4516</v>
      </c>
      <c r="G1536" s="3" t="s">
        <v>4517</v>
      </c>
    </row>
    <row r="1537" spans="1:7">
      <c r="A1537" s="6">
        <v>42928</v>
      </c>
      <c r="B1537" s="3" t="s">
        <v>3494</v>
      </c>
      <c r="C1537" s="3" t="s">
        <v>18</v>
      </c>
      <c r="D1537" s="8" t="str">
        <f>HYPERLINK("http://npthd.inbcu.com/ViewContent.aspx?filename=NPMR_NBC_2017-07-12_E.MP4$2700$3080","LITTLE BIG SHOTS: FOREVER YOUNG: jaws of life")</f>
        <v>LITTLE BIG SHOTS: FOREVER YOUNG: jaws of life</v>
      </c>
      <c r="E1537" s="3" t="s">
        <v>1034</v>
      </c>
      <c r="F1537" s="3" t="s">
        <v>4517</v>
      </c>
      <c r="G1537" s="3" t="s">
        <v>4518</v>
      </c>
    </row>
    <row r="1538" spans="1:7">
      <c r="A1538" s="6">
        <v>42928</v>
      </c>
      <c r="B1538" s="3" t="s">
        <v>3494</v>
      </c>
      <c r="C1538" s="3" t="s">
        <v>21</v>
      </c>
      <c r="D1538" s="8" t="str">
        <f>HYPERLINK("http://npthd.inbcu.com/ViewContent.aspx?filename=NPMR_NBC_2017-07-12_E.MP4$3080$3260","COMMERCIAL")</f>
        <v>COMMERCIAL</v>
      </c>
      <c r="E1538" s="3" t="s">
        <v>22</v>
      </c>
      <c r="F1538" s="3" t="s">
        <v>4518</v>
      </c>
      <c r="G1538" s="3" t="s">
        <v>4519</v>
      </c>
    </row>
    <row r="1539" spans="1:7">
      <c r="A1539" s="6">
        <v>42928</v>
      </c>
      <c r="B1539" s="3" t="s">
        <v>3494</v>
      </c>
      <c r="C1539" s="3" t="s">
        <v>14</v>
      </c>
      <c r="D1539" s="8" t="str">
        <f>HYPERLINK("http://npthd.inbcu.com/ViewContent.aspx?filename=NPMR_NBC_2017-07-12_E.MP4$3260$3275","Carmichael Show, The")</f>
        <v>Carmichael Show, The</v>
      </c>
      <c r="E1539" s="3" t="s">
        <v>30</v>
      </c>
      <c r="F1539" s="3" t="s">
        <v>4519</v>
      </c>
      <c r="G1539" s="3" t="s">
        <v>4520</v>
      </c>
    </row>
    <row r="1540" spans="1:7">
      <c r="A1540" s="6">
        <v>42928</v>
      </c>
      <c r="B1540" s="3" t="s">
        <v>3494</v>
      </c>
      <c r="C1540" s="3" t="s">
        <v>18</v>
      </c>
      <c r="D1540" s="8" t="str">
        <f>HYPERLINK("http://npthd.inbcu.com/ViewContent.aspx?filename=NPMR_NBC_2017-07-12_E.MP4$3275$3666","LITTLE BIG SHOTS: FOREVER YOUNG: jaws of life")</f>
        <v>LITTLE BIG SHOTS: FOREVER YOUNG: jaws of life</v>
      </c>
      <c r="E1540" s="3" t="s">
        <v>1400</v>
      </c>
      <c r="F1540" s="3" t="s">
        <v>4520</v>
      </c>
      <c r="G1540" s="3" t="s">
        <v>1782</v>
      </c>
    </row>
    <row r="1541" spans="1:7">
      <c r="A1541" s="6">
        <v>42928</v>
      </c>
      <c r="B1541" s="3" t="s">
        <v>3494</v>
      </c>
      <c r="C1541" s="3" t="s">
        <v>14</v>
      </c>
      <c r="D1541" s="8" t="str">
        <f>HYPERLINK("http://npthd.inbcu.com/ViewContent.aspx?filename=NPMR_NBC_2017-07-12_E.MP4$3666$3696","Little Big Shots: Forever Young")</f>
        <v>Little Big Shots: Forever Young</v>
      </c>
      <c r="E1541" s="3" t="s">
        <v>38</v>
      </c>
      <c r="F1541" s="3" t="s">
        <v>1782</v>
      </c>
      <c r="G1541" s="3" t="s">
        <v>3673</v>
      </c>
    </row>
    <row r="1542" spans="1:7">
      <c r="A1542" s="6">
        <v>42928</v>
      </c>
      <c r="B1542" s="3" t="s">
        <v>3494</v>
      </c>
      <c r="C1542" s="3" t="s">
        <v>18</v>
      </c>
      <c r="D1542" s="8" t="str">
        <f>HYPERLINK("http://npthd.inbcu.com/ViewContent.aspx?filename=NPMR_NBC_2017-07-12_E.MP4$3696$3703","LITTLE BIG SHOTS: FOREVER YOUNG: jaws of life")</f>
        <v>LITTLE BIG SHOTS: FOREVER YOUNG: jaws of life</v>
      </c>
      <c r="E1542" s="3" t="s">
        <v>567</v>
      </c>
      <c r="F1542" s="3" t="s">
        <v>3673</v>
      </c>
      <c r="G1542" s="3" t="s">
        <v>242</v>
      </c>
    </row>
    <row r="1543" spans="1:7">
      <c r="A1543" s="6">
        <v>42928</v>
      </c>
      <c r="B1543" s="3" t="s">
        <v>3494</v>
      </c>
      <c r="C1543" s="3" t="s">
        <v>18</v>
      </c>
      <c r="D1543" s="8" t="str">
        <f>HYPERLINK("http://npthd.inbcu.com/ViewContent.aspx?filename=NPMR_NBC_2017-07-12_E.MP4$3703$3964","THE CARMICHAEL SHOW: intervention")</f>
        <v>THE CARMICHAEL SHOW: intervention</v>
      </c>
      <c r="E1543" s="3" t="s">
        <v>614</v>
      </c>
      <c r="F1543" s="3" t="s">
        <v>242</v>
      </c>
      <c r="G1543" s="3" t="s">
        <v>4521</v>
      </c>
    </row>
    <row r="1544" spans="1:7">
      <c r="A1544" s="6">
        <v>42928</v>
      </c>
      <c r="B1544" s="3" t="s">
        <v>3494</v>
      </c>
      <c r="C1544" s="3" t="s">
        <v>21</v>
      </c>
      <c r="D1544" s="8" t="str">
        <f>HYPERLINK("http://npthd.inbcu.com/ViewContent.aspx?filename=NPMR_NBC_2017-07-12_E.MP4$3964$4114","COMMERCIAL")</f>
        <v>COMMERCIAL</v>
      </c>
      <c r="E1544" s="3" t="s">
        <v>28</v>
      </c>
      <c r="F1544" s="3" t="s">
        <v>4521</v>
      </c>
      <c r="G1544" s="3" t="s">
        <v>4522</v>
      </c>
    </row>
    <row r="1545" spans="1:7">
      <c r="A1545" s="6">
        <v>42928</v>
      </c>
      <c r="B1545" s="3" t="s">
        <v>3494</v>
      </c>
      <c r="C1545" s="3" t="s">
        <v>14</v>
      </c>
      <c r="D1545" s="8" t="str">
        <f>HYPERLINK("http://npthd.inbcu.com/ViewContent.aspx?filename=NPMR_NBC_2017-07-12_E.MP4$4114$4144","Marlon")</f>
        <v>Marlon</v>
      </c>
      <c r="E1545" s="3" t="s">
        <v>38</v>
      </c>
      <c r="F1545" s="3" t="s">
        <v>4522</v>
      </c>
      <c r="G1545" s="3" t="s">
        <v>4523</v>
      </c>
    </row>
    <row r="1546" spans="1:7">
      <c r="A1546" s="6">
        <v>42928</v>
      </c>
      <c r="B1546" s="3" t="s">
        <v>3494</v>
      </c>
      <c r="C1546" s="3" t="s">
        <v>18</v>
      </c>
      <c r="D1546" s="8" t="str">
        <f>HYPERLINK("http://npthd.inbcu.com/ViewContent.aspx?filename=NPMR_NBC_2017-07-12_E.MP4$4144$4628","THE CARMICHAEL SHOW: intervention")</f>
        <v>THE CARMICHAEL SHOW: intervention</v>
      </c>
      <c r="E1546" s="3" t="s">
        <v>73</v>
      </c>
      <c r="F1546" s="3" t="s">
        <v>4523</v>
      </c>
      <c r="G1546" s="3" t="s">
        <v>993</v>
      </c>
    </row>
    <row r="1547" spans="1:7">
      <c r="A1547" s="6">
        <v>42928</v>
      </c>
      <c r="B1547" s="3" t="s">
        <v>3494</v>
      </c>
      <c r="C1547" s="3" t="s">
        <v>21</v>
      </c>
      <c r="D1547" s="8" t="str">
        <f>HYPERLINK("http://npthd.inbcu.com/ViewContent.aspx?filename=NPMR_NBC_2017-07-12_E.MP4$4628$4689","COMMERCIAL")</f>
        <v>COMMERCIAL</v>
      </c>
      <c r="E1547" s="3" t="s">
        <v>33</v>
      </c>
      <c r="F1547" s="3" t="s">
        <v>993</v>
      </c>
      <c r="G1547" s="3" t="s">
        <v>4524</v>
      </c>
    </row>
    <row r="1548" spans="1:7">
      <c r="A1548" s="6">
        <v>42928</v>
      </c>
      <c r="B1548" s="3" t="s">
        <v>3494</v>
      </c>
      <c r="C1548" s="3" t="s">
        <v>14</v>
      </c>
      <c r="D1548" s="8" t="str">
        <f>HYPERLINK("http://npthd.inbcu.com/ViewContent.aspx?filename=NPMR_NBC_2017-07-12_E.MP4$4689$4694","Midnight Texas")</f>
        <v>Midnight Texas</v>
      </c>
      <c r="E1548" s="3" t="s">
        <v>54</v>
      </c>
      <c r="F1548" s="3" t="s">
        <v>4524</v>
      </c>
      <c r="G1548" s="3" t="s">
        <v>4525</v>
      </c>
    </row>
    <row r="1549" spans="1:7">
      <c r="A1549" s="6">
        <v>42928</v>
      </c>
      <c r="B1549" s="3" t="s">
        <v>3494</v>
      </c>
      <c r="C1549" s="3" t="s">
        <v>32</v>
      </c>
      <c r="D1549" s="8" t="str">
        <f>HYPERLINK("http://npthd.inbcu.com/ViewContent.aspx?filename=NPMR_NBC_2017-07-12_E.MP4$4694$4788","LOCAL")</f>
        <v>LOCAL</v>
      </c>
      <c r="E1549" s="3" t="s">
        <v>1917</v>
      </c>
      <c r="F1549" s="3" t="s">
        <v>4525</v>
      </c>
      <c r="G1549" s="3" t="s">
        <v>4526</v>
      </c>
    </row>
    <row r="1550" spans="1:7">
      <c r="A1550" s="6">
        <v>42928</v>
      </c>
      <c r="B1550" s="3" t="s">
        <v>3494</v>
      </c>
      <c r="C1550" s="3" t="s">
        <v>14</v>
      </c>
      <c r="D1550" s="8" t="str">
        <f>HYPERLINK("http://npthd.inbcu.com/ViewContent.aspx?filename=NPMR_NBC_2017-07-12_E.MP4$4788$4793","Wall, The")</f>
        <v>Wall, The</v>
      </c>
      <c r="E1550" s="3" t="s">
        <v>54</v>
      </c>
      <c r="F1550" s="3" t="s">
        <v>4526</v>
      </c>
      <c r="G1550" s="3" t="s">
        <v>372</v>
      </c>
    </row>
    <row r="1551" spans="1:7">
      <c r="A1551" s="6">
        <v>42928</v>
      </c>
      <c r="B1551" s="3" t="s">
        <v>3494</v>
      </c>
      <c r="C1551" s="3" t="s">
        <v>18</v>
      </c>
      <c r="D1551" s="8" t="str">
        <f>HYPERLINK("http://npthd.inbcu.com/ViewContent.aspx?filename=NPMR_NBC_2017-07-12_E.MP4$4793$5280","THE CARMICHAEL SHOW: intervention")</f>
        <v>THE CARMICHAEL SHOW: intervention</v>
      </c>
      <c r="E1551" s="3" t="s">
        <v>1733</v>
      </c>
      <c r="F1551" s="3" t="s">
        <v>372</v>
      </c>
      <c r="G1551" s="3" t="s">
        <v>4527</v>
      </c>
    </row>
    <row r="1552" spans="1:7">
      <c r="A1552" s="6">
        <v>42928</v>
      </c>
      <c r="B1552" s="3" t="s">
        <v>3494</v>
      </c>
      <c r="C1552" s="3" t="s">
        <v>21</v>
      </c>
      <c r="D1552" s="8" t="str">
        <f>HYPERLINK("http://npthd.inbcu.com/ViewContent.aspx?filename=NPMR_NBC_2017-07-12_E.MP4$5280$5431","COMMERCIAL")</f>
        <v>COMMERCIAL</v>
      </c>
      <c r="E1552" s="3" t="s">
        <v>91</v>
      </c>
      <c r="F1552" s="3" t="s">
        <v>4527</v>
      </c>
      <c r="G1552" s="3" t="s">
        <v>2532</v>
      </c>
    </row>
    <row r="1553" spans="1:7">
      <c r="A1553" s="6">
        <v>42928</v>
      </c>
      <c r="B1553" s="3" t="s">
        <v>3494</v>
      </c>
      <c r="C1553" s="3" t="s">
        <v>14</v>
      </c>
      <c r="D1553" s="8" t="str">
        <f>HYPERLINK("http://npthd.inbcu.com/ViewContent.aspx?filename=NPMR_NBC_2017-07-12_E.MP4$5431$5461","Will &amp; Grace")</f>
        <v>Will &amp; Grace</v>
      </c>
      <c r="E1553" s="3" t="s">
        <v>38</v>
      </c>
      <c r="F1553" s="3" t="s">
        <v>2532</v>
      </c>
      <c r="G1553" s="3" t="s">
        <v>4293</v>
      </c>
    </row>
    <row r="1554" spans="1:7">
      <c r="A1554" s="6">
        <v>42928</v>
      </c>
      <c r="B1554" s="3" t="s">
        <v>3494</v>
      </c>
      <c r="C1554" s="3" t="s">
        <v>18</v>
      </c>
      <c r="D1554" s="8" t="str">
        <f>HYPERLINK("http://npthd.inbcu.com/ViewContent.aspx?filename=NPMR_NBC_2017-07-12_E.MP4$5461$5503","THE CARMICHAEL SHOW: intervention")</f>
        <v>THE CARMICHAEL SHOW: intervention</v>
      </c>
      <c r="E1554" s="3" t="s">
        <v>512</v>
      </c>
      <c r="F1554" s="3" t="s">
        <v>4293</v>
      </c>
      <c r="G1554" s="3" t="s">
        <v>550</v>
      </c>
    </row>
    <row r="1555" spans="1:7">
      <c r="A1555" s="6">
        <v>42928</v>
      </c>
      <c r="B1555" s="3" t="s">
        <v>3494</v>
      </c>
      <c r="C1555" s="3" t="s">
        <v>18</v>
      </c>
      <c r="D1555" s="8" t="str">
        <f>HYPERLINK("http://npthd.inbcu.com/ViewContent.aspx?filename=NPMR_NBC_2017-07-12_E.MP4$5503$5638","THE CARMICHAEL SHOW: perfect storm")</f>
        <v>THE CARMICHAEL SHOW: perfect storm</v>
      </c>
      <c r="E1555" s="3" t="s">
        <v>459</v>
      </c>
      <c r="F1555" s="3" t="s">
        <v>550</v>
      </c>
      <c r="G1555" s="3" t="s">
        <v>4528</v>
      </c>
    </row>
    <row r="1556" spans="1:7">
      <c r="A1556" s="6">
        <v>42928</v>
      </c>
      <c r="B1556" s="3" t="s">
        <v>3494</v>
      </c>
      <c r="C1556" s="3" t="s">
        <v>21</v>
      </c>
      <c r="D1556" s="8" t="str">
        <f>HYPERLINK("http://npthd.inbcu.com/ViewContent.aspx?filename=NPMR_NBC_2017-07-12_E.MP4$5638$5758","COMMERCIAL")</f>
        <v>COMMERCIAL</v>
      </c>
      <c r="E1556" s="3" t="s">
        <v>43</v>
      </c>
      <c r="F1556" s="3" t="s">
        <v>4528</v>
      </c>
      <c r="G1556" s="3" t="s">
        <v>4529</v>
      </c>
    </row>
    <row r="1557" spans="1:7">
      <c r="A1557" s="6">
        <v>42928</v>
      </c>
      <c r="B1557" s="3" t="s">
        <v>3494</v>
      </c>
      <c r="C1557" s="3" t="s">
        <v>14</v>
      </c>
      <c r="D1557" s="8" t="str">
        <f>HYPERLINK("http://npthd.inbcu.com/ViewContent.aspx?filename=NPMR_NBC_2017-07-12_E.MP4$5758$5773","Watch What Happens Live! (Bravo)")</f>
        <v>Watch What Happens Live! (Bravo)</v>
      </c>
      <c r="E1557" s="3" t="s">
        <v>30</v>
      </c>
      <c r="F1557" s="3" t="s">
        <v>4529</v>
      </c>
      <c r="G1557" s="3" t="s">
        <v>3084</v>
      </c>
    </row>
    <row r="1558" spans="1:7">
      <c r="A1558" s="6">
        <v>42928</v>
      </c>
      <c r="B1558" s="3" t="s">
        <v>3494</v>
      </c>
      <c r="C1558" s="3" t="s">
        <v>14</v>
      </c>
      <c r="D1558" s="8" t="str">
        <f>HYPERLINK("http://npthd.inbcu.com/ViewContent.aspx?filename=NPMR_NBC_2017-07-12_E.MP4$5773$5803","Midnight Texas")</f>
        <v>Midnight Texas</v>
      </c>
      <c r="E1558" s="3" t="s">
        <v>38</v>
      </c>
      <c r="F1558" s="3" t="s">
        <v>3084</v>
      </c>
      <c r="G1558" s="3" t="s">
        <v>4530</v>
      </c>
    </row>
    <row r="1559" spans="1:7">
      <c r="A1559" s="6">
        <v>42928</v>
      </c>
      <c r="B1559" s="3" t="s">
        <v>3494</v>
      </c>
      <c r="C1559" s="3" t="s">
        <v>18</v>
      </c>
      <c r="D1559" s="8" t="str">
        <f>HYPERLINK("http://npthd.inbcu.com/ViewContent.aspx?filename=NPMR_NBC_2017-07-12_E.MP4$5803$6458","THE CARMICHAEL SHOW: perfect storm")</f>
        <v>THE CARMICHAEL SHOW: perfect storm</v>
      </c>
      <c r="E1559" s="3" t="s">
        <v>4531</v>
      </c>
      <c r="F1559" s="3" t="s">
        <v>4530</v>
      </c>
      <c r="G1559" s="3" t="s">
        <v>4068</v>
      </c>
    </row>
    <row r="1560" spans="1:7">
      <c r="A1560" s="6">
        <v>42928</v>
      </c>
      <c r="B1560" s="3" t="s">
        <v>3494</v>
      </c>
      <c r="C1560" s="3" t="s">
        <v>21</v>
      </c>
      <c r="D1560" s="8" t="str">
        <f>HYPERLINK("http://npthd.inbcu.com/ViewContent.aspx?filename=NPMR_NBC_2017-07-12_E.MP4$6458$6579","COMMERCIAL")</f>
        <v>COMMERCIAL</v>
      </c>
      <c r="E1560" s="3" t="s">
        <v>175</v>
      </c>
      <c r="F1560" s="3" t="s">
        <v>4068</v>
      </c>
      <c r="G1560" s="3" t="s">
        <v>1226</v>
      </c>
    </row>
    <row r="1561" spans="1:7">
      <c r="A1561" s="6">
        <v>42928</v>
      </c>
      <c r="B1561" s="3" t="s">
        <v>3494</v>
      </c>
      <c r="C1561" s="3" t="s">
        <v>14</v>
      </c>
      <c r="D1561" s="8" t="str">
        <f>HYPERLINK("http://npthd.inbcu.com/ViewContent.aspx?filename=NPMR_NBC_2017-07-12_E.MP4$6579$6584","Will &amp; Grace")</f>
        <v>Will &amp; Grace</v>
      </c>
      <c r="E1561" s="3" t="s">
        <v>54</v>
      </c>
      <c r="F1561" s="3" t="s">
        <v>1226</v>
      </c>
      <c r="G1561" s="3" t="s">
        <v>3272</v>
      </c>
    </row>
    <row r="1562" spans="1:7">
      <c r="A1562" s="6">
        <v>42928</v>
      </c>
      <c r="B1562" s="3" t="s">
        <v>3494</v>
      </c>
      <c r="C1562" s="3" t="s">
        <v>32</v>
      </c>
      <c r="D1562" s="8" t="str">
        <f>HYPERLINK("http://npthd.inbcu.com/ViewContent.aspx?filename=NPMR_NBC_2017-07-12_E.MP4$6584$6675","LOCAL")</f>
        <v>LOCAL</v>
      </c>
      <c r="E1562" s="3" t="s">
        <v>77</v>
      </c>
      <c r="F1562" s="3" t="s">
        <v>3272</v>
      </c>
      <c r="G1562" s="3" t="s">
        <v>2588</v>
      </c>
    </row>
    <row r="1563" spans="1:7">
      <c r="A1563" s="6">
        <v>42928</v>
      </c>
      <c r="B1563" s="3" t="s">
        <v>3494</v>
      </c>
      <c r="C1563" s="3" t="s">
        <v>14</v>
      </c>
      <c r="D1563" s="8" t="str">
        <f>HYPERLINK("http://npthd.inbcu.com/ViewContent.aspx?filename=NPMR_NBC_2017-07-12_E.MP4$6675$6680","Marlon")</f>
        <v>Marlon</v>
      </c>
      <c r="E1563" s="3" t="s">
        <v>54</v>
      </c>
      <c r="F1563" s="3" t="s">
        <v>2588</v>
      </c>
      <c r="G1563" s="3" t="s">
        <v>4532</v>
      </c>
    </row>
    <row r="1564" spans="1:7">
      <c r="A1564" s="6">
        <v>42928</v>
      </c>
      <c r="B1564" s="3" t="s">
        <v>3494</v>
      </c>
      <c r="C1564" s="3" t="s">
        <v>18</v>
      </c>
      <c r="D1564" s="8" t="str">
        <f>HYPERLINK("http://npthd.inbcu.com/ViewContent.aspx?filename=NPMR_NBC_2017-07-12_E.MP4$6680$7063","THE CARMICHAEL SHOW: perfect storm")</f>
        <v>THE CARMICHAEL SHOW: perfect storm</v>
      </c>
      <c r="E1564" s="3" t="s">
        <v>1904</v>
      </c>
      <c r="F1564" s="3" t="s">
        <v>4532</v>
      </c>
      <c r="G1564" s="3" t="s">
        <v>2981</v>
      </c>
    </row>
    <row r="1565" spans="1:7">
      <c r="A1565" s="6">
        <v>42928</v>
      </c>
      <c r="B1565" s="3" t="s">
        <v>3494</v>
      </c>
      <c r="C1565" s="3" t="s">
        <v>21</v>
      </c>
      <c r="D1565" s="8" t="str">
        <f>HYPERLINK("http://npthd.inbcu.com/ViewContent.aspx?filename=NPMR_NBC_2017-07-12_E.MP4$7063$7183","COMMERCIAL")</f>
        <v>COMMERCIAL</v>
      </c>
      <c r="E1565" s="3" t="s">
        <v>43</v>
      </c>
      <c r="F1565" s="3" t="s">
        <v>2981</v>
      </c>
      <c r="G1565" s="3" t="s">
        <v>4533</v>
      </c>
    </row>
    <row r="1566" spans="1:7">
      <c r="A1566" s="6">
        <v>42928</v>
      </c>
      <c r="B1566" s="3" t="s">
        <v>3494</v>
      </c>
      <c r="C1566" s="3" t="s">
        <v>14</v>
      </c>
      <c r="D1566" s="8" t="str">
        <f>HYPERLINK("http://npthd.inbcu.com/ViewContent.aspx?filename=NPMR_NBC_2017-07-12_E.MP4$7183$7198","This Is Us")</f>
        <v>This Is Us</v>
      </c>
      <c r="E1566" s="3" t="s">
        <v>30</v>
      </c>
      <c r="F1566" s="3" t="s">
        <v>4533</v>
      </c>
      <c r="G1566" s="3" t="s">
        <v>1918</v>
      </c>
    </row>
    <row r="1567" spans="1:7">
      <c r="A1567" s="6">
        <v>42928</v>
      </c>
      <c r="B1567" s="3" t="s">
        <v>3494</v>
      </c>
      <c r="C1567" s="3" t="s">
        <v>14</v>
      </c>
      <c r="D1567" s="8" t="str">
        <f>HYPERLINK("http://npthd.inbcu.com/ViewContent.aspx?filename=NPMR_NBC_2017-07-12_E.MP4$7198$7213","Wall, The")</f>
        <v>Wall, The</v>
      </c>
      <c r="E1567" s="3" t="s">
        <v>30</v>
      </c>
      <c r="F1567" s="3" t="s">
        <v>1918</v>
      </c>
      <c r="G1567" s="3" t="s">
        <v>2788</v>
      </c>
    </row>
    <row r="1568" spans="1:7">
      <c r="A1568" s="6">
        <v>42928</v>
      </c>
      <c r="B1568" s="3" t="s">
        <v>3494</v>
      </c>
      <c r="C1568" s="3" t="s">
        <v>18</v>
      </c>
      <c r="D1568" s="8" t="str">
        <f>HYPERLINK("http://npthd.inbcu.com/ViewContent.aspx?filename=NPMR_NBC_2017-07-12_E.MP4$7213$7303","THE CARMICHAEL SHOW: perfect storm")</f>
        <v>THE CARMICHAEL SHOW: perfect storm</v>
      </c>
      <c r="E1568" s="3" t="s">
        <v>46</v>
      </c>
      <c r="F1568" s="3" t="s">
        <v>2788</v>
      </c>
      <c r="G1568" s="3" t="s">
        <v>394</v>
      </c>
    </row>
    <row r="1569" spans="1:7">
      <c r="A1569" s="6">
        <v>42928</v>
      </c>
      <c r="B1569" s="3" t="s">
        <v>3494</v>
      </c>
      <c r="C1569" s="3" t="s">
        <v>18</v>
      </c>
      <c r="D1569" s="8" t="str">
        <f>HYPERLINK("http://npthd.inbcu.com/ViewContent.aspx?filename=NPMR_NBC_2017-07-12_E.MP4$7303$7845","THIS IS US: pilgrim rick")</f>
        <v>THIS IS US: pilgrim rick</v>
      </c>
      <c r="E1569" s="3" t="s">
        <v>2741</v>
      </c>
      <c r="F1569" s="3" t="s">
        <v>394</v>
      </c>
      <c r="G1569" s="3" t="s">
        <v>4534</v>
      </c>
    </row>
    <row r="1570" spans="1:7">
      <c r="A1570" s="6">
        <v>42928</v>
      </c>
      <c r="B1570" s="3" t="s">
        <v>3494</v>
      </c>
      <c r="C1570" s="3" t="s">
        <v>21</v>
      </c>
      <c r="D1570" s="8" t="str">
        <f>HYPERLINK("http://npthd.inbcu.com/ViewContent.aspx?filename=NPMR_NBC_2017-07-12_E.MP4$7845$8026","COMMERCIAL")</f>
        <v>COMMERCIAL</v>
      </c>
      <c r="E1570" s="3" t="s">
        <v>108</v>
      </c>
      <c r="F1570" s="3" t="s">
        <v>4534</v>
      </c>
      <c r="G1570" s="3" t="s">
        <v>4535</v>
      </c>
    </row>
    <row r="1571" spans="1:7">
      <c r="A1571" s="6">
        <v>42928</v>
      </c>
      <c r="B1571" s="3" t="s">
        <v>3494</v>
      </c>
      <c r="C1571" s="3" t="s">
        <v>14</v>
      </c>
      <c r="D1571" s="8" t="str">
        <f>HYPERLINK("http://npthd.inbcu.com/ViewContent.aspx?filename=NPMR_NBC_2017-07-12_E.MP4$8026$8041","Night Shift, The")</f>
        <v>Night Shift, The</v>
      </c>
      <c r="E1571" s="3" t="s">
        <v>30</v>
      </c>
      <c r="F1571" s="3" t="s">
        <v>4535</v>
      </c>
      <c r="G1571" s="3" t="s">
        <v>4536</v>
      </c>
    </row>
    <row r="1572" spans="1:7">
      <c r="A1572" s="6">
        <v>42928</v>
      </c>
      <c r="B1572" s="3" t="s">
        <v>3494</v>
      </c>
      <c r="C1572" s="3" t="s">
        <v>32</v>
      </c>
      <c r="D1572" s="8" t="str">
        <f>HYPERLINK("http://npthd.inbcu.com/ViewContent.aspx?filename=NPMR_NBC_2017-07-12_E.MP4$8041$8073","LOCAL")</f>
        <v>LOCAL</v>
      </c>
      <c r="E1572" s="3" t="s">
        <v>213</v>
      </c>
      <c r="F1572" s="3" t="s">
        <v>4536</v>
      </c>
      <c r="G1572" s="3" t="s">
        <v>3193</v>
      </c>
    </row>
    <row r="1573" spans="1:7">
      <c r="A1573" s="6">
        <v>42928</v>
      </c>
      <c r="B1573" s="3" t="s">
        <v>3494</v>
      </c>
      <c r="C1573" s="3" t="s">
        <v>18</v>
      </c>
      <c r="D1573" s="8" t="str">
        <f>HYPERLINK("http://npthd.inbcu.com/ViewContent.aspx?filename=NPMR_NBC_2017-07-12_E.MP4$8073$8659","THIS IS US: pilgrim rick")</f>
        <v>THIS IS US: pilgrim rick</v>
      </c>
      <c r="E1573" s="3" t="s">
        <v>265</v>
      </c>
      <c r="F1573" s="3" t="s">
        <v>3193</v>
      </c>
      <c r="G1573" s="3" t="s">
        <v>4537</v>
      </c>
    </row>
    <row r="1574" spans="1:7">
      <c r="A1574" s="6">
        <v>42928</v>
      </c>
      <c r="B1574" s="3" t="s">
        <v>3494</v>
      </c>
      <c r="C1574" s="3" t="s">
        <v>21</v>
      </c>
      <c r="D1574" s="8" t="str">
        <f>HYPERLINK("http://npthd.inbcu.com/ViewContent.aspx?filename=NPMR_NBC_2017-07-12_E.MP4$8659$8840","COMMERCIAL")</f>
        <v>COMMERCIAL</v>
      </c>
      <c r="E1574" s="3" t="s">
        <v>108</v>
      </c>
      <c r="F1574" s="3" t="s">
        <v>4537</v>
      </c>
      <c r="G1574" s="3" t="s">
        <v>1521</v>
      </c>
    </row>
    <row r="1575" spans="1:7">
      <c r="A1575" s="6">
        <v>42928</v>
      </c>
      <c r="B1575" s="3" t="s">
        <v>3494</v>
      </c>
      <c r="C1575" s="3" t="s">
        <v>14</v>
      </c>
      <c r="D1575" s="8" t="str">
        <f>HYPERLINK("http://npthd.inbcu.com/ViewContent.aspx?filename=NPMR_NBC_2017-07-12_E.MP4$8840$8855","Law &amp; Order True Crime Menendez")</f>
        <v>Law &amp; Order True Crime Menendez</v>
      </c>
      <c r="E1575" s="3" t="s">
        <v>30</v>
      </c>
      <c r="F1575" s="3" t="s">
        <v>1521</v>
      </c>
      <c r="G1575" s="3" t="s">
        <v>193</v>
      </c>
    </row>
    <row r="1576" spans="1:7">
      <c r="A1576" s="6">
        <v>42928</v>
      </c>
      <c r="B1576" s="3" t="s">
        <v>3494</v>
      </c>
      <c r="C1576" s="3" t="s">
        <v>18</v>
      </c>
      <c r="D1576" s="8" t="str">
        <f>HYPERLINK("http://npthd.inbcu.com/ViewContent.aspx?filename=NPMR_NBC_2017-07-12_E.MP4$8855$9166","THIS IS US: pilgrim rick")</f>
        <v>THIS IS US: pilgrim rick</v>
      </c>
      <c r="E1576" s="3" t="s">
        <v>2726</v>
      </c>
      <c r="F1576" s="3" t="s">
        <v>193</v>
      </c>
      <c r="G1576" s="3" t="s">
        <v>4538</v>
      </c>
    </row>
    <row r="1577" spans="1:7">
      <c r="A1577" s="6">
        <v>42928</v>
      </c>
      <c r="B1577" s="3" t="s">
        <v>3494</v>
      </c>
      <c r="C1577" s="3" t="s">
        <v>21</v>
      </c>
      <c r="D1577" s="8" t="str">
        <f>HYPERLINK("http://npthd.inbcu.com/ViewContent.aspx?filename=NPMR_NBC_2017-07-12_E.MP4$9166$9226","COMMERCIAL")</f>
        <v>COMMERCIAL</v>
      </c>
      <c r="E1577" s="3" t="s">
        <v>66</v>
      </c>
      <c r="F1577" s="3" t="s">
        <v>4538</v>
      </c>
      <c r="G1577" s="3" t="s">
        <v>4539</v>
      </c>
    </row>
    <row r="1578" spans="1:7">
      <c r="A1578" s="6">
        <v>42928</v>
      </c>
      <c r="B1578" s="3" t="s">
        <v>3494</v>
      </c>
      <c r="C1578" s="3" t="s">
        <v>14</v>
      </c>
      <c r="D1578" s="8" t="str">
        <f>HYPERLINK("http://npthd.inbcu.com/ViewContent.aspx?filename=NPMR_NBC_2017-07-12_E.MP4$9226$9231","Late Night with Seth Meyers")</f>
        <v>Late Night with Seth Meyers</v>
      </c>
      <c r="E1578" s="3" t="s">
        <v>54</v>
      </c>
      <c r="F1578" s="3" t="s">
        <v>4539</v>
      </c>
      <c r="G1578" s="3" t="s">
        <v>4540</v>
      </c>
    </row>
    <row r="1579" spans="1:7">
      <c r="A1579" s="6">
        <v>42928</v>
      </c>
      <c r="B1579" s="3" t="s">
        <v>3494</v>
      </c>
      <c r="C1579" s="3" t="s">
        <v>32</v>
      </c>
      <c r="D1579" s="8" t="str">
        <f>HYPERLINK("http://npthd.inbcu.com/ViewContent.aspx?filename=NPMR_NBC_2017-07-12_E.MP4$9231$9366","LOCAL")</f>
        <v>LOCAL</v>
      </c>
      <c r="E1579" s="3" t="s">
        <v>459</v>
      </c>
      <c r="F1579" s="3" t="s">
        <v>4540</v>
      </c>
      <c r="G1579" s="3" t="s">
        <v>1458</v>
      </c>
    </row>
    <row r="1580" spans="1:7">
      <c r="A1580" s="6">
        <v>42928</v>
      </c>
      <c r="B1580" s="3" t="s">
        <v>3494</v>
      </c>
      <c r="C1580" s="3" t="s">
        <v>14</v>
      </c>
      <c r="D1580" s="8" t="str">
        <f>HYPERLINK("http://npthd.inbcu.com/ViewContent.aspx?filename=NPMR_NBC_2017-07-12_E.MP4$9366$9375","Tonight Show starring Jimmy Fallon, The")</f>
        <v>Tonight Show starring Jimmy Fallon, The</v>
      </c>
      <c r="E1580" s="3" t="s">
        <v>2074</v>
      </c>
      <c r="F1580" s="3" t="s">
        <v>1458</v>
      </c>
      <c r="G1580" s="3" t="s">
        <v>3279</v>
      </c>
    </row>
    <row r="1581" spans="1:7">
      <c r="A1581" s="6">
        <v>42928</v>
      </c>
      <c r="B1581" s="3" t="s">
        <v>3494</v>
      </c>
      <c r="C1581" s="3" t="s">
        <v>14</v>
      </c>
      <c r="D1581" s="8" t="str">
        <f>HYPERLINK("http://npthd.inbcu.com/ViewContent.aspx?filename=NPMR_NBC_2017-07-12_E.MP4$9375$9379","Wall, The")</f>
        <v>Wall, The</v>
      </c>
      <c r="E1581" s="3" t="s">
        <v>84</v>
      </c>
      <c r="F1581" s="3" t="s">
        <v>3279</v>
      </c>
      <c r="G1581" s="3" t="s">
        <v>4541</v>
      </c>
    </row>
    <row r="1582" spans="1:7">
      <c r="A1582" s="6">
        <v>42928</v>
      </c>
      <c r="B1582" s="3" t="s">
        <v>3494</v>
      </c>
      <c r="C1582" s="3" t="s">
        <v>18</v>
      </c>
      <c r="D1582" s="8" t="str">
        <f>HYPERLINK("http://npthd.inbcu.com/ViewContent.aspx?filename=NPMR_NBC_2017-07-12_E.MP4$9379$9832","THIS IS US: pilgrim rick")</f>
        <v>THIS IS US: pilgrim rick</v>
      </c>
      <c r="E1582" s="3" t="s">
        <v>1758</v>
      </c>
      <c r="F1582" s="3" t="s">
        <v>4541</v>
      </c>
      <c r="G1582" s="3" t="s">
        <v>4542</v>
      </c>
    </row>
    <row r="1583" spans="1:7">
      <c r="A1583" s="6">
        <v>42928</v>
      </c>
      <c r="B1583" s="3" t="s">
        <v>3494</v>
      </c>
      <c r="C1583" s="3" t="s">
        <v>21</v>
      </c>
      <c r="D1583" s="8" t="str">
        <f>HYPERLINK("http://npthd.inbcu.com/ViewContent.aspx?filename=NPMR_NBC_2017-07-12_E.MP4$9832$10013","COMMERCIAL")</f>
        <v>COMMERCIAL</v>
      </c>
      <c r="E1583" s="3" t="s">
        <v>108</v>
      </c>
      <c r="F1583" s="3" t="s">
        <v>4542</v>
      </c>
      <c r="G1583" s="3" t="s">
        <v>412</v>
      </c>
    </row>
    <row r="1584" spans="1:7">
      <c r="A1584" s="6">
        <v>42928</v>
      </c>
      <c r="B1584" s="3" t="s">
        <v>3494</v>
      </c>
      <c r="C1584" s="3" t="s">
        <v>14</v>
      </c>
      <c r="D1584" s="8" t="str">
        <f>HYPERLINK("http://npthd.inbcu.com/ViewContent.aspx?filename=NPMR_NBC_2017-07-12_E.MP4$10013$10043","Brave, The")</f>
        <v>Brave, The</v>
      </c>
      <c r="E1584" s="3" t="s">
        <v>38</v>
      </c>
      <c r="F1584" s="3" t="s">
        <v>412</v>
      </c>
      <c r="G1584" s="3" t="s">
        <v>4543</v>
      </c>
    </row>
    <row r="1585" spans="1:7">
      <c r="A1585" s="6">
        <v>42928</v>
      </c>
      <c r="B1585" s="3" t="s">
        <v>3494</v>
      </c>
      <c r="C1585" s="3" t="s">
        <v>18</v>
      </c>
      <c r="D1585" s="8" t="str">
        <f>HYPERLINK("http://npthd.inbcu.com/ViewContent.aspx?filename=NPMR_NBC_2017-07-12_E.MP4$10043$10311","THIS IS US: pilgrim rick")</f>
        <v>THIS IS US: pilgrim rick</v>
      </c>
      <c r="E1585" s="3" t="s">
        <v>801</v>
      </c>
      <c r="F1585" s="3" t="s">
        <v>4543</v>
      </c>
      <c r="G1585" s="3" t="s">
        <v>3451</v>
      </c>
    </row>
    <row r="1586" spans="1:7">
      <c r="A1586" s="6">
        <v>42928</v>
      </c>
      <c r="B1586" s="3" t="s">
        <v>3494</v>
      </c>
      <c r="C1586" s="3" t="s">
        <v>21</v>
      </c>
      <c r="D1586" s="8" t="str">
        <f>HYPERLINK("http://npthd.inbcu.com/ViewContent.aspx?filename=NPMR_NBC_2017-07-12_E.MP4$10311$10462","COMMERCIAL")</f>
        <v>COMMERCIAL</v>
      </c>
      <c r="E1586" s="3" t="s">
        <v>91</v>
      </c>
      <c r="F1586" s="3" t="s">
        <v>3451</v>
      </c>
      <c r="G1586" s="3" t="s">
        <v>4237</v>
      </c>
    </row>
    <row r="1587" spans="1:7">
      <c r="A1587" s="6">
        <v>42928</v>
      </c>
      <c r="B1587" s="3" t="s">
        <v>3494</v>
      </c>
      <c r="C1587" s="3" t="s">
        <v>32</v>
      </c>
      <c r="D1587" s="8" t="str">
        <f>HYPERLINK("http://npthd.inbcu.com/ViewContent.aspx?filename=NPMR_NBC_2017-07-12_E.MP4$10462$10478","LOCAL")</f>
        <v>LOCAL</v>
      </c>
      <c r="E1587" s="3" t="s">
        <v>64</v>
      </c>
      <c r="F1587" s="3" t="s">
        <v>4237</v>
      </c>
      <c r="G1587" s="3" t="s">
        <v>4544</v>
      </c>
    </row>
    <row r="1588" spans="1:7">
      <c r="A1588" s="6">
        <v>42928</v>
      </c>
      <c r="B1588" s="3" t="s">
        <v>3494</v>
      </c>
      <c r="C1588" s="3" t="s">
        <v>14</v>
      </c>
      <c r="D1588" s="8" t="str">
        <f>HYPERLINK("http://npthd.inbcu.com/ViewContent.aspx?filename=NPMR_NBC_2017-07-12_E.MP4$10478$10508","Will &amp; Grace")</f>
        <v>Will &amp; Grace</v>
      </c>
      <c r="E1588" s="3" t="s">
        <v>38</v>
      </c>
      <c r="F1588" s="3" t="s">
        <v>4544</v>
      </c>
      <c r="G1588" s="3" t="s">
        <v>4001</v>
      </c>
    </row>
    <row r="1589" spans="1:7">
      <c r="A1589" s="6">
        <v>42928</v>
      </c>
      <c r="B1589" s="3" t="s">
        <v>3494</v>
      </c>
      <c r="C1589" s="3" t="s">
        <v>18</v>
      </c>
      <c r="D1589" s="8" t="str">
        <f>HYPERLINK("http://npthd.inbcu.com/ViewContent.aspx?filename=NPMR_NBC_2017-07-12_E.MP4$10508$10837","THIS IS US: pilgrim rick")</f>
        <v>THIS IS US: pilgrim rick</v>
      </c>
      <c r="E1589" s="3" t="s">
        <v>2586</v>
      </c>
      <c r="F1589" s="3" t="s">
        <v>4001</v>
      </c>
      <c r="G1589" s="3" t="s">
        <v>3552</v>
      </c>
    </row>
    <row r="1590" spans="1:7">
      <c r="A1590" s="6">
        <v>42928</v>
      </c>
      <c r="B1590" s="3" t="s">
        <v>3494</v>
      </c>
      <c r="C1590" s="3" t="s">
        <v>14</v>
      </c>
      <c r="D1590" s="8" t="str">
        <f>HYPERLINK("http://npthd.inbcu.com/ViewContent.aspx?filename=NPMR_NBC_2017-07-12_E.MP4$10837$10867","This Is Us")</f>
        <v>This Is Us</v>
      </c>
      <c r="E1590" s="3" t="s">
        <v>38</v>
      </c>
      <c r="F1590" s="3" t="s">
        <v>3552</v>
      </c>
      <c r="G1590" s="3" t="s">
        <v>3553</v>
      </c>
    </row>
    <row r="1591" spans="1:7">
      <c r="A1591" s="6">
        <v>42928</v>
      </c>
      <c r="B1591" s="3" t="s">
        <v>3494</v>
      </c>
      <c r="C1591" s="3" t="s">
        <v>18</v>
      </c>
      <c r="D1591" s="8" t="str">
        <f>HYPERLINK("http://npthd.inbcu.com/ViewContent.aspx?filename=NPMR_NBC_2017-07-12_E.MP4$10867$10873","THIS IS US: pilgrim rick")</f>
        <v>THIS IS US: pilgrim rick</v>
      </c>
      <c r="E1591" s="3" t="s">
        <v>15</v>
      </c>
      <c r="F1591" s="3" t="s">
        <v>3553</v>
      </c>
      <c r="G1591" s="3" t="s">
        <v>3554</v>
      </c>
    </row>
    <row r="1592" spans="1:7">
      <c r="A1592" s="6">
        <v>42928</v>
      </c>
      <c r="B1592" s="3" t="s">
        <v>3494</v>
      </c>
      <c r="C1592" s="3" t="s">
        <v>32</v>
      </c>
      <c r="D1592" s="8" t="str">
        <f>HYPERLINK("http://npthd.inbcu.com/ViewContent.aspx?filename=NPMR_NBC_2017-07-12_E.MP4$10873$10903","LOCAL")</f>
        <v>LOCAL</v>
      </c>
      <c r="E1592" s="3" t="s">
        <v>38</v>
      </c>
      <c r="F1592" s="3" t="s">
        <v>3554</v>
      </c>
      <c r="G1592" s="3" t="s">
        <v>124</v>
      </c>
    </row>
    <row r="1593" spans="1:7">
      <c r="A1593" s="6">
        <v>42929</v>
      </c>
      <c r="B1593" s="3" t="s">
        <v>3494</v>
      </c>
      <c r="C1593" s="3" t="s">
        <v>18</v>
      </c>
      <c r="D1593" s="8" t="str">
        <f>HYPERLINK("http://npthd.inbcu.com/ViewContent.aspx?filename=NPMR_NBC_2017-07-13_W.MP4$99$568","AMERICAS GOT TALENT: best of auditions")</f>
        <v>AMERICAS GOT TALENT: best of auditions</v>
      </c>
      <c r="E1593" s="3" t="s">
        <v>1536</v>
      </c>
      <c r="F1593" s="3" t="s">
        <v>16</v>
      </c>
      <c r="G1593" s="3" t="s">
        <v>4545</v>
      </c>
    </row>
    <row r="1594" spans="1:7">
      <c r="A1594" s="6">
        <v>42929</v>
      </c>
      <c r="B1594" s="3" t="s">
        <v>3494</v>
      </c>
      <c r="C1594" s="3" t="s">
        <v>21</v>
      </c>
      <c r="D1594" s="8" t="str">
        <f>HYPERLINK("http://npthd.inbcu.com/ViewContent.aspx?filename=NPMR_NBC_2017-07-13_W.MP4$568$719","COMMERCIAL")</f>
        <v>COMMERCIAL</v>
      </c>
      <c r="E1594" s="3" t="s">
        <v>91</v>
      </c>
      <c r="F1594" s="3" t="s">
        <v>4545</v>
      </c>
      <c r="G1594" s="3" t="s">
        <v>1314</v>
      </c>
    </row>
    <row r="1595" spans="1:7">
      <c r="A1595" s="6">
        <v>42929</v>
      </c>
      <c r="B1595" s="3" t="s">
        <v>3494</v>
      </c>
      <c r="C1595" s="3" t="s">
        <v>14</v>
      </c>
      <c r="D1595" s="8" t="str">
        <f>HYPERLINK("http://npthd.inbcu.com/ViewContent.aspx?filename=NPMR_NBC_2017-07-13_W.MP4$719$734","Cold Justice (Oxygen)")</f>
        <v>Cold Justice (Oxygen)</v>
      </c>
      <c r="E1595" s="3" t="s">
        <v>30</v>
      </c>
      <c r="F1595" s="3" t="s">
        <v>1314</v>
      </c>
      <c r="G1595" s="3" t="s">
        <v>700</v>
      </c>
    </row>
    <row r="1596" spans="1:7">
      <c r="A1596" s="6">
        <v>42929</v>
      </c>
      <c r="B1596" s="3" t="s">
        <v>3494</v>
      </c>
      <c r="C1596" s="3" t="s">
        <v>14</v>
      </c>
      <c r="D1596" s="8" t="str">
        <f>HYPERLINK("http://npthd.inbcu.com/ViewContent.aspx?filename=NPMR_NBC_2017-07-13_W.MP4$734$749","Will &amp; Grace")</f>
        <v>Will &amp; Grace</v>
      </c>
      <c r="E1596" s="3" t="s">
        <v>30</v>
      </c>
      <c r="F1596" s="3" t="s">
        <v>700</v>
      </c>
      <c r="G1596" s="3" t="s">
        <v>1315</v>
      </c>
    </row>
    <row r="1597" spans="1:7">
      <c r="A1597" s="6">
        <v>42929</v>
      </c>
      <c r="B1597" s="3" t="s">
        <v>3494</v>
      </c>
      <c r="C1597" s="3" t="s">
        <v>18</v>
      </c>
      <c r="D1597" s="8" t="str">
        <f>HYPERLINK("http://npthd.inbcu.com/ViewContent.aspx?filename=NPMR_NBC_2017-07-13_W.MP4$749$1184","AMERICAS GOT TALENT: best of auditions")</f>
        <v>AMERICAS GOT TALENT: best of auditions</v>
      </c>
      <c r="E1597" s="3" t="s">
        <v>415</v>
      </c>
      <c r="F1597" s="3" t="s">
        <v>1315</v>
      </c>
      <c r="G1597" s="3" t="s">
        <v>4546</v>
      </c>
    </row>
    <row r="1598" spans="1:7">
      <c r="A1598" s="6">
        <v>42929</v>
      </c>
      <c r="B1598" s="3" t="s">
        <v>3494</v>
      </c>
      <c r="C1598" s="3" t="s">
        <v>21</v>
      </c>
      <c r="D1598" s="8" t="str">
        <f>HYPERLINK("http://npthd.inbcu.com/ViewContent.aspx?filename=NPMR_NBC_2017-07-13_W.MP4$1184$1274","COMMERCIAL")</f>
        <v>COMMERCIAL</v>
      </c>
      <c r="E1598" s="3" t="s">
        <v>46</v>
      </c>
      <c r="F1598" s="3" t="s">
        <v>4546</v>
      </c>
      <c r="G1598" s="3" t="s">
        <v>3412</v>
      </c>
    </row>
    <row r="1599" spans="1:7">
      <c r="A1599" s="6">
        <v>42929</v>
      </c>
      <c r="B1599" s="3" t="s">
        <v>3494</v>
      </c>
      <c r="C1599" s="3" t="s">
        <v>14</v>
      </c>
      <c r="D1599" s="8" t="str">
        <f>HYPERLINK("http://npthd.inbcu.com/ViewContent.aspx?filename=NPMR_NBC_2017-07-13_W.MP4$1274$1289","American Ninja Warrior")</f>
        <v>American Ninja Warrior</v>
      </c>
      <c r="E1599" s="3" t="s">
        <v>30</v>
      </c>
      <c r="F1599" s="3" t="s">
        <v>3412</v>
      </c>
      <c r="G1599" s="3" t="s">
        <v>4046</v>
      </c>
    </row>
    <row r="1600" spans="1:7">
      <c r="A1600" s="6">
        <v>42929</v>
      </c>
      <c r="B1600" s="3" t="s">
        <v>3494</v>
      </c>
      <c r="C1600" s="3" t="s">
        <v>32</v>
      </c>
      <c r="D1600" s="8" t="str">
        <f>HYPERLINK("http://npthd.inbcu.com/ViewContent.aspx?filename=NPMR_NBC_2017-07-13_W.MP4$1289$1384","LOCAL")</f>
        <v>LOCAL</v>
      </c>
      <c r="E1600" s="3" t="s">
        <v>2076</v>
      </c>
      <c r="F1600" s="3" t="s">
        <v>4046</v>
      </c>
      <c r="G1600" s="3" t="s">
        <v>4547</v>
      </c>
    </row>
    <row r="1601" spans="1:7">
      <c r="A1601" s="6">
        <v>42929</v>
      </c>
      <c r="B1601" s="3" t="s">
        <v>3494</v>
      </c>
      <c r="C1601" s="3" t="s">
        <v>14</v>
      </c>
      <c r="D1601" s="8" t="str">
        <f>HYPERLINK("http://npthd.inbcu.com/ViewContent.aspx?filename=NPMR_NBC_2017-07-13_W.MP4$1384$1399","World of Dance")</f>
        <v>World of Dance</v>
      </c>
      <c r="E1601" s="3" t="s">
        <v>30</v>
      </c>
      <c r="F1601" s="3" t="s">
        <v>4547</v>
      </c>
      <c r="G1601" s="3" t="s">
        <v>3808</v>
      </c>
    </row>
    <row r="1602" spans="1:7">
      <c r="A1602" s="6">
        <v>42929</v>
      </c>
      <c r="B1602" s="3" t="s">
        <v>3494</v>
      </c>
      <c r="C1602" s="3" t="s">
        <v>18</v>
      </c>
      <c r="D1602" s="8" t="str">
        <f>HYPERLINK("http://npthd.inbcu.com/ViewContent.aspx?filename=NPMR_NBC_2017-07-13_W.MP4$1399$1763","AMERICAS GOT TALENT: best of auditions")</f>
        <v>AMERICAS GOT TALENT: best of auditions</v>
      </c>
      <c r="E1602" s="3" t="s">
        <v>626</v>
      </c>
      <c r="F1602" s="3" t="s">
        <v>3808</v>
      </c>
      <c r="G1602" s="3" t="s">
        <v>4548</v>
      </c>
    </row>
    <row r="1603" spans="1:7">
      <c r="A1603" s="6">
        <v>42929</v>
      </c>
      <c r="B1603" s="3" t="s">
        <v>3494</v>
      </c>
      <c r="C1603" s="3" t="s">
        <v>14</v>
      </c>
      <c r="D1603" s="8" t="str">
        <f>HYPERLINK("http://npthd.inbcu.com/ViewContent.aspx?filename=NPMR_NBC_2017-07-13_W.MP4$1763$1778","Midnight Texas")</f>
        <v>Midnight Texas</v>
      </c>
      <c r="E1603" s="3" t="s">
        <v>30</v>
      </c>
      <c r="F1603" s="3" t="s">
        <v>4548</v>
      </c>
      <c r="G1603" s="3" t="s">
        <v>4549</v>
      </c>
    </row>
    <row r="1604" spans="1:7">
      <c r="A1604" s="6">
        <v>42929</v>
      </c>
      <c r="B1604" s="3" t="s">
        <v>3494</v>
      </c>
      <c r="C1604" s="3" t="s">
        <v>21</v>
      </c>
      <c r="D1604" s="8" t="str">
        <f>HYPERLINK("http://npthd.inbcu.com/ViewContent.aspx?filename=NPMR_NBC_2017-07-13_W.MP4$1778$1958","COMMERCIAL")</f>
        <v>COMMERCIAL</v>
      </c>
      <c r="E1604" s="3" t="s">
        <v>22</v>
      </c>
      <c r="F1604" s="3" t="s">
        <v>4549</v>
      </c>
      <c r="G1604" s="3" t="s">
        <v>2069</v>
      </c>
    </row>
    <row r="1605" spans="1:7">
      <c r="A1605" s="6">
        <v>42929</v>
      </c>
      <c r="B1605" s="3" t="s">
        <v>3494</v>
      </c>
      <c r="C1605" s="3" t="s">
        <v>14</v>
      </c>
      <c r="D1605" s="8" t="str">
        <f>HYPERLINK("http://npthd.inbcu.com/ViewContent.aspx?filename=NPMR_NBC_2017-07-13_W.MP4$1958$1974","Night Shift, The")</f>
        <v>Night Shift, The</v>
      </c>
      <c r="E1605" s="3" t="s">
        <v>64</v>
      </c>
      <c r="F1605" s="3" t="s">
        <v>2069</v>
      </c>
      <c r="G1605" s="3" t="s">
        <v>4550</v>
      </c>
    </row>
    <row r="1606" spans="1:7">
      <c r="A1606" s="6">
        <v>42929</v>
      </c>
      <c r="B1606" s="3" t="s">
        <v>3494</v>
      </c>
      <c r="C1606" s="3" t="s">
        <v>18</v>
      </c>
      <c r="D1606" s="8" t="str">
        <f>HYPERLINK("http://npthd.inbcu.com/ViewContent.aspx?filename=NPMR_NBC_2017-07-13_W.MP4$1974$2383","AMERICAS GOT TALENT: best of auditions")</f>
        <v>AMERICAS GOT TALENT: best of auditions</v>
      </c>
      <c r="E1606" s="3" t="s">
        <v>2920</v>
      </c>
      <c r="F1606" s="3" t="s">
        <v>4550</v>
      </c>
      <c r="G1606" s="3" t="s">
        <v>4551</v>
      </c>
    </row>
    <row r="1607" spans="1:7">
      <c r="A1607" s="6">
        <v>42929</v>
      </c>
      <c r="B1607" s="3" t="s">
        <v>3494</v>
      </c>
      <c r="C1607" s="3" t="s">
        <v>21</v>
      </c>
      <c r="D1607" s="8" t="str">
        <f>HYPERLINK("http://npthd.inbcu.com/ViewContent.aspx?filename=NPMR_NBC_2017-07-13_W.MP4$2383$2503","COMMERCIAL")</f>
        <v>COMMERCIAL</v>
      </c>
      <c r="E1607" s="3" t="s">
        <v>43</v>
      </c>
      <c r="F1607" s="3" t="s">
        <v>4551</v>
      </c>
      <c r="G1607" s="3" t="s">
        <v>4552</v>
      </c>
    </row>
    <row r="1608" spans="1:7">
      <c r="A1608" s="6">
        <v>42929</v>
      </c>
      <c r="B1608" s="3" t="s">
        <v>3494</v>
      </c>
      <c r="C1608" s="3" t="s">
        <v>14</v>
      </c>
      <c r="D1608" s="8" t="str">
        <f>HYPERLINK("http://npthd.inbcu.com/ViewContent.aspx?filename=NPMR_NBC_2017-07-13_W.MP4$2503$2507","Will &amp; Grace")</f>
        <v>Will &amp; Grace</v>
      </c>
      <c r="E1608" s="3" t="s">
        <v>84</v>
      </c>
      <c r="F1608" s="3" t="s">
        <v>4552</v>
      </c>
      <c r="G1608" s="3" t="s">
        <v>4553</v>
      </c>
    </row>
    <row r="1609" spans="1:7">
      <c r="A1609" s="6">
        <v>42929</v>
      </c>
      <c r="B1609" s="3" t="s">
        <v>3494</v>
      </c>
      <c r="C1609" s="3" t="s">
        <v>32</v>
      </c>
      <c r="D1609" s="8" t="str">
        <f>HYPERLINK("http://npthd.inbcu.com/ViewContent.aspx?filename=NPMR_NBC_2017-07-13_W.MP4$2507$2598","LOCAL")</f>
        <v>LOCAL</v>
      </c>
      <c r="E1609" s="3" t="s">
        <v>77</v>
      </c>
      <c r="F1609" s="3" t="s">
        <v>4553</v>
      </c>
      <c r="G1609" s="3" t="s">
        <v>4554</v>
      </c>
    </row>
    <row r="1610" spans="1:7">
      <c r="A1610" s="6">
        <v>42929</v>
      </c>
      <c r="B1610" s="3" t="s">
        <v>3494</v>
      </c>
      <c r="C1610" s="3" t="s">
        <v>14</v>
      </c>
      <c r="D1610" s="8" t="str">
        <f>HYPERLINK("http://npthd.inbcu.com/ViewContent.aspx?filename=NPMR_NBC_2017-07-13_W.MP4$2598$2613","Wall, The")</f>
        <v>Wall, The</v>
      </c>
      <c r="E1610" s="3" t="s">
        <v>30</v>
      </c>
      <c r="F1610" s="3" t="s">
        <v>4554</v>
      </c>
      <c r="G1610" s="3" t="s">
        <v>4555</v>
      </c>
    </row>
    <row r="1611" spans="1:7">
      <c r="A1611" s="6">
        <v>42929</v>
      </c>
      <c r="B1611" s="3" t="s">
        <v>3494</v>
      </c>
      <c r="C1611" s="3" t="s">
        <v>18</v>
      </c>
      <c r="D1611" s="8" t="str">
        <f>HYPERLINK("http://npthd.inbcu.com/ViewContent.aspx?filename=NPMR_NBC_2017-07-13_W.MP4$2613$2959","AMERICAS GOT TALENT: best of auditions")</f>
        <v>AMERICAS GOT TALENT: best of auditions</v>
      </c>
      <c r="E1611" s="3" t="s">
        <v>578</v>
      </c>
      <c r="F1611" s="3" t="s">
        <v>4555</v>
      </c>
      <c r="G1611" s="3" t="s">
        <v>4556</v>
      </c>
    </row>
    <row r="1612" spans="1:7">
      <c r="A1612" s="6">
        <v>42929</v>
      </c>
      <c r="B1612" s="3" t="s">
        <v>3494</v>
      </c>
      <c r="C1612" s="3" t="s">
        <v>21</v>
      </c>
      <c r="D1612" s="8" t="str">
        <f>HYPERLINK("http://npthd.inbcu.com/ViewContent.aspx?filename=NPMR_NBC_2017-07-13_W.MP4$2959$3140","COMMERCIAL")</f>
        <v>COMMERCIAL</v>
      </c>
      <c r="E1612" s="3" t="s">
        <v>108</v>
      </c>
      <c r="F1612" s="3" t="s">
        <v>4556</v>
      </c>
      <c r="G1612" s="3" t="s">
        <v>2192</v>
      </c>
    </row>
    <row r="1613" spans="1:7">
      <c r="A1613" s="6">
        <v>42929</v>
      </c>
      <c r="B1613" s="3" t="s">
        <v>3494</v>
      </c>
      <c r="C1613" s="3" t="s">
        <v>14</v>
      </c>
      <c r="D1613" s="8" t="str">
        <f>HYPERLINK("http://npthd.inbcu.com/ViewContent.aspx?filename=NPMR_NBC_2017-07-13_W.MP4$3140$3170","Brave, The")</f>
        <v>Brave, The</v>
      </c>
      <c r="E1613" s="3" t="s">
        <v>38</v>
      </c>
      <c r="F1613" s="3" t="s">
        <v>2192</v>
      </c>
      <c r="G1613" s="3" t="s">
        <v>1895</v>
      </c>
    </row>
    <row r="1614" spans="1:7">
      <c r="A1614" s="6">
        <v>42929</v>
      </c>
      <c r="B1614" s="3" t="s">
        <v>3494</v>
      </c>
      <c r="C1614" s="3" t="s">
        <v>18</v>
      </c>
      <c r="D1614" s="8" t="str">
        <f>HYPERLINK("http://npthd.inbcu.com/ViewContent.aspx?filename=NPMR_NBC_2017-07-13_W.MP4$3170$3661","AMERICAS GOT TALENT: best of auditions")</f>
        <v>AMERICAS GOT TALENT: best of auditions</v>
      </c>
      <c r="E1614" s="3" t="s">
        <v>2401</v>
      </c>
      <c r="F1614" s="3" t="s">
        <v>1895</v>
      </c>
      <c r="G1614" s="3" t="s">
        <v>4399</v>
      </c>
    </row>
    <row r="1615" spans="1:7">
      <c r="A1615" s="6">
        <v>42929</v>
      </c>
      <c r="B1615" s="3" t="s">
        <v>3494</v>
      </c>
      <c r="C1615" s="3" t="s">
        <v>14</v>
      </c>
      <c r="D1615" s="8" t="str">
        <f>HYPERLINK("http://npthd.inbcu.com/ViewContent.aspx?filename=NPMR_NBC_2017-07-13_W.MP4$3661$3692","Americas Got Talent")</f>
        <v>Americas Got Talent</v>
      </c>
      <c r="E1615" s="3" t="s">
        <v>98</v>
      </c>
      <c r="F1615" s="3" t="s">
        <v>4399</v>
      </c>
      <c r="G1615" s="3" t="s">
        <v>3673</v>
      </c>
    </row>
    <row r="1616" spans="1:7">
      <c r="A1616" s="6">
        <v>42929</v>
      </c>
      <c r="B1616" s="3" t="s">
        <v>3494</v>
      </c>
      <c r="C1616" s="3" t="s">
        <v>18</v>
      </c>
      <c r="D1616" s="8" t="str">
        <f>HYPERLINK("http://npthd.inbcu.com/ViewContent.aspx?filename=NPMR_NBC_2017-07-13_W.MP4$3692$3699","AMERICAS GOT TALENT: best of auditions")</f>
        <v>AMERICAS GOT TALENT: best of auditions</v>
      </c>
      <c r="E1616" s="3" t="s">
        <v>567</v>
      </c>
      <c r="F1616" s="3" t="s">
        <v>3673</v>
      </c>
      <c r="G1616" s="3" t="s">
        <v>242</v>
      </c>
    </row>
    <row r="1617" spans="1:7">
      <c r="A1617" s="6">
        <v>42929</v>
      </c>
      <c r="B1617" s="3" t="s">
        <v>3494</v>
      </c>
      <c r="C1617" s="3" t="s">
        <v>18</v>
      </c>
      <c r="D1617" s="8" t="str">
        <f>HYPERLINK("http://npthd.inbcu.com/ViewContent.aspx?filename=NPMR_NBC_2017-07-13_W.MP4$3699$4186","THE WALL: jeff and jamie")</f>
        <v>THE WALL: jeff and jamie</v>
      </c>
      <c r="E1617" s="3" t="s">
        <v>1733</v>
      </c>
      <c r="F1617" s="3" t="s">
        <v>242</v>
      </c>
      <c r="G1617" s="3" t="s">
        <v>4557</v>
      </c>
    </row>
    <row r="1618" spans="1:7">
      <c r="A1618" s="6">
        <v>42929</v>
      </c>
      <c r="B1618" s="3" t="s">
        <v>3494</v>
      </c>
      <c r="C1618" s="3" t="s">
        <v>21</v>
      </c>
      <c r="D1618" s="8" t="str">
        <f>HYPERLINK("http://npthd.inbcu.com/ViewContent.aspx?filename=NPMR_NBC_2017-07-13_W.MP4$4186$4336","COMMERCIAL")</f>
        <v>COMMERCIAL</v>
      </c>
      <c r="E1618" s="3" t="s">
        <v>28</v>
      </c>
      <c r="F1618" s="3" t="s">
        <v>4557</v>
      </c>
      <c r="G1618" s="3" t="s">
        <v>4558</v>
      </c>
    </row>
    <row r="1619" spans="1:7">
      <c r="A1619" s="6">
        <v>42929</v>
      </c>
      <c r="B1619" s="3" t="s">
        <v>3494</v>
      </c>
      <c r="C1619" s="3" t="s">
        <v>14</v>
      </c>
      <c r="D1619" s="8" t="str">
        <f>HYPERLINK("http://npthd.inbcu.com/ViewContent.aspx?filename=NPMR_NBC_2017-07-13_W.MP4$4336$4366","This Is Us")</f>
        <v>This Is Us</v>
      </c>
      <c r="E1619" s="3" t="s">
        <v>38</v>
      </c>
      <c r="F1619" s="3" t="s">
        <v>4558</v>
      </c>
      <c r="G1619" s="3" t="s">
        <v>4559</v>
      </c>
    </row>
    <row r="1620" spans="1:7">
      <c r="A1620" s="6">
        <v>42929</v>
      </c>
      <c r="B1620" s="3" t="s">
        <v>3494</v>
      </c>
      <c r="C1620" s="3" t="s">
        <v>18</v>
      </c>
      <c r="D1620" s="8" t="str">
        <f>HYPERLINK("http://npthd.inbcu.com/ViewContent.aspx?filename=NPMR_NBC_2017-07-13_W.MP4$4366$5076","THE WALL: jeff and jamie")</f>
        <v>THE WALL: jeff and jamie</v>
      </c>
      <c r="E1620" s="3" t="s">
        <v>4560</v>
      </c>
      <c r="F1620" s="3" t="s">
        <v>4559</v>
      </c>
      <c r="G1620" s="3" t="s">
        <v>4561</v>
      </c>
    </row>
    <row r="1621" spans="1:7">
      <c r="A1621" s="6">
        <v>42929</v>
      </c>
      <c r="B1621" s="3" t="s">
        <v>3494</v>
      </c>
      <c r="C1621" s="3" t="s">
        <v>21</v>
      </c>
      <c r="D1621" s="8" t="str">
        <f>HYPERLINK("http://npthd.inbcu.com/ViewContent.aspx?filename=NPMR_NBC_2017-07-13_W.MP4$5076$5166","COMMERCIAL")</f>
        <v>COMMERCIAL</v>
      </c>
      <c r="E1621" s="3" t="s">
        <v>46</v>
      </c>
      <c r="F1621" s="3" t="s">
        <v>4561</v>
      </c>
      <c r="G1621" s="3" t="s">
        <v>1066</v>
      </c>
    </row>
    <row r="1622" spans="1:7">
      <c r="A1622" s="6">
        <v>42929</v>
      </c>
      <c r="B1622" s="3" t="s">
        <v>3494</v>
      </c>
      <c r="C1622" s="3" t="s">
        <v>14</v>
      </c>
      <c r="D1622" s="8" t="str">
        <f>HYPERLINK("http://npthd.inbcu.com/ViewContent.aspx?filename=NPMR_NBC_2017-07-13_W.MP4$5166$5181","American Ninja Warrior")</f>
        <v>American Ninja Warrior</v>
      </c>
      <c r="E1622" s="3" t="s">
        <v>30</v>
      </c>
      <c r="F1622" s="3" t="s">
        <v>1066</v>
      </c>
      <c r="G1622" s="3" t="s">
        <v>1140</v>
      </c>
    </row>
    <row r="1623" spans="1:7">
      <c r="A1623" s="6">
        <v>42929</v>
      </c>
      <c r="B1623" s="3" t="s">
        <v>3494</v>
      </c>
      <c r="C1623" s="3" t="s">
        <v>32</v>
      </c>
      <c r="D1623" s="8" t="str">
        <f>HYPERLINK("http://npthd.inbcu.com/ViewContent.aspx?filename=NPMR_NBC_2017-07-13_W.MP4$5181$5276","LOCAL")</f>
        <v>LOCAL</v>
      </c>
      <c r="E1623" s="3" t="s">
        <v>2076</v>
      </c>
      <c r="F1623" s="3" t="s">
        <v>1140</v>
      </c>
      <c r="G1623" s="3" t="s">
        <v>4527</v>
      </c>
    </row>
    <row r="1624" spans="1:7">
      <c r="A1624" s="6">
        <v>42929</v>
      </c>
      <c r="B1624" s="3" t="s">
        <v>3494</v>
      </c>
      <c r="C1624" s="3" t="s">
        <v>14</v>
      </c>
      <c r="D1624" s="8" t="str">
        <f>HYPERLINK("http://npthd.inbcu.com/ViewContent.aspx?filename=NPMR_NBC_2017-07-13_W.MP4$5276$5291","Midnight Texas")</f>
        <v>Midnight Texas</v>
      </c>
      <c r="E1624" s="3" t="s">
        <v>30</v>
      </c>
      <c r="F1624" s="3" t="s">
        <v>4527</v>
      </c>
      <c r="G1624" s="3" t="s">
        <v>4562</v>
      </c>
    </row>
    <row r="1625" spans="1:7">
      <c r="A1625" s="6">
        <v>42929</v>
      </c>
      <c r="B1625" s="3" t="s">
        <v>3494</v>
      </c>
      <c r="C1625" s="3" t="s">
        <v>18</v>
      </c>
      <c r="D1625" s="8" t="str">
        <f>HYPERLINK("http://npthd.inbcu.com/ViewContent.aspx?filename=NPMR_NBC_2017-07-13_W.MP4$5291$5734","THE WALL: jeff and jamie")</f>
        <v>THE WALL: jeff and jamie</v>
      </c>
      <c r="E1625" s="3" t="s">
        <v>2348</v>
      </c>
      <c r="F1625" s="3" t="s">
        <v>4562</v>
      </c>
      <c r="G1625" s="3" t="s">
        <v>4563</v>
      </c>
    </row>
    <row r="1626" spans="1:7">
      <c r="A1626" s="6">
        <v>42929</v>
      </c>
      <c r="B1626" s="3" t="s">
        <v>3494</v>
      </c>
      <c r="C1626" s="3" t="s">
        <v>14</v>
      </c>
      <c r="D1626" s="8" t="str">
        <f>HYPERLINK("http://npthd.inbcu.com/ViewContent.aspx?filename=NPMR_NBC_2017-07-13_W.MP4$5734$5749","Americas Got Talent")</f>
        <v>Americas Got Talent</v>
      </c>
      <c r="E1626" s="3" t="s">
        <v>30</v>
      </c>
      <c r="F1626" s="3" t="s">
        <v>4563</v>
      </c>
      <c r="G1626" s="3" t="s">
        <v>2205</v>
      </c>
    </row>
    <row r="1627" spans="1:7">
      <c r="A1627" s="6">
        <v>42929</v>
      </c>
      <c r="B1627" s="3" t="s">
        <v>3494</v>
      </c>
      <c r="C1627" s="3" t="s">
        <v>21</v>
      </c>
      <c r="D1627" s="8" t="str">
        <f>HYPERLINK("http://npthd.inbcu.com/ViewContent.aspx?filename=NPMR_NBC_2017-07-13_W.MP4$5749$5929","COMMERCIAL")</f>
        <v>COMMERCIAL</v>
      </c>
      <c r="E1627" s="3" t="s">
        <v>22</v>
      </c>
      <c r="F1627" s="3" t="s">
        <v>2205</v>
      </c>
      <c r="G1627" s="3" t="s">
        <v>4564</v>
      </c>
    </row>
    <row r="1628" spans="1:7">
      <c r="A1628" s="6">
        <v>42929</v>
      </c>
      <c r="B1628" s="3" t="s">
        <v>3494</v>
      </c>
      <c r="C1628" s="3" t="s">
        <v>14</v>
      </c>
      <c r="D1628" s="8" t="str">
        <f>HYPERLINK("http://npthd.inbcu.com/ViewContent.aspx?filename=NPMR_NBC_2017-07-13_W.MP4$5929$5944","World of Dance")</f>
        <v>World of Dance</v>
      </c>
      <c r="E1628" s="3" t="s">
        <v>30</v>
      </c>
      <c r="F1628" s="3" t="s">
        <v>4564</v>
      </c>
      <c r="G1628" s="3" t="s">
        <v>4565</v>
      </c>
    </row>
    <row r="1629" spans="1:7">
      <c r="A1629" s="6">
        <v>42929</v>
      </c>
      <c r="B1629" s="3" t="s">
        <v>3494</v>
      </c>
      <c r="C1629" s="3" t="s">
        <v>18</v>
      </c>
      <c r="D1629" s="8" t="str">
        <f>HYPERLINK("http://npthd.inbcu.com/ViewContent.aspx?filename=NPMR_NBC_2017-07-13_W.MP4$5944$6438","THE WALL: jeff and jamie")</f>
        <v>THE WALL: jeff and jamie</v>
      </c>
      <c r="E1629" s="3" t="s">
        <v>386</v>
      </c>
      <c r="F1629" s="3" t="s">
        <v>4565</v>
      </c>
      <c r="G1629" s="3" t="s">
        <v>4566</v>
      </c>
    </row>
    <row r="1630" spans="1:7">
      <c r="A1630" s="6">
        <v>42929</v>
      </c>
      <c r="B1630" s="3" t="s">
        <v>3494</v>
      </c>
      <c r="C1630" s="3" t="s">
        <v>21</v>
      </c>
      <c r="D1630" s="8" t="str">
        <f>HYPERLINK("http://npthd.inbcu.com/ViewContent.aspx?filename=NPMR_NBC_2017-07-13_W.MP4$6438$6559","COMMERCIAL")</f>
        <v>COMMERCIAL</v>
      </c>
      <c r="E1630" s="3" t="s">
        <v>175</v>
      </c>
      <c r="F1630" s="3" t="s">
        <v>4566</v>
      </c>
      <c r="G1630" s="3" t="s">
        <v>4567</v>
      </c>
    </row>
    <row r="1631" spans="1:7">
      <c r="A1631" s="6">
        <v>42929</v>
      </c>
      <c r="B1631" s="3" t="s">
        <v>3494</v>
      </c>
      <c r="C1631" s="3" t="s">
        <v>14</v>
      </c>
      <c r="D1631" s="8" t="str">
        <f>HYPERLINK("http://npthd.inbcu.com/ViewContent.aspx?filename=NPMR_NBC_2017-07-13_W.MP4$6559$6562","Will &amp; Grace")</f>
        <v>Will &amp; Grace</v>
      </c>
      <c r="E1631" s="3" t="s">
        <v>393</v>
      </c>
      <c r="F1631" s="3" t="s">
        <v>4567</v>
      </c>
      <c r="G1631" s="3" t="s">
        <v>4568</v>
      </c>
    </row>
    <row r="1632" spans="1:7">
      <c r="A1632" s="6">
        <v>42929</v>
      </c>
      <c r="B1632" s="3" t="s">
        <v>3494</v>
      </c>
      <c r="C1632" s="3" t="s">
        <v>32</v>
      </c>
      <c r="D1632" s="8" t="str">
        <f>HYPERLINK("http://npthd.inbcu.com/ViewContent.aspx?filename=NPMR_NBC_2017-07-13_W.MP4$6562$6653","LOCAL")</f>
        <v>LOCAL</v>
      </c>
      <c r="E1632" s="3" t="s">
        <v>77</v>
      </c>
      <c r="F1632" s="3" t="s">
        <v>4568</v>
      </c>
      <c r="G1632" s="3" t="s">
        <v>2932</v>
      </c>
    </row>
    <row r="1633" spans="1:7">
      <c r="A1633" s="6">
        <v>42929</v>
      </c>
      <c r="B1633" s="3" t="s">
        <v>3494</v>
      </c>
      <c r="C1633" s="3" t="s">
        <v>14</v>
      </c>
      <c r="D1633" s="8" t="str">
        <f>HYPERLINK("http://npthd.inbcu.com/ViewContent.aspx?filename=NPMR_NBC_2017-07-13_W.MP4$6653$6668","Today")</f>
        <v>Today</v>
      </c>
      <c r="E1633" s="3" t="s">
        <v>30</v>
      </c>
      <c r="F1633" s="3" t="s">
        <v>2932</v>
      </c>
      <c r="G1633" s="3" t="s">
        <v>4569</v>
      </c>
    </row>
    <row r="1634" spans="1:7">
      <c r="A1634" s="6">
        <v>42929</v>
      </c>
      <c r="B1634" s="3" t="s">
        <v>3494</v>
      </c>
      <c r="C1634" s="3" t="s">
        <v>18</v>
      </c>
      <c r="D1634" s="8" t="str">
        <f>HYPERLINK("http://npthd.inbcu.com/ViewContent.aspx?filename=NPMR_NBC_2017-07-13_W.MP4$6668$6864","THE WALL: jeff and jamie")</f>
        <v>THE WALL: jeff and jamie</v>
      </c>
      <c r="E1634" s="3" t="s">
        <v>812</v>
      </c>
      <c r="F1634" s="3" t="s">
        <v>4569</v>
      </c>
      <c r="G1634" s="3" t="s">
        <v>4570</v>
      </c>
    </row>
    <row r="1635" spans="1:7">
      <c r="A1635" s="6">
        <v>42929</v>
      </c>
      <c r="B1635" s="3" t="s">
        <v>3494</v>
      </c>
      <c r="C1635" s="3" t="s">
        <v>21</v>
      </c>
      <c r="D1635" s="8" t="str">
        <f>HYPERLINK("http://npthd.inbcu.com/ViewContent.aspx?filename=NPMR_NBC_2017-07-13_W.MP4$6864$7046","COMMERCIAL")</f>
        <v>COMMERCIAL</v>
      </c>
      <c r="E1635" s="3" t="s">
        <v>275</v>
      </c>
      <c r="F1635" s="3" t="s">
        <v>4570</v>
      </c>
      <c r="G1635" s="3" t="s">
        <v>1863</v>
      </c>
    </row>
    <row r="1636" spans="1:7">
      <c r="A1636" s="6">
        <v>42929</v>
      </c>
      <c r="B1636" s="3" t="s">
        <v>3494</v>
      </c>
      <c r="C1636" s="3" t="s">
        <v>14</v>
      </c>
      <c r="D1636" s="8" t="str">
        <f>HYPERLINK("http://npthd.inbcu.com/ViewContent.aspx?filename=NPMR_NBC_2017-07-13_W.MP4$7046$7061","Brave, The")</f>
        <v>Brave, The</v>
      </c>
      <c r="E1636" s="3" t="s">
        <v>30</v>
      </c>
      <c r="F1636" s="3" t="s">
        <v>1863</v>
      </c>
      <c r="G1636" s="3" t="s">
        <v>4571</v>
      </c>
    </row>
    <row r="1637" spans="1:7">
      <c r="A1637" s="6">
        <v>42929</v>
      </c>
      <c r="B1637" s="3" t="s">
        <v>3494</v>
      </c>
      <c r="C1637" s="3" t="s">
        <v>14</v>
      </c>
      <c r="D1637" s="8" t="str">
        <f>HYPERLINK("http://npthd.inbcu.com/ViewContent.aspx?filename=NPMR_NBC_2017-07-13_W.MP4$7061$7076","Night Shift, The")</f>
        <v>Night Shift, The</v>
      </c>
      <c r="E1637" s="3" t="s">
        <v>30</v>
      </c>
      <c r="F1637" s="3" t="s">
        <v>4571</v>
      </c>
      <c r="G1637" s="3" t="s">
        <v>4572</v>
      </c>
    </row>
    <row r="1638" spans="1:7">
      <c r="A1638" s="6">
        <v>42929</v>
      </c>
      <c r="B1638" s="3" t="s">
        <v>3494</v>
      </c>
      <c r="C1638" s="3" t="s">
        <v>18</v>
      </c>
      <c r="D1638" s="8" t="str">
        <f>HYPERLINK("http://npthd.inbcu.com/ViewContent.aspx?filename=NPMR_NBC_2017-07-13_W.MP4$7076$7262","THE WALL: jeff and jamie")</f>
        <v>THE WALL: jeff and jamie</v>
      </c>
      <c r="E1638" s="3" t="s">
        <v>3468</v>
      </c>
      <c r="F1638" s="3" t="s">
        <v>4572</v>
      </c>
      <c r="G1638" s="3" t="s">
        <v>1366</v>
      </c>
    </row>
    <row r="1639" spans="1:7">
      <c r="A1639" s="6">
        <v>42929</v>
      </c>
      <c r="B1639" s="3" t="s">
        <v>3494</v>
      </c>
      <c r="C1639" s="3" t="s">
        <v>14</v>
      </c>
      <c r="D1639" s="8" t="str">
        <f>HYPERLINK("http://npthd.inbcu.com/ViewContent.aspx?filename=NPMR_NBC_2017-07-13_W.MP4$7262$7278","Wall, The")</f>
        <v>Wall, The</v>
      </c>
      <c r="E1639" s="3" t="s">
        <v>64</v>
      </c>
      <c r="F1639" s="3" t="s">
        <v>1366</v>
      </c>
      <c r="G1639" s="3" t="s">
        <v>182</v>
      </c>
    </row>
    <row r="1640" spans="1:7">
      <c r="A1640" s="6">
        <v>42929</v>
      </c>
      <c r="B1640" s="3" t="s">
        <v>3494</v>
      </c>
      <c r="C1640" s="3" t="s">
        <v>14</v>
      </c>
      <c r="D1640" s="8" t="str">
        <f>HYPERLINK("http://npthd.inbcu.com/ViewContent.aspx?filename=NPMR_NBC_2017-07-13_W.MP4$7278$7292","Night Shift, The")</f>
        <v>Night Shift, The</v>
      </c>
      <c r="E1640" s="3" t="s">
        <v>342</v>
      </c>
      <c r="F1640" s="3" t="s">
        <v>182</v>
      </c>
      <c r="G1640" s="3" t="s">
        <v>3531</v>
      </c>
    </row>
    <row r="1641" spans="1:7">
      <c r="A1641" s="6">
        <v>42929</v>
      </c>
      <c r="B1641" s="3" t="s">
        <v>3494</v>
      </c>
      <c r="C1641" s="3" t="s">
        <v>18</v>
      </c>
      <c r="D1641" s="8" t="str">
        <f>HYPERLINK("http://npthd.inbcu.com/ViewContent.aspx?filename=NPMR_NBC_2017-07-13_W.MP4$7292$7299","THE WALL: jeff and jamie")</f>
        <v>THE WALL: jeff and jamie</v>
      </c>
      <c r="E1641" s="3" t="s">
        <v>567</v>
      </c>
      <c r="F1641" s="3" t="s">
        <v>3531</v>
      </c>
      <c r="G1641" s="3" t="s">
        <v>394</v>
      </c>
    </row>
    <row r="1642" spans="1:7">
      <c r="A1642" s="6">
        <v>42929</v>
      </c>
      <c r="B1642" s="3" t="s">
        <v>3494</v>
      </c>
      <c r="C1642" s="3" t="s">
        <v>18</v>
      </c>
      <c r="D1642" s="8" t="str">
        <f>HYPERLINK("http://npthd.inbcu.com/ViewContent.aspx?filename=NPMR_NBC_2017-07-13_W.MP4$7299$7886","THE NIGHT SHIFT: control")</f>
        <v>THE NIGHT SHIFT: control</v>
      </c>
      <c r="E1642" s="3" t="s">
        <v>3133</v>
      </c>
      <c r="F1642" s="3" t="s">
        <v>394</v>
      </c>
      <c r="G1642" s="3" t="s">
        <v>4573</v>
      </c>
    </row>
    <row r="1643" spans="1:7">
      <c r="A1643" s="6">
        <v>42929</v>
      </c>
      <c r="B1643" s="3" t="s">
        <v>3494</v>
      </c>
      <c r="C1643" s="3" t="s">
        <v>21</v>
      </c>
      <c r="D1643" s="8" t="str">
        <f>HYPERLINK("http://npthd.inbcu.com/ViewContent.aspx?filename=NPMR_NBC_2017-07-13_W.MP4$7886$8037","COMMERCIAL")</f>
        <v>COMMERCIAL</v>
      </c>
      <c r="E1643" s="3" t="s">
        <v>91</v>
      </c>
      <c r="F1643" s="3" t="s">
        <v>4573</v>
      </c>
      <c r="G1643" s="3" t="s">
        <v>4536</v>
      </c>
    </row>
    <row r="1644" spans="1:7">
      <c r="A1644" s="6">
        <v>42929</v>
      </c>
      <c r="B1644" s="3" t="s">
        <v>3494</v>
      </c>
      <c r="C1644" s="3" t="s">
        <v>14</v>
      </c>
      <c r="D1644" s="8" t="str">
        <f>HYPERLINK("http://npthd.inbcu.com/ViewContent.aspx?filename=NPMR_NBC_2017-07-13_W.MP4$8037$8052","Golf on NBC")</f>
        <v>Golf on NBC</v>
      </c>
      <c r="E1644" s="3" t="s">
        <v>30</v>
      </c>
      <c r="F1644" s="3" t="s">
        <v>4536</v>
      </c>
      <c r="G1644" s="3" t="s">
        <v>4574</v>
      </c>
    </row>
    <row r="1645" spans="1:7">
      <c r="A1645" s="6">
        <v>42929</v>
      </c>
      <c r="B1645" s="3" t="s">
        <v>3494</v>
      </c>
      <c r="C1645" s="3" t="s">
        <v>32</v>
      </c>
      <c r="D1645" s="8" t="str">
        <f>HYPERLINK("http://npthd.inbcu.com/ViewContent.aspx?filename=NPMR_NBC_2017-07-13_W.MP4$8052$8083","LOCAL")</f>
        <v>LOCAL</v>
      </c>
      <c r="E1645" s="3" t="s">
        <v>98</v>
      </c>
      <c r="F1645" s="3" t="s">
        <v>4574</v>
      </c>
      <c r="G1645" s="3" t="s">
        <v>677</v>
      </c>
    </row>
    <row r="1646" spans="1:7">
      <c r="A1646" s="6">
        <v>42929</v>
      </c>
      <c r="B1646" s="3" t="s">
        <v>3494</v>
      </c>
      <c r="C1646" s="3" t="s">
        <v>18</v>
      </c>
      <c r="D1646" s="8" t="str">
        <f>HYPERLINK("http://npthd.inbcu.com/ViewContent.aspx?filename=NPMR_NBC_2017-07-13_W.MP4$8083$8410","THE NIGHT SHIFT: control")</f>
        <v>THE NIGHT SHIFT: control</v>
      </c>
      <c r="E1646" s="3" t="s">
        <v>1333</v>
      </c>
      <c r="F1646" s="3" t="s">
        <v>677</v>
      </c>
      <c r="G1646" s="3" t="s">
        <v>4575</v>
      </c>
    </row>
    <row r="1647" spans="1:7">
      <c r="A1647" s="6">
        <v>42929</v>
      </c>
      <c r="B1647" s="3" t="s">
        <v>3494</v>
      </c>
      <c r="C1647" s="3" t="s">
        <v>21</v>
      </c>
      <c r="D1647" s="8" t="str">
        <f>HYPERLINK("http://npthd.inbcu.com/ViewContent.aspx?filename=NPMR_NBC_2017-07-13_W.MP4$8410$8591","COMMERCIAL")</f>
        <v>COMMERCIAL</v>
      </c>
      <c r="E1647" s="3" t="s">
        <v>108</v>
      </c>
      <c r="F1647" s="3" t="s">
        <v>4575</v>
      </c>
      <c r="G1647" s="3" t="s">
        <v>1518</v>
      </c>
    </row>
    <row r="1648" spans="1:7">
      <c r="A1648" s="6">
        <v>42929</v>
      </c>
      <c r="B1648" s="3" t="s">
        <v>3494</v>
      </c>
      <c r="C1648" s="3" t="s">
        <v>14</v>
      </c>
      <c r="D1648" s="8" t="str">
        <f>HYPERLINK("http://npthd.inbcu.com/ViewContent.aspx?filename=NPMR_NBC_2017-07-13_W.MP4$8591$8621","Brave, The")</f>
        <v>Brave, The</v>
      </c>
      <c r="E1648" s="3" t="s">
        <v>38</v>
      </c>
      <c r="F1648" s="3" t="s">
        <v>1518</v>
      </c>
      <c r="G1648" s="3" t="s">
        <v>4576</v>
      </c>
    </row>
    <row r="1649" spans="1:7">
      <c r="A1649" s="6">
        <v>42929</v>
      </c>
      <c r="B1649" s="3" t="s">
        <v>3494</v>
      </c>
      <c r="C1649" s="3" t="s">
        <v>18</v>
      </c>
      <c r="D1649" s="8" t="str">
        <f>HYPERLINK("http://npthd.inbcu.com/ViewContent.aspx?filename=NPMR_NBC_2017-07-13_W.MP4$8621$9101","THE NIGHT SHIFT: control")</f>
        <v>THE NIGHT SHIFT: control</v>
      </c>
      <c r="E1649" s="3" t="s">
        <v>484</v>
      </c>
      <c r="F1649" s="3" t="s">
        <v>4576</v>
      </c>
      <c r="G1649" s="3" t="s">
        <v>4082</v>
      </c>
    </row>
    <row r="1650" spans="1:7">
      <c r="A1650" s="6">
        <v>42929</v>
      </c>
      <c r="B1650" s="3" t="s">
        <v>3494</v>
      </c>
      <c r="C1650" s="3" t="s">
        <v>21</v>
      </c>
      <c r="D1650" s="8" t="str">
        <f>HYPERLINK("http://npthd.inbcu.com/ViewContent.aspx?filename=NPMR_NBC_2017-07-13_W.MP4$9101$9193","COMMERCIAL")</f>
        <v>COMMERCIAL</v>
      </c>
      <c r="E1650" s="3" t="s">
        <v>267</v>
      </c>
      <c r="F1650" s="3" t="s">
        <v>4082</v>
      </c>
      <c r="G1650" s="3" t="s">
        <v>4577</v>
      </c>
    </row>
    <row r="1651" spans="1:7">
      <c r="A1651" s="6">
        <v>42929</v>
      </c>
      <c r="B1651" s="3" t="s">
        <v>3494</v>
      </c>
      <c r="C1651" s="3" t="s">
        <v>14</v>
      </c>
      <c r="D1651" s="8" t="str">
        <f>HYPERLINK("http://npthd.inbcu.com/ViewContent.aspx?filename=NPMR_NBC_2017-07-13_W.MP4$9193$9198","Late Night with Seth Meyers")</f>
        <v>Late Night with Seth Meyers</v>
      </c>
      <c r="E1651" s="3" t="s">
        <v>54</v>
      </c>
      <c r="F1651" s="3" t="s">
        <v>4577</v>
      </c>
      <c r="G1651" s="3" t="s">
        <v>4578</v>
      </c>
    </row>
    <row r="1652" spans="1:7">
      <c r="A1652" s="6">
        <v>42929</v>
      </c>
      <c r="B1652" s="3" t="s">
        <v>3494</v>
      </c>
      <c r="C1652" s="3" t="s">
        <v>32</v>
      </c>
      <c r="D1652" s="8" t="str">
        <f>HYPERLINK("http://npthd.inbcu.com/ViewContent.aspx?filename=NPMR_NBC_2017-07-13_W.MP4$9198$9332","LOCAL")</f>
        <v>LOCAL</v>
      </c>
      <c r="E1652" s="3" t="s">
        <v>1397</v>
      </c>
      <c r="F1652" s="3" t="s">
        <v>4578</v>
      </c>
      <c r="G1652" s="3" t="s">
        <v>4579</v>
      </c>
    </row>
    <row r="1653" spans="1:7">
      <c r="A1653" s="6">
        <v>42929</v>
      </c>
      <c r="B1653" s="3" t="s">
        <v>3494</v>
      </c>
      <c r="C1653" s="3" t="s">
        <v>14</v>
      </c>
      <c r="D1653" s="8" t="str">
        <f>HYPERLINK("http://npthd.inbcu.com/ViewContent.aspx?filename=NPMR_NBC_2017-07-13_W.MP4$9332$9347","Law &amp; Order True Crime Menendez")</f>
        <v>Law &amp; Order True Crime Menendez</v>
      </c>
      <c r="E1653" s="3" t="s">
        <v>30</v>
      </c>
      <c r="F1653" s="3" t="s">
        <v>4579</v>
      </c>
      <c r="G1653" s="3" t="s">
        <v>687</v>
      </c>
    </row>
    <row r="1654" spans="1:7">
      <c r="A1654" s="6">
        <v>42929</v>
      </c>
      <c r="B1654" s="3" t="s">
        <v>3494</v>
      </c>
      <c r="C1654" s="3" t="s">
        <v>18</v>
      </c>
      <c r="D1654" s="8" t="str">
        <f>HYPERLINK("http://npthd.inbcu.com/ViewContent.aspx?filename=NPMR_NBC_2017-07-13_W.MP4$9347$9737","THE NIGHT SHIFT: control")</f>
        <v>THE NIGHT SHIFT: control</v>
      </c>
      <c r="E1654" s="3" t="s">
        <v>1382</v>
      </c>
      <c r="F1654" s="3" t="s">
        <v>687</v>
      </c>
      <c r="G1654" s="3" t="s">
        <v>4232</v>
      </c>
    </row>
    <row r="1655" spans="1:7">
      <c r="A1655" s="6">
        <v>42929</v>
      </c>
      <c r="B1655" s="3" t="s">
        <v>3494</v>
      </c>
      <c r="C1655" s="3" t="s">
        <v>21</v>
      </c>
      <c r="D1655" s="8" t="str">
        <f>HYPERLINK("http://npthd.inbcu.com/ViewContent.aspx?filename=NPMR_NBC_2017-07-13_W.MP4$9737$9918","COMMERCIAL")</f>
        <v>COMMERCIAL</v>
      </c>
      <c r="E1655" s="3" t="s">
        <v>108</v>
      </c>
      <c r="F1655" s="3" t="s">
        <v>4232</v>
      </c>
      <c r="G1655" s="3" t="s">
        <v>4580</v>
      </c>
    </row>
    <row r="1656" spans="1:7">
      <c r="A1656" s="6">
        <v>42929</v>
      </c>
      <c r="B1656" s="3" t="s">
        <v>3494</v>
      </c>
      <c r="C1656" s="3" t="s">
        <v>14</v>
      </c>
      <c r="D1656" s="8" t="str">
        <f>HYPERLINK("http://npthd.inbcu.com/ViewContent.aspx?filename=NPMR_NBC_2017-07-13_W.MP4$9918$9933","Midnight Texas")</f>
        <v>Midnight Texas</v>
      </c>
      <c r="E1656" s="3" t="s">
        <v>30</v>
      </c>
      <c r="F1656" s="3" t="s">
        <v>4580</v>
      </c>
      <c r="G1656" s="3" t="s">
        <v>4581</v>
      </c>
    </row>
    <row r="1657" spans="1:7">
      <c r="A1657" s="6">
        <v>42929</v>
      </c>
      <c r="B1657" s="3" t="s">
        <v>3494</v>
      </c>
      <c r="C1657" s="3" t="s">
        <v>14</v>
      </c>
      <c r="D1657" s="8" t="str">
        <f>HYPERLINK("http://npthd.inbcu.com/ViewContent.aspx?filename=NPMR_NBC_2017-07-13_W.MP4$9933$9948","Cold Justice (Oxygen)")</f>
        <v>Cold Justice (Oxygen)</v>
      </c>
      <c r="E1657" s="3" t="s">
        <v>30</v>
      </c>
      <c r="F1657" s="3" t="s">
        <v>4581</v>
      </c>
      <c r="G1657" s="3" t="s">
        <v>4582</v>
      </c>
    </row>
    <row r="1658" spans="1:7">
      <c r="A1658" s="6">
        <v>42929</v>
      </c>
      <c r="B1658" s="3" t="s">
        <v>3494</v>
      </c>
      <c r="C1658" s="3" t="s">
        <v>18</v>
      </c>
      <c r="D1658" s="8" t="str">
        <f>HYPERLINK("http://npthd.inbcu.com/ViewContent.aspx?filename=NPMR_NBC_2017-07-13_W.MP4$9948$10341","THE NIGHT SHIFT: control")</f>
        <v>THE NIGHT SHIFT: control</v>
      </c>
      <c r="E1658" s="3" t="s">
        <v>765</v>
      </c>
      <c r="F1658" s="3" t="s">
        <v>4582</v>
      </c>
      <c r="G1658" s="3" t="s">
        <v>2236</v>
      </c>
    </row>
    <row r="1659" spans="1:7">
      <c r="A1659" s="6">
        <v>42929</v>
      </c>
      <c r="B1659" s="3" t="s">
        <v>3494</v>
      </c>
      <c r="C1659" s="3" t="s">
        <v>21</v>
      </c>
      <c r="D1659" s="8" t="str">
        <f>HYPERLINK("http://npthd.inbcu.com/ViewContent.aspx?filename=NPMR_NBC_2017-07-13_W.MP4$10341$10492","COMMERCIAL")</f>
        <v>COMMERCIAL</v>
      </c>
      <c r="E1659" s="3" t="s">
        <v>91</v>
      </c>
      <c r="F1659" s="3" t="s">
        <v>2236</v>
      </c>
      <c r="G1659" s="3" t="s">
        <v>2237</v>
      </c>
    </row>
    <row r="1660" spans="1:7">
      <c r="A1660" s="6">
        <v>42929</v>
      </c>
      <c r="B1660" s="3" t="s">
        <v>3494</v>
      </c>
      <c r="C1660" s="3" t="s">
        <v>32</v>
      </c>
      <c r="D1660" s="8" t="str">
        <f>HYPERLINK("http://npthd.inbcu.com/ViewContent.aspx?filename=NPMR_NBC_2017-07-13_W.MP4$10492$10507","LOCAL")</f>
        <v>LOCAL</v>
      </c>
      <c r="E1660" s="3" t="s">
        <v>30</v>
      </c>
      <c r="F1660" s="3" t="s">
        <v>2237</v>
      </c>
      <c r="G1660" s="3" t="s">
        <v>4583</v>
      </c>
    </row>
    <row r="1661" spans="1:7">
      <c r="A1661" s="6">
        <v>42929</v>
      </c>
      <c r="B1661" s="3" t="s">
        <v>3494</v>
      </c>
      <c r="C1661" s="3" t="s">
        <v>14</v>
      </c>
      <c r="D1661" s="8" t="str">
        <f>HYPERLINK("http://npthd.inbcu.com/ViewContent.aspx?filename=NPMR_NBC_2017-07-13_W.MP4$10507$10518","Tonight Show starring Jimmy Fallon, The")</f>
        <v>Tonight Show starring Jimmy Fallon, The</v>
      </c>
      <c r="E1661" s="3" t="s">
        <v>1940</v>
      </c>
      <c r="F1661" s="3" t="s">
        <v>4583</v>
      </c>
      <c r="G1661" s="3" t="s">
        <v>4505</v>
      </c>
    </row>
    <row r="1662" spans="1:7">
      <c r="A1662" s="6">
        <v>42929</v>
      </c>
      <c r="B1662" s="3" t="s">
        <v>3494</v>
      </c>
      <c r="C1662" s="3" t="s">
        <v>14</v>
      </c>
      <c r="D1662" s="8" t="str">
        <f>HYPERLINK("http://npthd.inbcu.com/ViewContent.aspx?filename=NPMR_NBC_2017-07-13_W.MP4$10518$10523","Will &amp; Grace")</f>
        <v>Will &amp; Grace</v>
      </c>
      <c r="E1662" s="3" t="s">
        <v>54</v>
      </c>
      <c r="F1662" s="3" t="s">
        <v>4505</v>
      </c>
      <c r="G1662" s="3" t="s">
        <v>4584</v>
      </c>
    </row>
    <row r="1663" spans="1:7">
      <c r="A1663" s="6">
        <v>42929</v>
      </c>
      <c r="B1663" s="3" t="s">
        <v>3494</v>
      </c>
      <c r="C1663" s="3" t="s">
        <v>18</v>
      </c>
      <c r="D1663" s="8" t="str">
        <f>HYPERLINK("http://npthd.inbcu.com/ViewContent.aspx?filename=NPMR_NBC_2017-07-13_W.MP4$10523$10834","THE NIGHT SHIFT: control")</f>
        <v>THE NIGHT SHIFT: control</v>
      </c>
      <c r="E1663" s="3" t="s">
        <v>2726</v>
      </c>
      <c r="F1663" s="3" t="s">
        <v>4584</v>
      </c>
      <c r="G1663" s="3" t="s">
        <v>4585</v>
      </c>
    </row>
    <row r="1664" spans="1:7">
      <c r="A1664" s="6">
        <v>42929</v>
      </c>
      <c r="B1664" s="3" t="s">
        <v>3494</v>
      </c>
      <c r="C1664" s="3" t="s">
        <v>14</v>
      </c>
      <c r="D1664" s="8" t="str">
        <f>HYPERLINK("http://npthd.inbcu.com/ViewContent.aspx?filename=NPMR_NBC_2017-07-13_W.MP4$10834$10850","Night Shift, The")</f>
        <v>Night Shift, The</v>
      </c>
      <c r="E1664" s="3" t="s">
        <v>64</v>
      </c>
      <c r="F1664" s="3" t="s">
        <v>4585</v>
      </c>
      <c r="G1664" s="3" t="s">
        <v>2238</v>
      </c>
    </row>
    <row r="1665" spans="1:7">
      <c r="A1665" s="6">
        <v>42929</v>
      </c>
      <c r="B1665" s="3" t="s">
        <v>3494</v>
      </c>
      <c r="C1665" s="3" t="s">
        <v>14</v>
      </c>
      <c r="D1665" s="8" t="str">
        <f>HYPERLINK("http://npthd.inbcu.com/ViewContent.aspx?filename=NPMR_NBC_2017-07-13_W.MP4$10850$10865","Midnight Texas")</f>
        <v>Midnight Texas</v>
      </c>
      <c r="E1665" s="3" t="s">
        <v>30</v>
      </c>
      <c r="F1665" s="3" t="s">
        <v>2238</v>
      </c>
      <c r="G1665" s="3" t="s">
        <v>3604</v>
      </c>
    </row>
    <row r="1666" spans="1:7">
      <c r="A1666" s="6">
        <v>42929</v>
      </c>
      <c r="B1666" s="3" t="s">
        <v>3494</v>
      </c>
      <c r="C1666" s="3" t="s">
        <v>18</v>
      </c>
      <c r="D1666" s="8" t="str">
        <f>HYPERLINK("http://npthd.inbcu.com/ViewContent.aspx?filename=NPMR_NBC_2017-07-13_W.MP4$10865$10869","THE NIGHT SHIFT: control")</f>
        <v>THE NIGHT SHIFT: control</v>
      </c>
      <c r="E1666" s="3" t="s">
        <v>84</v>
      </c>
      <c r="F1666" s="3" t="s">
        <v>3604</v>
      </c>
      <c r="G1666" s="3" t="s">
        <v>3554</v>
      </c>
    </row>
    <row r="1667" spans="1:7">
      <c r="A1667" s="6">
        <v>42929</v>
      </c>
      <c r="B1667" s="3" t="s">
        <v>3494</v>
      </c>
      <c r="C1667" s="3" t="s">
        <v>32</v>
      </c>
      <c r="D1667" s="8" t="str">
        <f>HYPERLINK("http://npthd.inbcu.com/ViewContent.aspx?filename=NPMR_NBC_2017-07-13_W.MP4$10869$10899","LOCAL")</f>
        <v>LOCAL</v>
      </c>
      <c r="E1667" s="3" t="s">
        <v>38</v>
      </c>
      <c r="F1667" s="3" t="s">
        <v>3554</v>
      </c>
      <c r="G1667" s="3" t="s">
        <v>124</v>
      </c>
    </row>
    <row r="1668" spans="1:7">
      <c r="A1668" s="6">
        <v>42930</v>
      </c>
      <c r="B1668" s="3" t="s">
        <v>3494</v>
      </c>
      <c r="C1668" s="3" t="s">
        <v>18</v>
      </c>
      <c r="D1668" s="8" t="str">
        <f>HYPERLINK("http://npthd.inbcu.com/ViewContent.aspx?filename=NPMR_NBC_2017-07-14_E.MP4$101$655","AMERICAS GOT TALENT: auditions 6")</f>
        <v>AMERICAS GOT TALENT: auditions 6</v>
      </c>
      <c r="E1668" s="3" t="s">
        <v>217</v>
      </c>
      <c r="F1668" s="3" t="s">
        <v>16</v>
      </c>
      <c r="G1668" s="3" t="s">
        <v>4470</v>
      </c>
    </row>
    <row r="1669" spans="1:7">
      <c r="A1669" s="6">
        <v>42930</v>
      </c>
      <c r="B1669" s="3" t="s">
        <v>3494</v>
      </c>
      <c r="C1669" s="3" t="s">
        <v>21</v>
      </c>
      <c r="D1669" s="8" t="str">
        <f>HYPERLINK("http://npthd.inbcu.com/ViewContent.aspx?filename=NPMR_NBC_2017-07-14_E.MP4$655$836","COMMERCIAL")</f>
        <v>COMMERCIAL</v>
      </c>
      <c r="E1669" s="3" t="s">
        <v>108</v>
      </c>
      <c r="F1669" s="3" t="s">
        <v>4470</v>
      </c>
      <c r="G1669" s="3" t="s">
        <v>4471</v>
      </c>
    </row>
    <row r="1670" spans="1:7">
      <c r="A1670" s="6">
        <v>42930</v>
      </c>
      <c r="B1670" s="3" t="s">
        <v>3494</v>
      </c>
      <c r="C1670" s="3" t="s">
        <v>14</v>
      </c>
      <c r="D1670" s="8" t="str">
        <f>HYPERLINK("http://npthd.inbcu.com/ViewContent.aspx?filename=NPMR_NBC_2017-07-14_E.MP4$836$851","Cold Justice (Oxygen)")</f>
        <v>Cold Justice (Oxygen)</v>
      </c>
      <c r="E1670" s="3" t="s">
        <v>30</v>
      </c>
      <c r="F1670" s="3" t="s">
        <v>4471</v>
      </c>
      <c r="G1670" s="3" t="s">
        <v>4586</v>
      </c>
    </row>
    <row r="1671" spans="1:7">
      <c r="A1671" s="6">
        <v>42930</v>
      </c>
      <c r="B1671" s="3" t="s">
        <v>3494</v>
      </c>
      <c r="C1671" s="3" t="s">
        <v>18</v>
      </c>
      <c r="D1671" s="8" t="str">
        <f>HYPERLINK("http://npthd.inbcu.com/ViewContent.aspx?filename=NPMR_NBC_2017-07-14_E.MP4$851$1177","AMERICAS GOT TALENT: auditions 6")</f>
        <v>AMERICAS GOT TALENT: auditions 6</v>
      </c>
      <c r="E1671" s="3" t="s">
        <v>1215</v>
      </c>
      <c r="F1671" s="3" t="s">
        <v>4586</v>
      </c>
      <c r="G1671" s="3" t="s">
        <v>427</v>
      </c>
    </row>
    <row r="1672" spans="1:7">
      <c r="A1672" s="6">
        <v>42930</v>
      </c>
      <c r="B1672" s="3" t="s">
        <v>3494</v>
      </c>
      <c r="C1672" s="3" t="s">
        <v>21</v>
      </c>
      <c r="D1672" s="8" t="str">
        <f>HYPERLINK("http://npthd.inbcu.com/ViewContent.aspx?filename=NPMR_NBC_2017-07-14_E.MP4$1177$1267","COMMERCIAL")</f>
        <v>COMMERCIAL</v>
      </c>
      <c r="E1672" s="3" t="s">
        <v>46</v>
      </c>
      <c r="F1672" s="3" t="s">
        <v>427</v>
      </c>
      <c r="G1672" s="3" t="s">
        <v>2890</v>
      </c>
    </row>
    <row r="1673" spans="1:7">
      <c r="A1673" s="6">
        <v>42930</v>
      </c>
      <c r="B1673" s="3" t="s">
        <v>3494</v>
      </c>
      <c r="C1673" s="3" t="s">
        <v>14</v>
      </c>
      <c r="D1673" s="8" t="str">
        <f>HYPERLINK("http://npthd.inbcu.com/ViewContent.aspx?filename=NPMR_NBC_2017-07-14_E.MP4$1267$1277","NFL Network")</f>
        <v>NFL Network</v>
      </c>
      <c r="E1673" s="3" t="s">
        <v>197</v>
      </c>
      <c r="F1673" s="3" t="s">
        <v>2890</v>
      </c>
      <c r="G1673" s="3" t="s">
        <v>2891</v>
      </c>
    </row>
    <row r="1674" spans="1:7">
      <c r="A1674" s="6">
        <v>42930</v>
      </c>
      <c r="B1674" s="3" t="s">
        <v>3494</v>
      </c>
      <c r="C1674" s="3" t="s">
        <v>14</v>
      </c>
      <c r="D1674" s="8" t="str">
        <f>HYPERLINK("http://npthd.inbcu.com/ViewContent.aspx?filename=NPMR_NBC_2017-07-14_E.MP4$1277$1282","American Ninja Warrior")</f>
        <v>American Ninja Warrior</v>
      </c>
      <c r="E1674" s="3" t="s">
        <v>54</v>
      </c>
      <c r="F1674" s="3" t="s">
        <v>2891</v>
      </c>
      <c r="G1674" s="3" t="s">
        <v>3002</v>
      </c>
    </row>
    <row r="1675" spans="1:7">
      <c r="A1675" s="6">
        <v>42930</v>
      </c>
      <c r="B1675" s="3" t="s">
        <v>3494</v>
      </c>
      <c r="C1675" s="3" t="s">
        <v>32</v>
      </c>
      <c r="D1675" s="8" t="str">
        <f>HYPERLINK("http://npthd.inbcu.com/ViewContent.aspx?filename=NPMR_NBC_2017-07-14_E.MP4$1282$1346","LOCAL")</f>
        <v>LOCAL</v>
      </c>
      <c r="E1675" s="3" t="s">
        <v>1902</v>
      </c>
      <c r="F1675" s="3" t="s">
        <v>3002</v>
      </c>
      <c r="G1675" s="3" t="s">
        <v>3559</v>
      </c>
    </row>
    <row r="1676" spans="1:7">
      <c r="A1676" s="6">
        <v>42930</v>
      </c>
      <c r="B1676" s="3" t="s">
        <v>3494</v>
      </c>
      <c r="C1676" s="3" t="s">
        <v>14</v>
      </c>
      <c r="D1676" s="8" t="str">
        <f>HYPERLINK("http://npthd.inbcu.com/ViewContent.aspx?filename=NPMR_NBC_2017-07-14_E.MP4$1346$1361","World of Dance")</f>
        <v>World of Dance</v>
      </c>
      <c r="E1676" s="3" t="s">
        <v>30</v>
      </c>
      <c r="F1676" s="3" t="s">
        <v>3559</v>
      </c>
      <c r="G1676" s="3" t="s">
        <v>3560</v>
      </c>
    </row>
    <row r="1677" spans="1:7">
      <c r="A1677" s="6">
        <v>42930</v>
      </c>
      <c r="B1677" s="3" t="s">
        <v>3494</v>
      </c>
      <c r="C1677" s="3" t="s">
        <v>18</v>
      </c>
      <c r="D1677" s="8" t="str">
        <f>HYPERLINK("http://npthd.inbcu.com/ViewContent.aspx?filename=NPMR_NBC_2017-07-14_E.MP4$1361$1849","AMERICAS GOT TALENT: auditions 6")</f>
        <v>AMERICAS GOT TALENT: auditions 6</v>
      </c>
      <c r="E1677" s="3" t="s">
        <v>1546</v>
      </c>
      <c r="F1677" s="3" t="s">
        <v>3560</v>
      </c>
      <c r="G1677" s="3" t="s">
        <v>4587</v>
      </c>
    </row>
    <row r="1678" spans="1:7">
      <c r="A1678" s="6">
        <v>42930</v>
      </c>
      <c r="B1678" s="3" t="s">
        <v>3494</v>
      </c>
      <c r="C1678" s="3" t="s">
        <v>14</v>
      </c>
      <c r="D1678" s="8" t="str">
        <f>HYPERLINK("http://npthd.inbcu.com/ViewContent.aspx?filename=NPMR_NBC_2017-07-14_E.MP4$1849$1864","Midnight Texas")</f>
        <v>Midnight Texas</v>
      </c>
      <c r="E1678" s="3" t="s">
        <v>30</v>
      </c>
      <c r="F1678" s="3" t="s">
        <v>4587</v>
      </c>
      <c r="G1678" s="3" t="s">
        <v>4588</v>
      </c>
    </row>
    <row r="1679" spans="1:7">
      <c r="A1679" s="6">
        <v>42930</v>
      </c>
      <c r="B1679" s="3" t="s">
        <v>3494</v>
      </c>
      <c r="C1679" s="3" t="s">
        <v>21</v>
      </c>
      <c r="D1679" s="8" t="str">
        <f>HYPERLINK("http://npthd.inbcu.com/ViewContent.aspx?filename=NPMR_NBC_2017-07-14_E.MP4$1864$2044","COMMERCIAL")</f>
        <v>COMMERCIAL</v>
      </c>
      <c r="E1679" s="3" t="s">
        <v>22</v>
      </c>
      <c r="F1679" s="3" t="s">
        <v>4588</v>
      </c>
      <c r="G1679" s="3" t="s">
        <v>864</v>
      </c>
    </row>
    <row r="1680" spans="1:7">
      <c r="A1680" s="6">
        <v>42930</v>
      </c>
      <c r="B1680" s="3" t="s">
        <v>3494</v>
      </c>
      <c r="C1680" s="3" t="s">
        <v>1618</v>
      </c>
      <c r="D1680" s="8" t="str">
        <f>HYPERLINK("http://npthd.inbcu.com/ViewContent.aspx?filename=NPMR_NBC_2017-07-14_E.MP4$2044$2074","PSA")</f>
        <v>PSA</v>
      </c>
      <c r="E1680" s="3" t="s">
        <v>38</v>
      </c>
      <c r="F1680" s="3" t="s">
        <v>864</v>
      </c>
      <c r="G1680" s="3" t="s">
        <v>865</v>
      </c>
    </row>
    <row r="1681" spans="1:7">
      <c r="A1681" s="6">
        <v>42930</v>
      </c>
      <c r="B1681" s="3" t="s">
        <v>3494</v>
      </c>
      <c r="C1681" s="3" t="s">
        <v>18</v>
      </c>
      <c r="D1681" s="8" t="str">
        <f>HYPERLINK("http://npthd.inbcu.com/ViewContent.aspx?filename=NPMR_NBC_2017-07-14_E.MP4$2074$2449","AMERICAS GOT TALENT: auditions 6")</f>
        <v>AMERICAS GOT TALENT: auditions 6</v>
      </c>
      <c r="E1681" s="3" t="s">
        <v>3802</v>
      </c>
      <c r="F1681" s="3" t="s">
        <v>865</v>
      </c>
      <c r="G1681" s="3" t="s">
        <v>4589</v>
      </c>
    </row>
    <row r="1682" spans="1:7">
      <c r="A1682" s="6">
        <v>42930</v>
      </c>
      <c r="B1682" s="3" t="s">
        <v>3494</v>
      </c>
      <c r="C1682" s="3" t="s">
        <v>21</v>
      </c>
      <c r="D1682" s="8" t="str">
        <f>HYPERLINK("http://npthd.inbcu.com/ViewContent.aspx?filename=NPMR_NBC_2017-07-14_E.MP4$2449$2539","COMMERCIAL")</f>
        <v>COMMERCIAL</v>
      </c>
      <c r="E1682" s="3" t="s">
        <v>46</v>
      </c>
      <c r="F1682" s="3" t="s">
        <v>4589</v>
      </c>
      <c r="G1682" s="3" t="s">
        <v>4590</v>
      </c>
    </row>
    <row r="1683" spans="1:7">
      <c r="A1683" s="6">
        <v>42930</v>
      </c>
      <c r="B1683" s="3" t="s">
        <v>3494</v>
      </c>
      <c r="C1683" s="3" t="s">
        <v>14</v>
      </c>
      <c r="D1683" s="8" t="str">
        <f>HYPERLINK("http://npthd.inbcu.com/ViewContent.aspx?filename=NPMR_NBC_2017-07-14_E.MP4$2539$2554","Golf on NBC")</f>
        <v>Golf on NBC</v>
      </c>
      <c r="E1683" s="3" t="s">
        <v>30</v>
      </c>
      <c r="F1683" s="3" t="s">
        <v>4590</v>
      </c>
      <c r="G1683" s="3" t="s">
        <v>4591</v>
      </c>
    </row>
    <row r="1684" spans="1:7">
      <c r="A1684" s="6">
        <v>42930</v>
      </c>
      <c r="B1684" s="3" t="s">
        <v>3494</v>
      </c>
      <c r="C1684" s="3" t="s">
        <v>32</v>
      </c>
      <c r="D1684" s="8" t="str">
        <f>HYPERLINK("http://npthd.inbcu.com/ViewContent.aspx?filename=NPMR_NBC_2017-07-14_E.MP4$2554$2645","LOCAL")</f>
        <v>LOCAL</v>
      </c>
      <c r="E1684" s="3" t="s">
        <v>77</v>
      </c>
      <c r="F1684" s="3" t="s">
        <v>4591</v>
      </c>
      <c r="G1684" s="3" t="s">
        <v>4592</v>
      </c>
    </row>
    <row r="1685" spans="1:7">
      <c r="A1685" s="6">
        <v>42930</v>
      </c>
      <c r="B1685" s="3" t="s">
        <v>3494</v>
      </c>
      <c r="C1685" s="3" t="s">
        <v>14</v>
      </c>
      <c r="D1685" s="8" t="str">
        <f>HYPERLINK("http://npthd.inbcu.com/ViewContent.aspx?filename=NPMR_NBC_2017-07-14_E.MP4$2645$2674","This Is Us")</f>
        <v>This Is Us</v>
      </c>
      <c r="E1685" s="3" t="s">
        <v>24</v>
      </c>
      <c r="F1685" s="3" t="s">
        <v>4592</v>
      </c>
      <c r="G1685" s="3" t="s">
        <v>3416</v>
      </c>
    </row>
    <row r="1686" spans="1:7">
      <c r="A1686" s="6">
        <v>42930</v>
      </c>
      <c r="B1686" s="3" t="s">
        <v>3494</v>
      </c>
      <c r="C1686" s="3" t="s">
        <v>18</v>
      </c>
      <c r="D1686" s="8" t="str">
        <f>HYPERLINK("http://npthd.inbcu.com/ViewContent.aspx?filename=NPMR_NBC_2017-07-14_E.MP4$2674$3037","AMERICAS GOT TALENT: auditions 6")</f>
        <v>AMERICAS GOT TALENT: auditions 6</v>
      </c>
      <c r="E1686" s="3" t="s">
        <v>569</v>
      </c>
      <c r="F1686" s="3" t="s">
        <v>3416</v>
      </c>
      <c r="G1686" s="3" t="s">
        <v>3015</v>
      </c>
    </row>
    <row r="1687" spans="1:7">
      <c r="A1687" s="6">
        <v>42930</v>
      </c>
      <c r="B1687" s="3" t="s">
        <v>3494</v>
      </c>
      <c r="C1687" s="3" t="s">
        <v>21</v>
      </c>
      <c r="D1687" s="8" t="str">
        <f>HYPERLINK("http://npthd.inbcu.com/ViewContent.aspx?filename=NPMR_NBC_2017-07-14_E.MP4$3037$3217","COMMERCIAL")</f>
        <v>COMMERCIAL</v>
      </c>
      <c r="E1687" s="3" t="s">
        <v>22</v>
      </c>
      <c r="F1687" s="3" t="s">
        <v>3015</v>
      </c>
      <c r="G1687" s="3" t="s">
        <v>4593</v>
      </c>
    </row>
    <row r="1688" spans="1:7">
      <c r="A1688" s="6">
        <v>42930</v>
      </c>
      <c r="B1688" s="3" t="s">
        <v>3494</v>
      </c>
      <c r="C1688" s="3" t="s">
        <v>14</v>
      </c>
      <c r="D1688" s="8" t="str">
        <f>HYPERLINK("http://npthd.inbcu.com/ViewContent.aspx?filename=NPMR_NBC_2017-07-14_E.MP4$3217$3247","Brave, The")</f>
        <v>Brave, The</v>
      </c>
      <c r="E1688" s="3" t="s">
        <v>38</v>
      </c>
      <c r="F1688" s="3" t="s">
        <v>4593</v>
      </c>
      <c r="G1688" s="3" t="s">
        <v>1710</v>
      </c>
    </row>
    <row r="1689" spans="1:7">
      <c r="A1689" s="6">
        <v>42930</v>
      </c>
      <c r="B1689" s="3" t="s">
        <v>3494</v>
      </c>
      <c r="C1689" s="3" t="s">
        <v>14</v>
      </c>
      <c r="D1689" s="8" t="str">
        <f>HYPERLINK("http://npthd.inbcu.com/ViewContent.aspx?filename=NPMR_NBC_2017-07-14_E.MP4$3247$3262","Will &amp; Grace")</f>
        <v>Will &amp; Grace</v>
      </c>
      <c r="E1689" s="3" t="s">
        <v>30</v>
      </c>
      <c r="F1689" s="3" t="s">
        <v>1710</v>
      </c>
      <c r="G1689" s="3" t="s">
        <v>4594</v>
      </c>
    </row>
    <row r="1690" spans="1:7">
      <c r="A1690" s="6">
        <v>42930</v>
      </c>
      <c r="B1690" s="3" t="s">
        <v>3494</v>
      </c>
      <c r="C1690" s="3" t="s">
        <v>18</v>
      </c>
      <c r="D1690" s="8" t="str">
        <f>HYPERLINK("http://npthd.inbcu.com/ViewContent.aspx?filename=NPMR_NBC_2017-07-14_E.MP4$3262$3840","AMERICAS GOT TALENT: auditions 6")</f>
        <v>AMERICAS GOT TALENT: auditions 6</v>
      </c>
      <c r="E1690" s="3" t="s">
        <v>2171</v>
      </c>
      <c r="F1690" s="3" t="s">
        <v>4594</v>
      </c>
      <c r="G1690" s="3" t="s">
        <v>4595</v>
      </c>
    </row>
    <row r="1691" spans="1:7">
      <c r="A1691" s="6">
        <v>42930</v>
      </c>
      <c r="B1691" s="3" t="s">
        <v>3494</v>
      </c>
      <c r="C1691" s="3" t="s">
        <v>21</v>
      </c>
      <c r="D1691" s="8" t="str">
        <f>HYPERLINK("http://npthd.inbcu.com/ViewContent.aspx?filename=NPMR_NBC_2017-07-14_E.MP4$3840$4020","COMMERCIAL")</f>
        <v>COMMERCIAL</v>
      </c>
      <c r="E1691" s="3" t="s">
        <v>22</v>
      </c>
      <c r="F1691" s="3" t="s">
        <v>4595</v>
      </c>
      <c r="G1691" s="3" t="s">
        <v>4596</v>
      </c>
    </row>
    <row r="1692" spans="1:7">
      <c r="A1692" s="6">
        <v>42930</v>
      </c>
      <c r="B1692" s="3" t="s">
        <v>3494</v>
      </c>
      <c r="C1692" s="3" t="s">
        <v>14</v>
      </c>
      <c r="D1692" s="8" t="str">
        <f>HYPERLINK("http://npthd.inbcu.com/ViewContent.aspx?filename=NPMR_NBC_2017-07-14_E.MP4$4020$4035","Little Big Shots: Forever Young")</f>
        <v>Little Big Shots: Forever Young</v>
      </c>
      <c r="E1692" s="3" t="s">
        <v>30</v>
      </c>
      <c r="F1692" s="3" t="s">
        <v>4596</v>
      </c>
      <c r="G1692" s="3" t="s">
        <v>4597</v>
      </c>
    </row>
    <row r="1693" spans="1:7">
      <c r="A1693" s="6">
        <v>42930</v>
      </c>
      <c r="B1693" s="3" t="s">
        <v>3494</v>
      </c>
      <c r="C1693" s="3" t="s">
        <v>18</v>
      </c>
      <c r="D1693" s="8" t="str">
        <f>HYPERLINK("http://npthd.inbcu.com/ViewContent.aspx?filename=NPMR_NBC_2017-07-14_E.MP4$4035$4571","AMERICAS GOT TALENT: auditions 6")</f>
        <v>AMERICAS GOT TALENT: auditions 6</v>
      </c>
      <c r="E1693" s="3" t="s">
        <v>1434</v>
      </c>
      <c r="F1693" s="3" t="s">
        <v>4597</v>
      </c>
      <c r="G1693" s="3" t="s">
        <v>4598</v>
      </c>
    </row>
    <row r="1694" spans="1:7">
      <c r="A1694" s="6">
        <v>42930</v>
      </c>
      <c r="B1694" s="3" t="s">
        <v>3494</v>
      </c>
      <c r="C1694" s="3" t="s">
        <v>21</v>
      </c>
      <c r="D1694" s="8" t="str">
        <f>HYPERLINK("http://npthd.inbcu.com/ViewContent.aspx?filename=NPMR_NBC_2017-07-14_E.MP4$4571$4661","COMMERCIAL")</f>
        <v>COMMERCIAL</v>
      </c>
      <c r="E1694" s="3" t="s">
        <v>46</v>
      </c>
      <c r="F1694" s="3" t="s">
        <v>4598</v>
      </c>
      <c r="G1694" s="3" t="s">
        <v>1961</v>
      </c>
    </row>
    <row r="1695" spans="1:7">
      <c r="A1695" s="6">
        <v>42930</v>
      </c>
      <c r="B1695" s="3" t="s">
        <v>3494</v>
      </c>
      <c r="C1695" s="3" t="s">
        <v>14</v>
      </c>
      <c r="D1695" s="8" t="str">
        <f>HYPERLINK("http://npthd.inbcu.com/ViewContent.aspx?filename=NPMR_NBC_2017-07-14_E.MP4$4661$4676","Midnight Texas")</f>
        <v>Midnight Texas</v>
      </c>
      <c r="E1695" s="3" t="s">
        <v>30</v>
      </c>
      <c r="F1695" s="3" t="s">
        <v>1961</v>
      </c>
      <c r="G1695" s="3" t="s">
        <v>1962</v>
      </c>
    </row>
    <row r="1696" spans="1:7">
      <c r="A1696" s="6">
        <v>42930</v>
      </c>
      <c r="B1696" s="3" t="s">
        <v>3494</v>
      </c>
      <c r="C1696" s="3" t="s">
        <v>32</v>
      </c>
      <c r="D1696" s="8" t="str">
        <f>HYPERLINK("http://npthd.inbcu.com/ViewContent.aspx?filename=NPMR_NBC_2017-07-14_E.MP4$4676$4770","LOCAL")</f>
        <v>LOCAL</v>
      </c>
      <c r="E1696" s="3" t="s">
        <v>1917</v>
      </c>
      <c r="F1696" s="3" t="s">
        <v>1962</v>
      </c>
      <c r="G1696" s="3" t="s">
        <v>4599</v>
      </c>
    </row>
    <row r="1697" spans="1:7">
      <c r="A1697" s="6">
        <v>42930</v>
      </c>
      <c r="B1697" s="3" t="s">
        <v>3494</v>
      </c>
      <c r="C1697" s="3" t="s">
        <v>14</v>
      </c>
      <c r="D1697" s="8" t="str">
        <f>HYPERLINK("http://npthd.inbcu.com/ViewContent.aspx?filename=NPMR_NBC_2017-07-14_E.MP4$4770$4801","Law &amp; Order True Crime Menendez")</f>
        <v>Law &amp; Order True Crime Menendez</v>
      </c>
      <c r="E1697" s="3" t="s">
        <v>98</v>
      </c>
      <c r="F1697" s="3" t="s">
        <v>4599</v>
      </c>
      <c r="G1697" s="3" t="s">
        <v>2285</v>
      </c>
    </row>
    <row r="1698" spans="1:7">
      <c r="A1698" s="6">
        <v>42930</v>
      </c>
      <c r="B1698" s="3" t="s">
        <v>3494</v>
      </c>
      <c r="C1698" s="3" t="s">
        <v>18</v>
      </c>
      <c r="D1698" s="8" t="str">
        <f>HYPERLINK("http://npthd.inbcu.com/ViewContent.aspx?filename=NPMR_NBC_2017-07-14_E.MP4$4801$5326","AMERICAS GOT TALENT: auditions 6")</f>
        <v>AMERICAS GOT TALENT: auditions 6</v>
      </c>
      <c r="E1698" s="3" t="s">
        <v>458</v>
      </c>
      <c r="F1698" s="3" t="s">
        <v>2285</v>
      </c>
      <c r="G1698" s="3" t="s">
        <v>4600</v>
      </c>
    </row>
    <row r="1699" spans="1:7">
      <c r="A1699" s="6">
        <v>42930</v>
      </c>
      <c r="B1699" s="3" t="s">
        <v>3494</v>
      </c>
      <c r="C1699" s="3" t="s">
        <v>21</v>
      </c>
      <c r="D1699" s="8" t="str">
        <f>HYPERLINK("http://npthd.inbcu.com/ViewContent.aspx?filename=NPMR_NBC_2017-07-14_E.MP4$5326$5507","COMMERCIAL")</f>
        <v>COMMERCIAL</v>
      </c>
      <c r="E1699" s="3" t="s">
        <v>108</v>
      </c>
      <c r="F1699" s="3" t="s">
        <v>4600</v>
      </c>
      <c r="G1699" s="3" t="s">
        <v>2778</v>
      </c>
    </row>
    <row r="1700" spans="1:7">
      <c r="A1700" s="6">
        <v>42930</v>
      </c>
      <c r="B1700" s="3" t="s">
        <v>3494</v>
      </c>
      <c r="C1700" s="3" t="s">
        <v>14</v>
      </c>
      <c r="D1700" s="8" t="str">
        <f>HYPERLINK("http://npthd.inbcu.com/ViewContent.aspx?filename=NPMR_NBC_2017-07-14_E.MP4$5507$5522","American Ninja Warrior")</f>
        <v>American Ninja Warrior</v>
      </c>
      <c r="E1700" s="3" t="s">
        <v>30</v>
      </c>
      <c r="F1700" s="3" t="s">
        <v>2778</v>
      </c>
      <c r="G1700" s="3" t="s">
        <v>4601</v>
      </c>
    </row>
    <row r="1701" spans="1:7">
      <c r="A1701" s="6">
        <v>42930</v>
      </c>
      <c r="B1701" s="3" t="s">
        <v>3494</v>
      </c>
      <c r="C1701" s="3" t="s">
        <v>18</v>
      </c>
      <c r="D1701" s="8" t="str">
        <f>HYPERLINK("http://npthd.inbcu.com/ViewContent.aspx?filename=NPMR_NBC_2017-07-14_E.MP4$5522$5950","AMERICAS GOT TALENT: auditions 6")</f>
        <v>AMERICAS GOT TALENT: auditions 6</v>
      </c>
      <c r="E1701" s="3" t="s">
        <v>61</v>
      </c>
      <c r="F1701" s="3" t="s">
        <v>4601</v>
      </c>
      <c r="G1701" s="3" t="s">
        <v>3622</v>
      </c>
    </row>
    <row r="1702" spans="1:7">
      <c r="A1702" s="6">
        <v>42930</v>
      </c>
      <c r="B1702" s="3" t="s">
        <v>3494</v>
      </c>
      <c r="C1702" s="3" t="s">
        <v>21</v>
      </c>
      <c r="D1702" s="8" t="str">
        <f>HYPERLINK("http://npthd.inbcu.com/ViewContent.aspx?filename=NPMR_NBC_2017-07-14_E.MP4$5950$6070","COMMERCIAL")</f>
        <v>COMMERCIAL</v>
      </c>
      <c r="E1702" s="3" t="s">
        <v>43</v>
      </c>
      <c r="F1702" s="3" t="s">
        <v>3622</v>
      </c>
      <c r="G1702" s="3" t="s">
        <v>4602</v>
      </c>
    </row>
    <row r="1703" spans="1:7">
      <c r="A1703" s="6">
        <v>42930</v>
      </c>
      <c r="B1703" s="3" t="s">
        <v>3494</v>
      </c>
      <c r="C1703" s="3" t="s">
        <v>14</v>
      </c>
      <c r="D1703" s="8" t="str">
        <f>HYPERLINK("http://npthd.inbcu.com/ViewContent.aspx?filename=NPMR_NBC_2017-07-14_E.MP4$6070$6075","Will &amp; Grace")</f>
        <v>Will &amp; Grace</v>
      </c>
      <c r="E1703" s="3" t="s">
        <v>54</v>
      </c>
      <c r="F1703" s="3" t="s">
        <v>4602</v>
      </c>
      <c r="G1703" s="3" t="s">
        <v>4603</v>
      </c>
    </row>
    <row r="1704" spans="1:7">
      <c r="A1704" s="6">
        <v>42930</v>
      </c>
      <c r="B1704" s="3" t="s">
        <v>3494</v>
      </c>
      <c r="C1704" s="3" t="s">
        <v>32</v>
      </c>
      <c r="D1704" s="8" t="str">
        <f>HYPERLINK("http://npthd.inbcu.com/ViewContent.aspx?filename=NPMR_NBC_2017-07-14_E.MP4$6075$6165","LOCAL")</f>
        <v>LOCAL</v>
      </c>
      <c r="E1704" s="3" t="s">
        <v>46</v>
      </c>
      <c r="F1704" s="3" t="s">
        <v>4603</v>
      </c>
      <c r="G1704" s="3" t="s">
        <v>4604</v>
      </c>
    </row>
    <row r="1705" spans="1:7">
      <c r="A1705" s="6">
        <v>42930</v>
      </c>
      <c r="B1705" s="3" t="s">
        <v>3494</v>
      </c>
      <c r="C1705" s="3" t="s">
        <v>14</v>
      </c>
      <c r="D1705" s="8" t="str">
        <f>HYPERLINK("http://npthd.inbcu.com/ViewContent.aspx?filename=NPMR_NBC_2017-07-14_E.MP4$6165$6181","World of Dance")</f>
        <v>World of Dance</v>
      </c>
      <c r="E1705" s="3" t="s">
        <v>64</v>
      </c>
      <c r="F1705" s="3" t="s">
        <v>4604</v>
      </c>
      <c r="G1705" s="3" t="s">
        <v>383</v>
      </c>
    </row>
    <row r="1706" spans="1:7">
      <c r="A1706" s="6">
        <v>42930</v>
      </c>
      <c r="B1706" s="3" t="s">
        <v>3494</v>
      </c>
      <c r="C1706" s="3" t="s">
        <v>18</v>
      </c>
      <c r="D1706" s="8" t="str">
        <f>HYPERLINK("http://npthd.inbcu.com/ViewContent.aspx?filename=NPMR_NBC_2017-07-14_E.MP4$6181$6661","AMERICAS GOT TALENT: auditions 6")</f>
        <v>AMERICAS GOT TALENT: auditions 6</v>
      </c>
      <c r="E1706" s="3" t="s">
        <v>484</v>
      </c>
      <c r="F1706" s="3" t="s">
        <v>383</v>
      </c>
      <c r="G1706" s="3" t="s">
        <v>1357</v>
      </c>
    </row>
    <row r="1707" spans="1:7">
      <c r="A1707" s="6">
        <v>42930</v>
      </c>
      <c r="B1707" s="3" t="s">
        <v>3494</v>
      </c>
      <c r="C1707" s="3" t="s">
        <v>21</v>
      </c>
      <c r="D1707" s="8" t="str">
        <f>HYPERLINK("http://npthd.inbcu.com/ViewContent.aspx?filename=NPMR_NBC_2017-07-14_E.MP4$6661$6842","COMMERCIAL")</f>
        <v>COMMERCIAL</v>
      </c>
      <c r="E1707" s="3" t="s">
        <v>108</v>
      </c>
      <c r="F1707" s="3" t="s">
        <v>1357</v>
      </c>
      <c r="G1707" s="3" t="s">
        <v>468</v>
      </c>
    </row>
    <row r="1708" spans="1:7">
      <c r="A1708" s="6">
        <v>42930</v>
      </c>
      <c r="B1708" s="3" t="s">
        <v>3494</v>
      </c>
      <c r="C1708" s="3" t="s">
        <v>14</v>
      </c>
      <c r="D1708" s="8" t="str">
        <f>HYPERLINK("http://npthd.inbcu.com/ViewContent.aspx?filename=NPMR_NBC_2017-07-14_E.MP4$6842$6857","Dateline NBC")</f>
        <v>Dateline NBC</v>
      </c>
      <c r="E1708" s="3" t="s">
        <v>30</v>
      </c>
      <c r="F1708" s="3" t="s">
        <v>468</v>
      </c>
      <c r="G1708" s="3" t="s">
        <v>4492</v>
      </c>
    </row>
    <row r="1709" spans="1:7">
      <c r="A1709" s="6">
        <v>42930</v>
      </c>
      <c r="B1709" s="3" t="s">
        <v>3494</v>
      </c>
      <c r="C1709" s="3" t="s">
        <v>18</v>
      </c>
      <c r="D1709" s="8" t="str">
        <f>HYPERLINK("http://npthd.inbcu.com/ViewContent.aspx?filename=NPMR_NBC_2017-07-14_E.MP4$6857$7263","AMERICAS GOT TALENT: auditions 6")</f>
        <v>AMERICAS GOT TALENT: auditions 6</v>
      </c>
      <c r="E1709" s="3" t="s">
        <v>1459</v>
      </c>
      <c r="F1709" s="3" t="s">
        <v>4492</v>
      </c>
      <c r="G1709" s="3" t="s">
        <v>1234</v>
      </c>
    </row>
    <row r="1710" spans="1:7">
      <c r="A1710" s="6">
        <v>42930</v>
      </c>
      <c r="B1710" s="3" t="s">
        <v>3494</v>
      </c>
      <c r="C1710" s="3" t="s">
        <v>14</v>
      </c>
      <c r="D1710" s="8" t="str">
        <f>HYPERLINK("http://npthd.inbcu.com/ViewContent.aspx?filename=NPMR_NBC_2017-07-14_E.MP4$7263$7296","Americas Got Talent")</f>
        <v>Americas Got Talent</v>
      </c>
      <c r="E1710" s="3" t="s">
        <v>2667</v>
      </c>
      <c r="F1710" s="3" t="s">
        <v>1234</v>
      </c>
      <c r="G1710" s="3" t="s">
        <v>750</v>
      </c>
    </row>
    <row r="1711" spans="1:7">
      <c r="A1711" s="6">
        <v>42930</v>
      </c>
      <c r="B1711" s="3" t="s">
        <v>3494</v>
      </c>
      <c r="C1711" s="3" t="s">
        <v>18</v>
      </c>
      <c r="D1711" s="8" t="str">
        <f>HYPERLINK("http://npthd.inbcu.com/ViewContent.aspx?filename=NPMR_NBC_2017-07-14_E.MP4$7296$7301","AMERICAS GOT TALENT: auditions 6")</f>
        <v>AMERICAS GOT TALENT: auditions 6</v>
      </c>
      <c r="E1711" s="3" t="s">
        <v>54</v>
      </c>
      <c r="F1711" s="3" t="s">
        <v>750</v>
      </c>
      <c r="G1711" s="3" t="s">
        <v>394</v>
      </c>
    </row>
    <row r="1712" spans="1:7">
      <c r="A1712" s="6">
        <v>42930</v>
      </c>
      <c r="B1712" s="3" t="s">
        <v>3494</v>
      </c>
      <c r="C1712" s="3" t="s">
        <v>18</v>
      </c>
      <c r="D1712" s="8" t="str">
        <f>HYPERLINK("http://npthd.inbcu.com/ViewContent.aspx?filename=NPMR_NBC_2017-07-14_E.MP4$7301$7721","DATELINE NBC: fr2643")</f>
        <v>DATELINE NBC: fr2643</v>
      </c>
      <c r="E1712" s="3" t="s">
        <v>26</v>
      </c>
      <c r="F1712" s="3" t="s">
        <v>394</v>
      </c>
      <c r="G1712" s="3" t="s">
        <v>4605</v>
      </c>
    </row>
    <row r="1713" spans="1:7">
      <c r="A1713" s="6">
        <v>42930</v>
      </c>
      <c r="B1713" s="3" t="s">
        <v>3494</v>
      </c>
      <c r="C1713" s="3" t="s">
        <v>21</v>
      </c>
      <c r="D1713" s="8" t="str">
        <f>HYPERLINK("http://npthd.inbcu.com/ViewContent.aspx?filename=NPMR_NBC_2017-07-14_E.MP4$7721$7844","COMMERCIAL")</f>
        <v>COMMERCIAL</v>
      </c>
      <c r="E1713" s="3" t="s">
        <v>2722</v>
      </c>
      <c r="F1713" s="3" t="s">
        <v>4605</v>
      </c>
      <c r="G1713" s="3" t="s">
        <v>4606</v>
      </c>
    </row>
    <row r="1714" spans="1:7">
      <c r="A1714" s="6">
        <v>42930</v>
      </c>
      <c r="B1714" s="3" t="s">
        <v>3494</v>
      </c>
      <c r="C1714" s="3" t="s">
        <v>14</v>
      </c>
      <c r="D1714" s="8" t="str">
        <f>HYPERLINK("http://npthd.inbcu.com/ViewContent.aspx?filename=NPMR_NBC_2017-07-14_E.MP4$7844$7856","Today")</f>
        <v>Today</v>
      </c>
      <c r="E1714" s="3" t="s">
        <v>2057</v>
      </c>
      <c r="F1714" s="3" t="s">
        <v>4606</v>
      </c>
      <c r="G1714" s="3" t="s">
        <v>4073</v>
      </c>
    </row>
    <row r="1715" spans="1:7">
      <c r="A1715" s="6">
        <v>42930</v>
      </c>
      <c r="B1715" s="3" t="s">
        <v>3494</v>
      </c>
      <c r="C1715" s="3" t="s">
        <v>32</v>
      </c>
      <c r="D1715" s="8" t="str">
        <f>HYPERLINK("http://npthd.inbcu.com/ViewContent.aspx?filename=NPMR_NBC_2017-07-14_E.MP4$7856$7918","LOCAL")</f>
        <v>LOCAL</v>
      </c>
      <c r="E1715" s="3" t="s">
        <v>257</v>
      </c>
      <c r="F1715" s="3" t="s">
        <v>4073</v>
      </c>
      <c r="G1715" s="3" t="s">
        <v>4607</v>
      </c>
    </row>
    <row r="1716" spans="1:7">
      <c r="A1716" s="6">
        <v>42930</v>
      </c>
      <c r="B1716" s="3" t="s">
        <v>3494</v>
      </c>
      <c r="C1716" s="3" t="s">
        <v>18</v>
      </c>
      <c r="D1716" s="8" t="str">
        <f>HYPERLINK("http://npthd.inbcu.com/ViewContent.aspx?filename=NPMR_NBC_2017-07-14_E.MP4$7918$8247","DATELINE NBC: fr2643")</f>
        <v>DATELINE NBC: fr2643</v>
      </c>
      <c r="E1716" s="3" t="s">
        <v>2586</v>
      </c>
      <c r="F1716" s="3" t="s">
        <v>4607</v>
      </c>
      <c r="G1716" s="3" t="s">
        <v>4608</v>
      </c>
    </row>
    <row r="1717" spans="1:7">
      <c r="A1717" s="6">
        <v>42930</v>
      </c>
      <c r="B1717" s="3" t="s">
        <v>3494</v>
      </c>
      <c r="C1717" s="3" t="s">
        <v>21</v>
      </c>
      <c r="D1717" s="8" t="str">
        <f>HYPERLINK("http://npthd.inbcu.com/ViewContent.aspx?filename=NPMR_NBC_2017-07-14_E.MP4$8247$8397","COMMERCIAL")</f>
        <v>COMMERCIAL</v>
      </c>
      <c r="E1717" s="3" t="s">
        <v>28</v>
      </c>
      <c r="F1717" s="3" t="s">
        <v>4608</v>
      </c>
      <c r="G1717" s="3" t="s">
        <v>3357</v>
      </c>
    </row>
    <row r="1718" spans="1:7">
      <c r="A1718" s="6">
        <v>42930</v>
      </c>
      <c r="B1718" s="3" t="s">
        <v>3494</v>
      </c>
      <c r="C1718" s="3" t="s">
        <v>14</v>
      </c>
      <c r="D1718" s="8" t="str">
        <f>HYPERLINK("http://npthd.inbcu.com/ViewContent.aspx?filename=NPMR_NBC_2017-07-14_E.MP4$8397$8412","Cold Justice (Oxygen)")</f>
        <v>Cold Justice (Oxygen)</v>
      </c>
      <c r="E1718" s="3" t="s">
        <v>30</v>
      </c>
      <c r="F1718" s="3" t="s">
        <v>3357</v>
      </c>
      <c r="G1718" s="3" t="s">
        <v>4575</v>
      </c>
    </row>
    <row r="1719" spans="1:7">
      <c r="A1719" s="6">
        <v>42930</v>
      </c>
      <c r="B1719" s="3" t="s">
        <v>3494</v>
      </c>
      <c r="C1719" s="3" t="s">
        <v>14</v>
      </c>
      <c r="D1719" s="8" t="str">
        <f>HYPERLINK("http://npthd.inbcu.com/ViewContent.aspx?filename=NPMR_NBC_2017-07-14_E.MP4$8412$8442","Law &amp; Order True Crime Menendez")</f>
        <v>Law &amp; Order True Crime Menendez</v>
      </c>
      <c r="E1719" s="3" t="s">
        <v>38</v>
      </c>
      <c r="F1719" s="3" t="s">
        <v>4575</v>
      </c>
      <c r="G1719" s="3" t="s">
        <v>2167</v>
      </c>
    </row>
    <row r="1720" spans="1:7">
      <c r="A1720" s="6">
        <v>42930</v>
      </c>
      <c r="B1720" s="3" t="s">
        <v>3494</v>
      </c>
      <c r="C1720" s="3" t="s">
        <v>18</v>
      </c>
      <c r="D1720" s="8" t="str">
        <f>HYPERLINK("http://npthd.inbcu.com/ViewContent.aspx?filename=NPMR_NBC_2017-07-14_E.MP4$8442$8825","DATELINE NBC: fr2643")</f>
        <v>DATELINE NBC: fr2643</v>
      </c>
      <c r="E1720" s="3" t="s">
        <v>1904</v>
      </c>
      <c r="F1720" s="3" t="s">
        <v>2167</v>
      </c>
      <c r="G1720" s="3" t="s">
        <v>4609</v>
      </c>
    </row>
    <row r="1721" spans="1:7">
      <c r="A1721" s="6">
        <v>42930</v>
      </c>
      <c r="B1721" s="3" t="s">
        <v>3494</v>
      </c>
      <c r="C1721" s="3" t="s">
        <v>21</v>
      </c>
      <c r="D1721" s="8" t="str">
        <f>HYPERLINK("http://npthd.inbcu.com/ViewContent.aspx?filename=NPMR_NBC_2017-07-14_E.MP4$8825$8886","COMMERCIAL")</f>
        <v>COMMERCIAL</v>
      </c>
      <c r="E1721" s="3" t="s">
        <v>33</v>
      </c>
      <c r="F1721" s="3" t="s">
        <v>4609</v>
      </c>
      <c r="G1721" s="3" t="s">
        <v>4610</v>
      </c>
    </row>
    <row r="1722" spans="1:7">
      <c r="A1722" s="6">
        <v>42930</v>
      </c>
      <c r="B1722" s="3" t="s">
        <v>3494</v>
      </c>
      <c r="C1722" s="3" t="s">
        <v>14</v>
      </c>
      <c r="D1722" s="8" t="str">
        <f>HYPERLINK("http://npthd.inbcu.com/ViewContent.aspx?filename=NPMR_NBC_2017-07-14_E.MP4$8886$8891","Will &amp; Grace")</f>
        <v>Will &amp; Grace</v>
      </c>
      <c r="E1722" s="3" t="s">
        <v>54</v>
      </c>
      <c r="F1722" s="3" t="s">
        <v>4610</v>
      </c>
      <c r="G1722" s="3" t="s">
        <v>4611</v>
      </c>
    </row>
    <row r="1723" spans="1:7">
      <c r="A1723" s="6">
        <v>42930</v>
      </c>
      <c r="B1723" s="3" t="s">
        <v>3494</v>
      </c>
      <c r="C1723" s="3" t="s">
        <v>32</v>
      </c>
      <c r="D1723" s="8" t="str">
        <f>HYPERLINK("http://npthd.inbcu.com/ViewContent.aspx?filename=NPMR_NBC_2017-07-14_E.MP4$8891$9057","LOCAL")</f>
        <v>LOCAL</v>
      </c>
      <c r="E1723" s="3" t="s">
        <v>144</v>
      </c>
      <c r="F1723" s="3" t="s">
        <v>4611</v>
      </c>
      <c r="G1723" s="3" t="s">
        <v>4612</v>
      </c>
    </row>
    <row r="1724" spans="1:7">
      <c r="A1724" s="6">
        <v>42930</v>
      </c>
      <c r="B1724" s="3" t="s">
        <v>3494</v>
      </c>
      <c r="C1724" s="3" t="s">
        <v>14</v>
      </c>
      <c r="D1724" s="8" t="str">
        <f>HYPERLINK("http://npthd.inbcu.com/ViewContent.aspx?filename=NPMR_NBC_2017-07-14_E.MP4$9057$9060","Late Night with Seth Meyers")</f>
        <v>Late Night with Seth Meyers</v>
      </c>
      <c r="E1724" s="3" t="s">
        <v>393</v>
      </c>
      <c r="F1724" s="3" t="s">
        <v>4612</v>
      </c>
      <c r="G1724" s="3" t="s">
        <v>4613</v>
      </c>
    </row>
    <row r="1725" spans="1:7">
      <c r="A1725" s="6">
        <v>42930</v>
      </c>
      <c r="B1725" s="3" t="s">
        <v>3494</v>
      </c>
      <c r="C1725" s="3" t="s">
        <v>18</v>
      </c>
      <c r="D1725" s="8" t="str">
        <f>HYPERLINK("http://npthd.inbcu.com/ViewContent.aspx?filename=NPMR_NBC_2017-07-14_E.MP4$9060$9420","DATELINE NBC: fr2643")</f>
        <v>DATELINE NBC: fr2643</v>
      </c>
      <c r="E1725" s="3" t="s">
        <v>190</v>
      </c>
      <c r="F1725" s="3" t="s">
        <v>4613</v>
      </c>
      <c r="G1725" s="3" t="s">
        <v>3449</v>
      </c>
    </row>
    <row r="1726" spans="1:7">
      <c r="A1726" s="6">
        <v>42930</v>
      </c>
      <c r="B1726" s="3" t="s">
        <v>3494</v>
      </c>
      <c r="C1726" s="3" t="s">
        <v>21</v>
      </c>
      <c r="D1726" s="8" t="str">
        <f>HYPERLINK("http://npthd.inbcu.com/ViewContent.aspx?filename=NPMR_NBC_2017-07-14_E.MP4$9420$9600","COMMERCIAL")</f>
        <v>COMMERCIAL</v>
      </c>
      <c r="E1726" s="3" t="s">
        <v>22</v>
      </c>
      <c r="F1726" s="3" t="s">
        <v>3449</v>
      </c>
      <c r="G1726" s="3" t="s">
        <v>4614</v>
      </c>
    </row>
    <row r="1727" spans="1:7">
      <c r="A1727" s="6">
        <v>42930</v>
      </c>
      <c r="B1727" s="3" t="s">
        <v>3494</v>
      </c>
      <c r="C1727" s="3" t="s">
        <v>14</v>
      </c>
      <c r="D1727" s="8" t="str">
        <f>HYPERLINK("http://npthd.inbcu.com/ViewContent.aspx?filename=NPMR_NBC_2017-07-14_E.MP4$9600$9610","NFL Network")</f>
        <v>NFL Network</v>
      </c>
      <c r="E1727" s="3" t="s">
        <v>197</v>
      </c>
      <c r="F1727" s="3" t="s">
        <v>4614</v>
      </c>
      <c r="G1727" s="3" t="s">
        <v>4615</v>
      </c>
    </row>
    <row r="1728" spans="1:7">
      <c r="A1728" s="6">
        <v>42930</v>
      </c>
      <c r="B1728" s="3" t="s">
        <v>3494</v>
      </c>
      <c r="C1728" s="3" t="s">
        <v>14</v>
      </c>
      <c r="D1728" s="8" t="str">
        <f>HYPERLINK("http://npthd.inbcu.com/ViewContent.aspx?filename=NPMR_NBC_2017-07-14_E.MP4$9610$9620","Tonight Show starring Jimmy Fallon, The")</f>
        <v>Tonight Show starring Jimmy Fallon, The</v>
      </c>
      <c r="E1728" s="3" t="s">
        <v>197</v>
      </c>
      <c r="F1728" s="3" t="s">
        <v>4615</v>
      </c>
      <c r="G1728" s="3" t="s">
        <v>4616</v>
      </c>
    </row>
    <row r="1729" spans="1:7">
      <c r="A1729" s="6">
        <v>42930</v>
      </c>
      <c r="B1729" s="3" t="s">
        <v>3494</v>
      </c>
      <c r="C1729" s="3" t="s">
        <v>14</v>
      </c>
      <c r="D1729" s="8" t="str">
        <f>HYPERLINK("http://npthd.inbcu.com/ViewContent.aspx?filename=NPMR_NBC_2017-07-14_E.MP4$9620$9635","Sunday Night with Megyn Kelly")</f>
        <v>Sunday Night with Megyn Kelly</v>
      </c>
      <c r="E1729" s="3" t="s">
        <v>30</v>
      </c>
      <c r="F1729" s="3" t="s">
        <v>4616</v>
      </c>
      <c r="G1729" s="3" t="s">
        <v>4617</v>
      </c>
    </row>
    <row r="1730" spans="1:7">
      <c r="A1730" s="6">
        <v>42930</v>
      </c>
      <c r="B1730" s="3" t="s">
        <v>3494</v>
      </c>
      <c r="C1730" s="3" t="s">
        <v>18</v>
      </c>
      <c r="D1730" s="8" t="str">
        <f>HYPERLINK("http://npthd.inbcu.com/ViewContent.aspx?filename=NPMR_NBC_2017-07-14_E.MP4$9635$10212","DATELINE NBC: fr2643")</f>
        <v>DATELINE NBC: fr2643</v>
      </c>
      <c r="E1730" s="3" t="s">
        <v>902</v>
      </c>
      <c r="F1730" s="3" t="s">
        <v>4617</v>
      </c>
      <c r="G1730" s="3" t="s">
        <v>596</v>
      </c>
    </row>
    <row r="1731" spans="1:7">
      <c r="A1731" s="6">
        <v>42930</v>
      </c>
      <c r="B1731" s="3" t="s">
        <v>3494</v>
      </c>
      <c r="C1731" s="3" t="s">
        <v>21</v>
      </c>
      <c r="D1731" s="8" t="str">
        <f>HYPERLINK("http://npthd.inbcu.com/ViewContent.aspx?filename=NPMR_NBC_2017-07-14_E.MP4$10212$10362","COMMERCIAL")</f>
        <v>COMMERCIAL</v>
      </c>
      <c r="E1731" s="3" t="s">
        <v>28</v>
      </c>
      <c r="F1731" s="3" t="s">
        <v>596</v>
      </c>
      <c r="G1731" s="3" t="s">
        <v>4618</v>
      </c>
    </row>
    <row r="1732" spans="1:7">
      <c r="A1732" s="6">
        <v>42930</v>
      </c>
      <c r="B1732" s="3" t="s">
        <v>3494</v>
      </c>
      <c r="C1732" s="3" t="s">
        <v>32</v>
      </c>
      <c r="D1732" s="8" t="str">
        <f>HYPERLINK("http://npthd.inbcu.com/ViewContent.aspx?filename=NPMR_NBC_2017-07-14_E.MP4$10362$10377","LOCAL")</f>
        <v>LOCAL</v>
      </c>
      <c r="E1732" s="3" t="s">
        <v>30</v>
      </c>
      <c r="F1732" s="3" t="s">
        <v>4618</v>
      </c>
      <c r="G1732" s="3" t="s">
        <v>1991</v>
      </c>
    </row>
    <row r="1733" spans="1:7">
      <c r="A1733" s="6">
        <v>42930</v>
      </c>
      <c r="B1733" s="3" t="s">
        <v>3494</v>
      </c>
      <c r="C1733" s="3" t="s">
        <v>14</v>
      </c>
      <c r="D1733" s="8" t="str">
        <f>HYPERLINK("http://npthd.inbcu.com/ViewContent.aspx?filename=NPMR_NBC_2017-07-14_E.MP4$10377$10383","Americas Got Talent")</f>
        <v>Americas Got Talent</v>
      </c>
      <c r="E1733" s="3" t="s">
        <v>15</v>
      </c>
      <c r="F1733" s="3" t="s">
        <v>1991</v>
      </c>
      <c r="G1733" s="3" t="s">
        <v>4619</v>
      </c>
    </row>
    <row r="1734" spans="1:7">
      <c r="A1734" s="6">
        <v>42930</v>
      </c>
      <c r="B1734" s="3" t="s">
        <v>3494</v>
      </c>
      <c r="C1734" s="3" t="s">
        <v>14</v>
      </c>
      <c r="D1734" s="8" t="str">
        <f>HYPERLINK("http://npthd.inbcu.com/ViewContent.aspx?filename=NPMR_NBC_2017-07-14_E.MP4$10383$10412","Brave, The")</f>
        <v>Brave, The</v>
      </c>
      <c r="E1734" s="3" t="s">
        <v>24</v>
      </c>
      <c r="F1734" s="3" t="s">
        <v>4619</v>
      </c>
      <c r="G1734" s="3" t="s">
        <v>4620</v>
      </c>
    </row>
    <row r="1735" spans="1:7">
      <c r="A1735" s="6">
        <v>42930</v>
      </c>
      <c r="B1735" s="3" t="s">
        <v>3494</v>
      </c>
      <c r="C1735" s="3" t="s">
        <v>14</v>
      </c>
      <c r="D1735" s="8" t="str">
        <f>HYPERLINK("http://npthd.inbcu.com/ViewContent.aspx?filename=NPMR_NBC_2017-07-14_E.MP4$10412$10427","Dateline NBC")</f>
        <v>Dateline NBC</v>
      </c>
      <c r="E1735" s="3" t="s">
        <v>30</v>
      </c>
      <c r="F1735" s="3" t="s">
        <v>4620</v>
      </c>
      <c r="G1735" s="3" t="s">
        <v>694</v>
      </c>
    </row>
    <row r="1736" spans="1:7">
      <c r="A1736" s="6">
        <v>42930</v>
      </c>
      <c r="B1736" s="3" t="s">
        <v>3494</v>
      </c>
      <c r="C1736" s="3" t="s">
        <v>18</v>
      </c>
      <c r="D1736" s="8" t="str">
        <f>HYPERLINK("http://npthd.inbcu.com/ViewContent.aspx?filename=NPMR_NBC_2017-07-14_E.MP4$10427$10871","DATELINE NBC: fr2643")</f>
        <v>DATELINE NBC: fr2643</v>
      </c>
      <c r="E1736" s="3" t="s">
        <v>244</v>
      </c>
      <c r="F1736" s="3" t="s">
        <v>694</v>
      </c>
      <c r="G1736" s="3" t="s">
        <v>3554</v>
      </c>
    </row>
    <row r="1737" spans="1:7">
      <c r="A1737" s="6">
        <v>42930</v>
      </c>
      <c r="B1737" s="3" t="s">
        <v>3494</v>
      </c>
      <c r="C1737" s="3" t="s">
        <v>32</v>
      </c>
      <c r="D1737" s="8" t="str">
        <f>HYPERLINK("http://npthd.inbcu.com/ViewContent.aspx?filename=NPMR_NBC_2017-07-14_E.MP4$10871$10901","LOCAL")</f>
        <v>LOCAL</v>
      </c>
      <c r="E1737" s="3" t="s">
        <v>38</v>
      </c>
      <c r="F1737" s="3" t="s">
        <v>3554</v>
      </c>
      <c r="G1737" s="3" t="s">
        <v>124</v>
      </c>
    </row>
    <row r="1738" spans="1:7">
      <c r="A1738" s="6">
        <v>42931</v>
      </c>
      <c r="B1738" s="3" t="s">
        <v>3494</v>
      </c>
      <c r="C1738" s="3" t="s">
        <v>18</v>
      </c>
      <c r="D1738" s="8" t="str">
        <f>HYPERLINK("http://npthd.inbcu.com/ViewContent.aspx?filename=NPMR_NBC_2017-07-15_E.MP4$90$658","LITTLE BIG SHOTS: FOREVER YOUNG: 103 years young")</f>
        <v>LITTLE BIG SHOTS: FOREVER YOUNG: 103 years young</v>
      </c>
      <c r="E1738" s="3" t="s">
        <v>4186</v>
      </c>
      <c r="F1738" s="3" t="s">
        <v>16</v>
      </c>
      <c r="G1738" s="3" t="s">
        <v>4187</v>
      </c>
    </row>
    <row r="1739" spans="1:7">
      <c r="A1739" s="6">
        <v>42931</v>
      </c>
      <c r="B1739" s="3" t="s">
        <v>3494</v>
      </c>
      <c r="C1739" s="3" t="s">
        <v>21</v>
      </c>
      <c r="D1739" s="8" t="str">
        <f>HYPERLINK("http://npthd.inbcu.com/ViewContent.aspx?filename=NPMR_NBC_2017-07-15_E.MP4$658$838","COMMERCIAL")</f>
        <v>COMMERCIAL</v>
      </c>
      <c r="E1739" s="3" t="s">
        <v>22</v>
      </c>
      <c r="F1739" s="3" t="s">
        <v>4187</v>
      </c>
      <c r="G1739" s="3" t="s">
        <v>3964</v>
      </c>
    </row>
    <row r="1740" spans="1:7">
      <c r="A1740" s="6">
        <v>42931</v>
      </c>
      <c r="B1740" s="3" t="s">
        <v>3494</v>
      </c>
      <c r="C1740" s="3" t="s">
        <v>14</v>
      </c>
      <c r="D1740" s="8" t="str">
        <f>HYPERLINK("http://npthd.inbcu.com/ViewContent.aspx?filename=NPMR_NBC_2017-07-15_E.MP4$838$853","Will &amp; Grace")</f>
        <v>Will &amp; Grace</v>
      </c>
      <c r="E1740" s="3" t="s">
        <v>30</v>
      </c>
      <c r="F1740" s="3" t="s">
        <v>3964</v>
      </c>
      <c r="G1740" s="3" t="s">
        <v>5374</v>
      </c>
    </row>
    <row r="1741" spans="1:7">
      <c r="A1741" s="6">
        <v>42931</v>
      </c>
      <c r="B1741" s="3" t="s">
        <v>3494</v>
      </c>
      <c r="C1741" s="3" t="s">
        <v>14</v>
      </c>
      <c r="D1741" s="8" t="str">
        <f>HYPERLINK("http://npthd.inbcu.com/ViewContent.aspx?filename=NPMR_NBC_2017-07-15_E.MP4$853$868","Golf on NBC")</f>
        <v>Golf on NBC</v>
      </c>
      <c r="E1741" s="3" t="s">
        <v>30</v>
      </c>
      <c r="F1741" s="3" t="s">
        <v>5374</v>
      </c>
      <c r="G1741" s="3" t="s">
        <v>4188</v>
      </c>
    </row>
    <row r="1742" spans="1:7">
      <c r="A1742" s="6">
        <v>42931</v>
      </c>
      <c r="B1742" s="3" t="s">
        <v>3494</v>
      </c>
      <c r="C1742" s="3" t="s">
        <v>18</v>
      </c>
      <c r="D1742" s="8" t="str">
        <f>HYPERLINK("http://npthd.inbcu.com/ViewContent.aspx?filename=NPMR_NBC_2017-07-15_E.MP4$868$1290","LITTLE BIG SHOTS: FOREVER YOUNG: 103 years young")</f>
        <v>LITTLE BIG SHOTS: FOREVER YOUNG: 103 years young</v>
      </c>
      <c r="E1742" s="3" t="s">
        <v>1087</v>
      </c>
      <c r="F1742" s="3" t="s">
        <v>4188</v>
      </c>
      <c r="G1742" s="3" t="s">
        <v>4189</v>
      </c>
    </row>
    <row r="1743" spans="1:7">
      <c r="A1743" s="6">
        <v>42931</v>
      </c>
      <c r="B1743" s="3" t="s">
        <v>3494</v>
      </c>
      <c r="C1743" s="3" t="s">
        <v>21</v>
      </c>
      <c r="D1743" s="8" t="str">
        <f>HYPERLINK("http://npthd.inbcu.com/ViewContent.aspx?filename=NPMR_NBC_2017-07-15_E.MP4$1290$1381","COMMERCIAL")</f>
        <v>COMMERCIAL</v>
      </c>
      <c r="E1743" s="3" t="s">
        <v>77</v>
      </c>
      <c r="F1743" s="3" t="s">
        <v>4189</v>
      </c>
      <c r="G1743" s="3" t="s">
        <v>2696</v>
      </c>
    </row>
    <row r="1744" spans="1:7">
      <c r="A1744" s="6">
        <v>42931</v>
      </c>
      <c r="B1744" s="3" t="s">
        <v>3494</v>
      </c>
      <c r="C1744" s="3" t="s">
        <v>14</v>
      </c>
      <c r="D1744" s="8" t="str">
        <f>HYPERLINK("http://npthd.inbcu.com/ViewContent.aspx?filename=NPMR_NBC_2017-07-15_E.MP4$1381$1386","Spartan Race")</f>
        <v>Spartan Race</v>
      </c>
      <c r="E1744" s="3" t="s">
        <v>54</v>
      </c>
      <c r="F1744" s="3" t="s">
        <v>2696</v>
      </c>
      <c r="G1744" s="3" t="s">
        <v>5375</v>
      </c>
    </row>
    <row r="1745" spans="1:7">
      <c r="A1745" s="6">
        <v>42931</v>
      </c>
      <c r="B1745" s="3" t="s">
        <v>3494</v>
      </c>
      <c r="C1745" s="3" t="s">
        <v>32</v>
      </c>
      <c r="D1745" s="8" t="str">
        <f>HYPERLINK("http://npthd.inbcu.com/ViewContent.aspx?filename=NPMR_NBC_2017-07-15_E.MP4$1386$1510","LOCAL")</f>
        <v>LOCAL</v>
      </c>
      <c r="E1745" s="3" t="s">
        <v>2013</v>
      </c>
      <c r="F1745" s="3" t="s">
        <v>5375</v>
      </c>
      <c r="G1745" s="3" t="s">
        <v>132</v>
      </c>
    </row>
    <row r="1746" spans="1:7">
      <c r="A1746" s="6">
        <v>42931</v>
      </c>
      <c r="B1746" s="3" t="s">
        <v>3494</v>
      </c>
      <c r="C1746" s="3" t="s">
        <v>18</v>
      </c>
      <c r="D1746" s="8" t="str">
        <f>HYPERLINK("http://npthd.inbcu.com/ViewContent.aspx?filename=NPMR_NBC_2017-07-15_E.MP4$1510$1945","LITTLE BIG SHOTS: FOREVER YOUNG: 103 years young")</f>
        <v>LITTLE BIG SHOTS: FOREVER YOUNG: 103 years young</v>
      </c>
      <c r="E1746" s="3" t="s">
        <v>415</v>
      </c>
      <c r="F1746" s="3" t="s">
        <v>132</v>
      </c>
      <c r="G1746" s="3" t="s">
        <v>2068</v>
      </c>
    </row>
    <row r="1747" spans="1:7">
      <c r="A1747" s="6">
        <v>42931</v>
      </c>
      <c r="B1747" s="3" t="s">
        <v>3494</v>
      </c>
      <c r="C1747" s="3" t="s">
        <v>14</v>
      </c>
      <c r="D1747" s="8" t="str">
        <f>HYPERLINK("http://npthd.inbcu.com/ViewContent.aspx?filename=NPMR_NBC_2017-07-15_E.MP4$1945$1960","Cold Justice (Oxygen)")</f>
        <v>Cold Justice (Oxygen)</v>
      </c>
      <c r="E1747" s="3" t="s">
        <v>30</v>
      </c>
      <c r="F1747" s="3" t="s">
        <v>2068</v>
      </c>
      <c r="G1747" s="3" t="s">
        <v>2139</v>
      </c>
    </row>
    <row r="1748" spans="1:7">
      <c r="A1748" s="6">
        <v>42931</v>
      </c>
      <c r="B1748" s="3" t="s">
        <v>3494</v>
      </c>
      <c r="C1748" s="3" t="s">
        <v>21</v>
      </c>
      <c r="D1748" s="8" t="str">
        <f>HYPERLINK("http://npthd.inbcu.com/ViewContent.aspx?filename=NPMR_NBC_2017-07-15_E.MP4$1960$2140","COMMERCIAL")</f>
        <v>COMMERCIAL</v>
      </c>
      <c r="E1748" s="3" t="s">
        <v>22</v>
      </c>
      <c r="F1748" s="3" t="s">
        <v>2139</v>
      </c>
      <c r="G1748" s="3" t="s">
        <v>5376</v>
      </c>
    </row>
    <row r="1749" spans="1:7">
      <c r="A1749" s="6">
        <v>42931</v>
      </c>
      <c r="B1749" s="3" t="s">
        <v>3494</v>
      </c>
      <c r="C1749" s="3" t="s">
        <v>14</v>
      </c>
      <c r="D1749" s="8" t="str">
        <f>HYPERLINK("http://npthd.inbcu.com/ViewContent.aspx?filename=NPMR_NBC_2017-07-15_E.MP4$2140$2155","Americas Got Talent")</f>
        <v>Americas Got Talent</v>
      </c>
      <c r="E1749" s="3" t="s">
        <v>30</v>
      </c>
      <c r="F1749" s="3" t="s">
        <v>5376</v>
      </c>
      <c r="G1749" s="3" t="s">
        <v>5377</v>
      </c>
    </row>
    <row r="1750" spans="1:7">
      <c r="A1750" s="6">
        <v>42931</v>
      </c>
      <c r="B1750" s="3" t="s">
        <v>3494</v>
      </c>
      <c r="C1750" s="3" t="s">
        <v>14</v>
      </c>
      <c r="D1750" s="8" t="str">
        <f>HYPERLINK("http://npthd.inbcu.com/ViewContent.aspx?filename=NPMR_NBC_2017-07-15_E.MP4$2155$2170","World of Dance")</f>
        <v>World of Dance</v>
      </c>
      <c r="E1750" s="3" t="s">
        <v>30</v>
      </c>
      <c r="F1750" s="3" t="s">
        <v>5377</v>
      </c>
      <c r="G1750" s="3" t="s">
        <v>5378</v>
      </c>
    </row>
    <row r="1751" spans="1:7">
      <c r="A1751" s="6">
        <v>42931</v>
      </c>
      <c r="B1751" s="3" t="s">
        <v>3494</v>
      </c>
      <c r="C1751" s="3" t="s">
        <v>18</v>
      </c>
      <c r="D1751" s="8" t="str">
        <f>HYPERLINK("http://npthd.inbcu.com/ViewContent.aspx?filename=NPMR_NBC_2017-07-15_E.MP4$2170$2528","LITTLE BIG SHOTS: FOREVER YOUNG: 103 years young")</f>
        <v>LITTLE BIG SHOTS: FOREVER YOUNG: 103 years young</v>
      </c>
      <c r="E1751" s="3" t="s">
        <v>4198</v>
      </c>
      <c r="F1751" s="3" t="s">
        <v>5378</v>
      </c>
      <c r="G1751" s="3" t="s">
        <v>4590</v>
      </c>
    </row>
    <row r="1752" spans="1:7">
      <c r="A1752" s="6">
        <v>42931</v>
      </c>
      <c r="B1752" s="3" t="s">
        <v>3494</v>
      </c>
      <c r="C1752" s="3" t="s">
        <v>21</v>
      </c>
      <c r="D1752" s="8" t="str">
        <f>HYPERLINK("http://npthd.inbcu.com/ViewContent.aspx?filename=NPMR_NBC_2017-07-15_E.MP4$2528$2588","COMMERCIAL")</f>
        <v>COMMERCIAL</v>
      </c>
      <c r="E1752" s="3" t="s">
        <v>66</v>
      </c>
      <c r="F1752" s="3" t="s">
        <v>4590</v>
      </c>
      <c r="G1752" s="3" t="s">
        <v>2005</v>
      </c>
    </row>
    <row r="1753" spans="1:7">
      <c r="A1753" s="6">
        <v>42931</v>
      </c>
      <c r="B1753" s="3" t="s">
        <v>3494</v>
      </c>
      <c r="C1753" s="3" t="s">
        <v>14</v>
      </c>
      <c r="D1753" s="8" t="str">
        <f>HYPERLINK("http://npthd.inbcu.com/ViewContent.aspx?filename=NPMR_NBC_2017-07-15_E.MP4$2588$2603","American Ninja Warrior")</f>
        <v>American Ninja Warrior</v>
      </c>
      <c r="E1753" s="3" t="s">
        <v>30</v>
      </c>
      <c r="F1753" s="3" t="s">
        <v>2005</v>
      </c>
      <c r="G1753" s="3" t="s">
        <v>5379</v>
      </c>
    </row>
    <row r="1754" spans="1:7">
      <c r="A1754" s="6">
        <v>42931</v>
      </c>
      <c r="B1754" s="3" t="s">
        <v>3494</v>
      </c>
      <c r="C1754" s="3" t="s">
        <v>32</v>
      </c>
      <c r="D1754" s="8" t="str">
        <f>HYPERLINK("http://npthd.inbcu.com/ViewContent.aspx?filename=NPMR_NBC_2017-07-15_E.MP4$2603$2724","LOCAL")</f>
        <v>LOCAL</v>
      </c>
      <c r="E1754" s="3" t="s">
        <v>175</v>
      </c>
      <c r="F1754" s="3" t="s">
        <v>5379</v>
      </c>
      <c r="G1754" s="3" t="s">
        <v>2852</v>
      </c>
    </row>
    <row r="1755" spans="1:7">
      <c r="A1755" s="6">
        <v>42931</v>
      </c>
      <c r="B1755" s="3" t="s">
        <v>3494</v>
      </c>
      <c r="C1755" s="3" t="s">
        <v>14</v>
      </c>
      <c r="D1755" s="8" t="str">
        <f>HYPERLINK("http://npthd.inbcu.com/ViewContent.aspx?filename=NPMR_NBC_2017-07-15_E.MP4$2724$2739","Hollywood Game Night")</f>
        <v>Hollywood Game Night</v>
      </c>
      <c r="E1755" s="3" t="s">
        <v>30</v>
      </c>
      <c r="F1755" s="3" t="s">
        <v>2852</v>
      </c>
      <c r="G1755" s="3" t="s">
        <v>5380</v>
      </c>
    </row>
    <row r="1756" spans="1:7">
      <c r="A1756" s="6">
        <v>42931</v>
      </c>
      <c r="B1756" s="3" t="s">
        <v>3494</v>
      </c>
      <c r="C1756" s="3" t="s">
        <v>18</v>
      </c>
      <c r="D1756" s="8" t="str">
        <f>HYPERLINK("http://npthd.inbcu.com/ViewContent.aspx?filename=NPMR_NBC_2017-07-15_E.MP4$2739$3036","LITTLE BIG SHOTS: FOREVER YOUNG: 103 years young")</f>
        <v>LITTLE BIG SHOTS: FOREVER YOUNG: 103 years young</v>
      </c>
      <c r="E1756" s="3" t="s">
        <v>974</v>
      </c>
      <c r="F1756" s="3" t="s">
        <v>5380</v>
      </c>
      <c r="G1756" s="3" t="s">
        <v>2575</v>
      </c>
    </row>
    <row r="1757" spans="1:7">
      <c r="A1757" s="6">
        <v>42931</v>
      </c>
      <c r="B1757" s="3" t="s">
        <v>3494</v>
      </c>
      <c r="C1757" s="3" t="s">
        <v>21</v>
      </c>
      <c r="D1757" s="8" t="str">
        <f>HYPERLINK("http://npthd.inbcu.com/ViewContent.aspx?filename=NPMR_NBC_2017-07-15_E.MP4$3036$3217","COMMERCIAL")</f>
        <v>COMMERCIAL</v>
      </c>
      <c r="E1757" s="3" t="s">
        <v>108</v>
      </c>
      <c r="F1757" s="3" t="s">
        <v>2575</v>
      </c>
      <c r="G1757" s="3" t="s">
        <v>796</v>
      </c>
    </row>
    <row r="1758" spans="1:7">
      <c r="A1758" s="6">
        <v>42931</v>
      </c>
      <c r="B1758" s="3" t="s">
        <v>3494</v>
      </c>
      <c r="C1758" s="3" t="s">
        <v>14</v>
      </c>
      <c r="D1758" s="8" t="str">
        <f>HYPERLINK("http://npthd.inbcu.com/ViewContent.aspx?filename=NPMR_NBC_2017-07-15_E.MP4$3217$3247","Brave, The")</f>
        <v>Brave, The</v>
      </c>
      <c r="E1758" s="3" t="s">
        <v>38</v>
      </c>
      <c r="F1758" s="3" t="s">
        <v>796</v>
      </c>
      <c r="G1758" s="3" t="s">
        <v>4519</v>
      </c>
    </row>
    <row r="1759" spans="1:7">
      <c r="A1759" s="6">
        <v>42931</v>
      </c>
      <c r="B1759" s="3" t="s">
        <v>3494</v>
      </c>
      <c r="C1759" s="3" t="s">
        <v>18</v>
      </c>
      <c r="D1759" s="8" t="str">
        <f>HYPERLINK("http://npthd.inbcu.com/ViewContent.aspx?filename=NPMR_NBC_2017-07-15_E.MP4$3247$3655","LITTLE BIG SHOTS: FOREVER YOUNG: 103 years young")</f>
        <v>LITTLE BIG SHOTS: FOREVER YOUNG: 103 years young</v>
      </c>
      <c r="E1759" s="3" t="s">
        <v>1696</v>
      </c>
      <c r="F1759" s="3" t="s">
        <v>4519</v>
      </c>
      <c r="G1759" s="3" t="s">
        <v>4333</v>
      </c>
    </row>
    <row r="1760" spans="1:7">
      <c r="A1760" s="6">
        <v>42931</v>
      </c>
      <c r="B1760" s="3" t="s">
        <v>3494</v>
      </c>
      <c r="C1760" s="3" t="s">
        <v>14</v>
      </c>
      <c r="D1760" s="8" t="str">
        <f>HYPERLINK("http://npthd.inbcu.com/ViewContent.aspx?filename=NPMR_NBC_2017-07-15_E.MP4$3655$3685","Little Big Shots: Forever Young")</f>
        <v>Little Big Shots: Forever Young</v>
      </c>
      <c r="E1760" s="3" t="s">
        <v>38</v>
      </c>
      <c r="F1760" s="3" t="s">
        <v>4333</v>
      </c>
      <c r="G1760" s="3" t="s">
        <v>2196</v>
      </c>
    </row>
    <row r="1761" spans="1:7">
      <c r="A1761" s="6">
        <v>42931</v>
      </c>
      <c r="B1761" s="3" t="s">
        <v>3494</v>
      </c>
      <c r="C1761" s="3" t="s">
        <v>18</v>
      </c>
      <c r="D1761" s="8" t="str">
        <f>HYPERLINK("http://npthd.inbcu.com/ViewContent.aspx?filename=NPMR_NBC_2017-07-15_E.MP4$3685$3690","LITTLE BIG SHOTS: FOREVER YOUNG: 103 years young")</f>
        <v>LITTLE BIG SHOTS: FOREVER YOUNG: 103 years young</v>
      </c>
      <c r="E1761" s="3" t="s">
        <v>54</v>
      </c>
      <c r="F1761" s="3" t="s">
        <v>2196</v>
      </c>
      <c r="G1761" s="3" t="s">
        <v>242</v>
      </c>
    </row>
    <row r="1762" spans="1:7">
      <c r="A1762" s="6">
        <v>42931</v>
      </c>
      <c r="B1762" s="3" t="s">
        <v>3494</v>
      </c>
      <c r="C1762" s="3" t="s">
        <v>18</v>
      </c>
      <c r="D1762" s="8" t="str">
        <f>HYPERLINK("http://npthd.inbcu.com/ViewContent.aspx?filename=NPMR_NBC_2017-07-15_E.MP4$3690$4166","DATELINE SATURDAY NIGHT MYSTERY: sa2643")</f>
        <v>DATELINE SATURDAY NIGHT MYSTERY: sa2643</v>
      </c>
      <c r="E1762" s="3" t="s">
        <v>2308</v>
      </c>
      <c r="F1762" s="3" t="s">
        <v>242</v>
      </c>
      <c r="G1762" s="3" t="s">
        <v>5381</v>
      </c>
    </row>
    <row r="1763" spans="1:7">
      <c r="A1763" s="6">
        <v>42931</v>
      </c>
      <c r="B1763" s="3" t="s">
        <v>3494</v>
      </c>
      <c r="C1763" s="3" t="s">
        <v>21</v>
      </c>
      <c r="D1763" s="8" t="str">
        <f>HYPERLINK("http://npthd.inbcu.com/ViewContent.aspx?filename=NPMR_NBC_2017-07-15_E.MP4$4166$4286","COMMERCIAL")</f>
        <v>COMMERCIAL</v>
      </c>
      <c r="E1763" s="3" t="s">
        <v>43</v>
      </c>
      <c r="F1763" s="3" t="s">
        <v>5381</v>
      </c>
      <c r="G1763" s="3" t="s">
        <v>5382</v>
      </c>
    </row>
    <row r="1764" spans="1:7">
      <c r="A1764" s="6">
        <v>42931</v>
      </c>
      <c r="B1764" s="3" t="s">
        <v>3494</v>
      </c>
      <c r="C1764" s="3" t="s">
        <v>14</v>
      </c>
      <c r="D1764" s="8" t="str">
        <f>HYPERLINK("http://npthd.inbcu.com/ViewContent.aspx?filename=NPMR_NBC_2017-07-15_E.MP4$4286$4316","Midnight Texas")</f>
        <v>Midnight Texas</v>
      </c>
      <c r="E1764" s="3" t="s">
        <v>38</v>
      </c>
      <c r="F1764" s="3" t="s">
        <v>5382</v>
      </c>
      <c r="G1764" s="3" t="s">
        <v>2468</v>
      </c>
    </row>
    <row r="1765" spans="1:7">
      <c r="A1765" s="6">
        <v>42931</v>
      </c>
      <c r="B1765" s="3" t="s">
        <v>3494</v>
      </c>
      <c r="C1765" s="3" t="s">
        <v>14</v>
      </c>
      <c r="D1765" s="8" t="str">
        <f>HYPERLINK("http://npthd.inbcu.com/ViewContent.aspx?filename=NPMR_NBC_2017-07-15_E.MP4$4316$4331","Cold Justice (Oxygen)")</f>
        <v>Cold Justice (Oxygen)</v>
      </c>
      <c r="E1765" s="3" t="s">
        <v>30</v>
      </c>
      <c r="F1765" s="3" t="s">
        <v>2468</v>
      </c>
      <c r="G1765" s="3" t="s">
        <v>5383</v>
      </c>
    </row>
    <row r="1766" spans="1:7">
      <c r="A1766" s="6">
        <v>42931</v>
      </c>
      <c r="B1766" s="3" t="s">
        <v>3494</v>
      </c>
      <c r="C1766" s="3" t="s">
        <v>18</v>
      </c>
      <c r="D1766" s="8" t="str">
        <f>HYPERLINK("http://npthd.inbcu.com/ViewContent.aspx?filename=NPMR_NBC_2017-07-15_E.MP4$4331$4693","DATELINE SATURDAY NIGHT MYSTERY: sa2643")</f>
        <v>DATELINE SATURDAY NIGHT MYSTERY: sa2643</v>
      </c>
      <c r="E1766" s="3" t="s">
        <v>48</v>
      </c>
      <c r="F1766" s="3" t="s">
        <v>5383</v>
      </c>
      <c r="G1766" s="3" t="s">
        <v>5384</v>
      </c>
    </row>
    <row r="1767" spans="1:7">
      <c r="A1767" s="6">
        <v>42931</v>
      </c>
      <c r="B1767" s="3" t="s">
        <v>3494</v>
      </c>
      <c r="C1767" s="3" t="s">
        <v>21</v>
      </c>
      <c r="D1767" s="8" t="str">
        <f>HYPERLINK("http://npthd.inbcu.com/ViewContent.aspx?filename=NPMR_NBC_2017-07-15_E.MP4$4693$4754","COMMERCIAL")</f>
        <v>COMMERCIAL</v>
      </c>
      <c r="E1767" s="3" t="s">
        <v>33</v>
      </c>
      <c r="F1767" s="3" t="s">
        <v>5384</v>
      </c>
      <c r="G1767" s="3" t="s">
        <v>5385</v>
      </c>
    </row>
    <row r="1768" spans="1:7">
      <c r="A1768" s="6">
        <v>42931</v>
      </c>
      <c r="B1768" s="3" t="s">
        <v>3494</v>
      </c>
      <c r="C1768" s="3" t="s">
        <v>14</v>
      </c>
      <c r="D1768" s="8" t="str">
        <f>HYPERLINK("http://npthd.inbcu.com/ViewContent.aspx?filename=NPMR_NBC_2017-07-15_E.MP4$4754$4759","Americas Got Talent")</f>
        <v>Americas Got Talent</v>
      </c>
      <c r="E1768" s="3" t="s">
        <v>54</v>
      </c>
      <c r="F1768" s="3" t="s">
        <v>5385</v>
      </c>
      <c r="G1768" s="3" t="s">
        <v>4599</v>
      </c>
    </row>
    <row r="1769" spans="1:7">
      <c r="A1769" s="6">
        <v>42931</v>
      </c>
      <c r="B1769" s="3" t="s">
        <v>3494</v>
      </c>
      <c r="C1769" s="3" t="s">
        <v>32</v>
      </c>
      <c r="D1769" s="8" t="str">
        <f>HYPERLINK("http://npthd.inbcu.com/ViewContent.aspx?filename=NPMR_NBC_2017-07-15_E.MP4$4759$4884","LOCAL")</f>
        <v>LOCAL</v>
      </c>
      <c r="E1769" s="3" t="s">
        <v>2216</v>
      </c>
      <c r="F1769" s="3" t="s">
        <v>4599</v>
      </c>
      <c r="G1769" s="3" t="s">
        <v>5386</v>
      </c>
    </row>
    <row r="1770" spans="1:7">
      <c r="A1770" s="6">
        <v>42931</v>
      </c>
      <c r="B1770" s="3" t="s">
        <v>3494</v>
      </c>
      <c r="C1770" s="3" t="s">
        <v>14</v>
      </c>
      <c r="D1770" s="8" t="str">
        <f>HYPERLINK("http://npthd.inbcu.com/ViewContent.aspx?filename=NPMR_NBC_2017-07-15_E.MP4$4884$4899","Law &amp; Order True Crime Menendez")</f>
        <v>Law &amp; Order True Crime Menendez</v>
      </c>
      <c r="E1770" s="3" t="s">
        <v>30</v>
      </c>
      <c r="F1770" s="3" t="s">
        <v>5386</v>
      </c>
      <c r="G1770" s="3" t="s">
        <v>5387</v>
      </c>
    </row>
    <row r="1771" spans="1:7">
      <c r="A1771" s="6">
        <v>42931</v>
      </c>
      <c r="B1771" s="3" t="s">
        <v>3494</v>
      </c>
      <c r="C1771" s="3" t="s">
        <v>18</v>
      </c>
      <c r="D1771" s="8" t="str">
        <f>HYPERLINK("http://npthd.inbcu.com/ViewContent.aspx?filename=NPMR_NBC_2017-07-15_E.MP4$4899$5255","DATELINE SATURDAY NIGHT MYSTERY: sa2643")</f>
        <v>DATELINE SATURDAY NIGHT MYSTERY: sa2643</v>
      </c>
      <c r="E1771" s="3" t="s">
        <v>4055</v>
      </c>
      <c r="F1771" s="3" t="s">
        <v>5387</v>
      </c>
      <c r="G1771" s="3" t="s">
        <v>5388</v>
      </c>
    </row>
    <row r="1772" spans="1:7">
      <c r="A1772" s="6">
        <v>42931</v>
      </c>
      <c r="B1772" s="3" t="s">
        <v>3494</v>
      </c>
      <c r="C1772" s="3" t="s">
        <v>21</v>
      </c>
      <c r="D1772" s="8" t="str">
        <f>HYPERLINK("http://npthd.inbcu.com/ViewContent.aspx?filename=NPMR_NBC_2017-07-15_E.MP4$5255$5406","COMMERCIAL")</f>
        <v>COMMERCIAL</v>
      </c>
      <c r="E1772" s="3" t="s">
        <v>91</v>
      </c>
      <c r="F1772" s="3" t="s">
        <v>5388</v>
      </c>
      <c r="G1772" s="3" t="s">
        <v>5139</v>
      </c>
    </row>
    <row r="1773" spans="1:7">
      <c r="A1773" s="6">
        <v>42931</v>
      </c>
      <c r="B1773" s="3" t="s">
        <v>3494</v>
      </c>
      <c r="C1773" s="3" t="s">
        <v>14</v>
      </c>
      <c r="D1773" s="8" t="str">
        <f>HYPERLINK("http://npthd.inbcu.com/ViewContent.aspx?filename=NPMR_NBC_2017-07-15_E.MP4$5406$5436","Brave, The")</f>
        <v>Brave, The</v>
      </c>
      <c r="E1773" s="3" t="s">
        <v>38</v>
      </c>
      <c r="F1773" s="3" t="s">
        <v>5139</v>
      </c>
      <c r="G1773" s="3" t="s">
        <v>1852</v>
      </c>
    </row>
    <row r="1774" spans="1:7">
      <c r="A1774" s="6">
        <v>42931</v>
      </c>
      <c r="B1774" s="3" t="s">
        <v>3494</v>
      </c>
      <c r="C1774" s="3" t="s">
        <v>18</v>
      </c>
      <c r="D1774" s="8" t="str">
        <f>HYPERLINK("http://npthd.inbcu.com/ViewContent.aspx?filename=NPMR_NBC_2017-07-15_E.MP4$5436$5853","DATELINE SATURDAY NIGHT MYSTERY: sa2643")</f>
        <v>DATELINE SATURDAY NIGHT MYSTERY: sa2643</v>
      </c>
      <c r="E1774" s="3" t="s">
        <v>2040</v>
      </c>
      <c r="F1774" s="3" t="s">
        <v>1852</v>
      </c>
      <c r="G1774" s="3" t="s">
        <v>3352</v>
      </c>
    </row>
    <row r="1775" spans="1:7">
      <c r="A1775" s="6">
        <v>42931</v>
      </c>
      <c r="B1775" s="3" t="s">
        <v>3494</v>
      </c>
      <c r="C1775" s="3" t="s">
        <v>21</v>
      </c>
      <c r="D1775" s="8" t="str">
        <f>HYPERLINK("http://npthd.inbcu.com/ViewContent.aspx?filename=NPMR_NBC_2017-07-15_E.MP4$5853$5913","COMMERCIAL")</f>
        <v>COMMERCIAL</v>
      </c>
      <c r="E1775" s="3" t="s">
        <v>66</v>
      </c>
      <c r="F1775" s="3" t="s">
        <v>3352</v>
      </c>
      <c r="G1775" s="3" t="s">
        <v>5141</v>
      </c>
    </row>
    <row r="1776" spans="1:7">
      <c r="A1776" s="6">
        <v>42931</v>
      </c>
      <c r="B1776" s="3" t="s">
        <v>3494</v>
      </c>
      <c r="C1776" s="3" t="s">
        <v>14</v>
      </c>
      <c r="D1776" s="8" t="str">
        <f>HYPERLINK("http://npthd.inbcu.com/ViewContent.aspx?filename=NPMR_NBC_2017-07-15_E.MP4$5913$5918","Midnight Texas")</f>
        <v>Midnight Texas</v>
      </c>
      <c r="E1776" s="3" t="s">
        <v>54</v>
      </c>
      <c r="F1776" s="3" t="s">
        <v>5141</v>
      </c>
      <c r="G1776" s="3" t="s">
        <v>3353</v>
      </c>
    </row>
    <row r="1777" spans="1:7">
      <c r="A1777" s="6">
        <v>42931</v>
      </c>
      <c r="B1777" s="3" t="s">
        <v>3494</v>
      </c>
      <c r="C1777" s="3" t="s">
        <v>32</v>
      </c>
      <c r="D1777" s="8" t="str">
        <f>HYPERLINK("http://npthd.inbcu.com/ViewContent.aspx?filename=NPMR_NBC_2017-07-15_E.MP4$5918$6038","LOCAL")</f>
        <v>LOCAL</v>
      </c>
      <c r="E1777" s="3" t="s">
        <v>43</v>
      </c>
      <c r="F1777" s="3" t="s">
        <v>3353</v>
      </c>
      <c r="G1777" s="3" t="s">
        <v>5389</v>
      </c>
    </row>
    <row r="1778" spans="1:7">
      <c r="A1778" s="6">
        <v>42931</v>
      </c>
      <c r="B1778" s="3" t="s">
        <v>3494</v>
      </c>
      <c r="C1778" s="3" t="s">
        <v>14</v>
      </c>
      <c r="D1778" s="8" t="str">
        <f>HYPERLINK("http://npthd.inbcu.com/ViewContent.aspx?filename=NPMR_NBC_2017-07-15_E.MP4$6038$6043","World of Dance")</f>
        <v>World of Dance</v>
      </c>
      <c r="E1778" s="3" t="s">
        <v>54</v>
      </c>
      <c r="F1778" s="3" t="s">
        <v>5389</v>
      </c>
      <c r="G1778" s="3" t="s">
        <v>5390</v>
      </c>
    </row>
    <row r="1779" spans="1:7">
      <c r="A1779" s="6">
        <v>42931</v>
      </c>
      <c r="B1779" s="3" t="s">
        <v>3494</v>
      </c>
      <c r="C1779" s="3" t="s">
        <v>18</v>
      </c>
      <c r="D1779" s="8" t="str">
        <f>HYPERLINK("http://npthd.inbcu.com/ViewContent.aspx?filename=NPMR_NBC_2017-07-15_E.MP4$6043$6443","DATELINE SATURDAY NIGHT MYSTERY: sa2643")</f>
        <v>DATELINE SATURDAY NIGHT MYSTERY: sa2643</v>
      </c>
      <c r="E1779" s="3" t="s">
        <v>857</v>
      </c>
      <c r="F1779" s="3" t="s">
        <v>5390</v>
      </c>
      <c r="G1779" s="3" t="s">
        <v>3143</v>
      </c>
    </row>
    <row r="1780" spans="1:7">
      <c r="A1780" s="6">
        <v>42931</v>
      </c>
      <c r="B1780" s="3" t="s">
        <v>3494</v>
      </c>
      <c r="C1780" s="3" t="s">
        <v>21</v>
      </c>
      <c r="D1780" s="8" t="str">
        <f>HYPERLINK("http://npthd.inbcu.com/ViewContent.aspx?filename=NPMR_NBC_2017-07-15_E.MP4$6443$6594","COMMERCIAL")</f>
        <v>COMMERCIAL</v>
      </c>
      <c r="E1780" s="3" t="s">
        <v>91</v>
      </c>
      <c r="F1780" s="3" t="s">
        <v>3143</v>
      </c>
      <c r="G1780" s="3" t="s">
        <v>3787</v>
      </c>
    </row>
    <row r="1781" spans="1:7">
      <c r="A1781" s="6">
        <v>42931</v>
      </c>
      <c r="B1781" s="3" t="s">
        <v>3494</v>
      </c>
      <c r="C1781" s="3" t="s">
        <v>14</v>
      </c>
      <c r="D1781" s="8" t="str">
        <f>HYPERLINK("http://npthd.inbcu.com/ViewContent.aspx?filename=NPMR_NBC_2017-07-15_E.MP4$6594$6609","American Ninja Warrior")</f>
        <v>American Ninja Warrior</v>
      </c>
      <c r="E1781" s="3" t="s">
        <v>30</v>
      </c>
      <c r="F1781" s="3" t="s">
        <v>3787</v>
      </c>
      <c r="G1781" s="3" t="s">
        <v>5391</v>
      </c>
    </row>
    <row r="1782" spans="1:7">
      <c r="A1782" s="6">
        <v>42931</v>
      </c>
      <c r="B1782" s="3" t="s">
        <v>3494</v>
      </c>
      <c r="C1782" s="3" t="s">
        <v>14</v>
      </c>
      <c r="D1782" s="8" t="str">
        <f>HYPERLINK("http://npthd.inbcu.com/ViewContent.aspx?filename=NPMR_NBC_2017-07-15_E.MP4$6609$6639","Law &amp; Order True Crime Menendez")</f>
        <v>Law &amp; Order True Crime Menendez</v>
      </c>
      <c r="E1782" s="3" t="s">
        <v>38</v>
      </c>
      <c r="F1782" s="3" t="s">
        <v>5391</v>
      </c>
      <c r="G1782" s="3" t="s">
        <v>5392</v>
      </c>
    </row>
    <row r="1783" spans="1:7">
      <c r="A1783" s="6">
        <v>42931</v>
      </c>
      <c r="B1783" s="3" t="s">
        <v>3494</v>
      </c>
      <c r="C1783" s="3" t="s">
        <v>18</v>
      </c>
      <c r="D1783" s="8" t="str">
        <f>HYPERLINK("http://npthd.inbcu.com/ViewContent.aspx?filename=NPMR_NBC_2017-07-15_E.MP4$6639$7095","DATELINE SATURDAY NIGHT MYSTERY: sa2643")</f>
        <v>DATELINE SATURDAY NIGHT MYSTERY: sa2643</v>
      </c>
      <c r="E1783" s="3" t="s">
        <v>1683</v>
      </c>
      <c r="F1783" s="3" t="s">
        <v>5392</v>
      </c>
      <c r="G1783" s="3" t="s">
        <v>2427</v>
      </c>
    </row>
    <row r="1784" spans="1:7">
      <c r="A1784" s="6">
        <v>42931</v>
      </c>
      <c r="B1784" s="3" t="s">
        <v>3494</v>
      </c>
      <c r="C1784" s="3" t="s">
        <v>21</v>
      </c>
      <c r="D1784" s="8" t="str">
        <f>HYPERLINK("http://npthd.inbcu.com/ViewContent.aspx?filename=NPMR_NBC_2017-07-15_E.MP4$7095$7185","COMMERCIAL")</f>
        <v>COMMERCIAL</v>
      </c>
      <c r="E1784" s="3" t="s">
        <v>46</v>
      </c>
      <c r="F1784" s="3" t="s">
        <v>2427</v>
      </c>
      <c r="G1784" s="3" t="s">
        <v>1918</v>
      </c>
    </row>
    <row r="1785" spans="1:7">
      <c r="A1785" s="6">
        <v>42931</v>
      </c>
      <c r="B1785" s="3" t="s">
        <v>3494</v>
      </c>
      <c r="C1785" s="3" t="s">
        <v>14</v>
      </c>
      <c r="D1785" s="8" t="str">
        <f>HYPERLINK("http://npthd.inbcu.com/ViewContent.aspx?filename=NPMR_NBC_2017-07-15_E.MP4$7185$7200","NFL Network")</f>
        <v>NFL Network</v>
      </c>
      <c r="E1785" s="3" t="s">
        <v>30</v>
      </c>
      <c r="F1785" s="3" t="s">
        <v>1918</v>
      </c>
      <c r="G1785" s="3" t="s">
        <v>2788</v>
      </c>
    </row>
    <row r="1786" spans="1:7">
      <c r="A1786" s="6">
        <v>42931</v>
      </c>
      <c r="B1786" s="3" t="s">
        <v>3494</v>
      </c>
      <c r="C1786" s="3" t="s">
        <v>32</v>
      </c>
      <c r="D1786" s="8" t="str">
        <f>HYPERLINK("http://npthd.inbcu.com/ViewContent.aspx?filename=NPMR_NBC_2017-07-15_E.MP4$7200$7261","LOCAL")</f>
        <v>LOCAL</v>
      </c>
      <c r="E1786" s="3" t="s">
        <v>33</v>
      </c>
      <c r="F1786" s="3" t="s">
        <v>2788</v>
      </c>
      <c r="G1786" s="3" t="s">
        <v>5393</v>
      </c>
    </row>
    <row r="1787" spans="1:7">
      <c r="A1787" s="6">
        <v>42931</v>
      </c>
      <c r="B1787" s="3" t="s">
        <v>3494</v>
      </c>
      <c r="C1787" s="3" t="s">
        <v>18</v>
      </c>
      <c r="D1787" s="8" t="str">
        <f>HYPERLINK("http://npthd.inbcu.com/ViewContent.aspx?filename=NPMR_NBC_2017-07-15_E.MP4$7261$7658","DATELINE SATURDAY NIGHT MYSTERY: sa2643")</f>
        <v>DATELINE SATURDAY NIGHT MYSTERY: sa2643</v>
      </c>
      <c r="E1787" s="3" t="s">
        <v>168</v>
      </c>
      <c r="F1787" s="3" t="s">
        <v>5393</v>
      </c>
      <c r="G1787" s="3" t="s">
        <v>570</v>
      </c>
    </row>
    <row r="1788" spans="1:7">
      <c r="A1788" s="6">
        <v>42931</v>
      </c>
      <c r="B1788" s="3" t="s">
        <v>3494</v>
      </c>
      <c r="C1788" s="3" t="s">
        <v>21</v>
      </c>
      <c r="D1788" s="8" t="str">
        <f>HYPERLINK("http://npthd.inbcu.com/ViewContent.aspx?filename=NPMR_NBC_2017-07-15_E.MP4$7658$7719","COMMERCIAL")</f>
        <v>COMMERCIAL</v>
      </c>
      <c r="E1788" s="3" t="s">
        <v>33</v>
      </c>
      <c r="F1788" s="3" t="s">
        <v>570</v>
      </c>
      <c r="G1788" s="3" t="s">
        <v>5394</v>
      </c>
    </row>
    <row r="1789" spans="1:7">
      <c r="A1789" s="6">
        <v>42931</v>
      </c>
      <c r="B1789" s="3" t="s">
        <v>3494</v>
      </c>
      <c r="C1789" s="3" t="s">
        <v>14</v>
      </c>
      <c r="D1789" s="8" t="str">
        <f>HYPERLINK("http://npthd.inbcu.com/ViewContent.aspx?filename=NPMR_NBC_2017-07-15_E.MP4$7719$7734","Americas Got Talent")</f>
        <v>Americas Got Talent</v>
      </c>
      <c r="E1789" s="3" t="s">
        <v>30</v>
      </c>
      <c r="F1789" s="3" t="s">
        <v>5394</v>
      </c>
      <c r="G1789" s="3" t="s">
        <v>5395</v>
      </c>
    </row>
    <row r="1790" spans="1:7">
      <c r="A1790" s="6">
        <v>42931</v>
      </c>
      <c r="B1790" s="3" t="s">
        <v>3494</v>
      </c>
      <c r="C1790" s="3" t="s">
        <v>14</v>
      </c>
      <c r="D1790" s="8" t="str">
        <f>HYPERLINK("http://npthd.inbcu.com/ViewContent.aspx?filename=NPMR_NBC_2017-07-15_E.MP4$7734$7764","This Is Us")</f>
        <v>This Is Us</v>
      </c>
      <c r="E1790" s="3" t="s">
        <v>38</v>
      </c>
      <c r="F1790" s="3" t="s">
        <v>5395</v>
      </c>
      <c r="G1790" s="3" t="s">
        <v>4169</v>
      </c>
    </row>
    <row r="1791" spans="1:7">
      <c r="A1791" s="6">
        <v>42931</v>
      </c>
      <c r="B1791" s="3" t="s">
        <v>3494</v>
      </c>
      <c r="C1791" s="3" t="s">
        <v>18</v>
      </c>
      <c r="D1791" s="8" t="str">
        <f>HYPERLINK("http://npthd.inbcu.com/ViewContent.aspx?filename=NPMR_NBC_2017-07-15_E.MP4$7764$8250","DATELINE SATURDAY NIGHT MYSTERY: sa2643")</f>
        <v>DATELINE SATURDAY NIGHT MYSTERY: sa2643</v>
      </c>
      <c r="E1791" s="3" t="s">
        <v>588</v>
      </c>
      <c r="F1791" s="3" t="s">
        <v>4169</v>
      </c>
      <c r="G1791" s="3" t="s">
        <v>5396</v>
      </c>
    </row>
    <row r="1792" spans="1:7">
      <c r="A1792" s="6">
        <v>42931</v>
      </c>
      <c r="B1792" s="3" t="s">
        <v>3494</v>
      </c>
      <c r="C1792" s="3" t="s">
        <v>21</v>
      </c>
      <c r="D1792" s="8" t="str">
        <f>HYPERLINK("http://npthd.inbcu.com/ViewContent.aspx?filename=NPMR_NBC_2017-07-15_E.MP4$8250$8310","COMMERCIAL")</f>
        <v>COMMERCIAL</v>
      </c>
      <c r="E1792" s="3" t="s">
        <v>66</v>
      </c>
      <c r="F1792" s="3" t="s">
        <v>5396</v>
      </c>
      <c r="G1792" s="3" t="s">
        <v>1741</v>
      </c>
    </row>
    <row r="1793" spans="1:7">
      <c r="A1793" s="6">
        <v>42931</v>
      </c>
      <c r="B1793" s="3" t="s">
        <v>3494</v>
      </c>
      <c r="C1793" s="3" t="s">
        <v>14</v>
      </c>
      <c r="D1793" s="8" t="str">
        <f>HYPERLINK("http://npthd.inbcu.com/ViewContent.aspx?filename=NPMR_NBC_2017-07-15_E.MP4$8310$8315","American Ninja Warrior")</f>
        <v>American Ninja Warrior</v>
      </c>
      <c r="E1793" s="3" t="s">
        <v>54</v>
      </c>
      <c r="F1793" s="3" t="s">
        <v>1741</v>
      </c>
      <c r="G1793" s="3" t="s">
        <v>5397</v>
      </c>
    </row>
    <row r="1794" spans="1:7">
      <c r="A1794" s="6">
        <v>42931</v>
      </c>
      <c r="B1794" s="3" t="s">
        <v>3494</v>
      </c>
      <c r="C1794" s="3" t="s">
        <v>32</v>
      </c>
      <c r="D1794" s="8" t="str">
        <f>HYPERLINK("http://npthd.inbcu.com/ViewContent.aspx?filename=NPMR_NBC_2017-07-15_E.MP4$8315$8479","LOCAL")</f>
        <v>LOCAL</v>
      </c>
      <c r="E1794" s="3" t="s">
        <v>4353</v>
      </c>
      <c r="F1794" s="3" t="s">
        <v>5397</v>
      </c>
      <c r="G1794" s="3" t="s">
        <v>5398</v>
      </c>
    </row>
    <row r="1795" spans="1:7">
      <c r="A1795" s="6">
        <v>42931</v>
      </c>
      <c r="B1795" s="3" t="s">
        <v>3494</v>
      </c>
      <c r="C1795" s="3" t="s">
        <v>14</v>
      </c>
      <c r="D1795" s="8" t="str">
        <f>HYPERLINK("http://npthd.inbcu.com/ViewContent.aspx?filename=NPMR_NBC_2017-07-15_E.MP4$8479$8484","Midnight Texas")</f>
        <v>Midnight Texas</v>
      </c>
      <c r="E1795" s="3" t="s">
        <v>54</v>
      </c>
      <c r="F1795" s="3" t="s">
        <v>5398</v>
      </c>
      <c r="G1795" s="3" t="s">
        <v>5399</v>
      </c>
    </row>
    <row r="1796" spans="1:7">
      <c r="A1796" s="6">
        <v>42931</v>
      </c>
      <c r="B1796" s="3" t="s">
        <v>3494</v>
      </c>
      <c r="C1796" s="3" t="s">
        <v>18</v>
      </c>
      <c r="D1796" s="8" t="str">
        <f>HYPERLINK("http://npthd.inbcu.com/ViewContent.aspx?filename=NPMR_NBC_2017-07-15_E.MP4$8484$8913","DATELINE SATURDAY NIGHT MYSTERY: sa2643")</f>
        <v>DATELINE SATURDAY NIGHT MYSTERY: sa2643</v>
      </c>
      <c r="E1796" s="3" t="s">
        <v>772</v>
      </c>
      <c r="F1796" s="3" t="s">
        <v>5399</v>
      </c>
      <c r="G1796" s="3" t="s">
        <v>3199</v>
      </c>
    </row>
    <row r="1797" spans="1:7">
      <c r="A1797" s="6">
        <v>42931</v>
      </c>
      <c r="B1797" s="3" t="s">
        <v>3494</v>
      </c>
      <c r="C1797" s="3" t="s">
        <v>21</v>
      </c>
      <c r="D1797" s="8" t="str">
        <f>HYPERLINK("http://npthd.inbcu.com/ViewContent.aspx?filename=NPMR_NBC_2017-07-15_E.MP4$8913$9094","COMMERCIAL")</f>
        <v>COMMERCIAL</v>
      </c>
      <c r="E1797" s="3" t="s">
        <v>108</v>
      </c>
      <c r="F1797" s="3" t="s">
        <v>3199</v>
      </c>
      <c r="G1797" s="3" t="s">
        <v>1169</v>
      </c>
    </row>
    <row r="1798" spans="1:7">
      <c r="A1798" s="6">
        <v>42931</v>
      </c>
      <c r="B1798" s="3" t="s">
        <v>3494</v>
      </c>
      <c r="C1798" s="3" t="s">
        <v>14</v>
      </c>
      <c r="D1798" s="8" t="str">
        <f>HYPERLINK("http://npthd.inbcu.com/ViewContent.aspx?filename=NPMR_NBC_2017-07-15_E.MP4$9094$9109","Sunday Night with Megyn Kelly")</f>
        <v>Sunday Night with Megyn Kelly</v>
      </c>
      <c r="E1798" s="3" t="s">
        <v>30</v>
      </c>
      <c r="F1798" s="3" t="s">
        <v>1169</v>
      </c>
      <c r="G1798" s="3" t="s">
        <v>5400</v>
      </c>
    </row>
    <row r="1799" spans="1:7">
      <c r="A1799" s="6">
        <v>42931</v>
      </c>
      <c r="B1799" s="3" t="s">
        <v>3494</v>
      </c>
      <c r="C1799" s="3" t="s">
        <v>14</v>
      </c>
      <c r="D1799" s="8" t="str">
        <f>HYPERLINK("http://npthd.inbcu.com/ViewContent.aspx?filename=NPMR_NBC_2017-07-15_E.MP4$9109$9139","Brave, The")</f>
        <v>Brave, The</v>
      </c>
      <c r="E1799" s="3" t="s">
        <v>38</v>
      </c>
      <c r="F1799" s="3" t="s">
        <v>5400</v>
      </c>
      <c r="G1799" s="3" t="s">
        <v>5401</v>
      </c>
    </row>
    <row r="1800" spans="1:7">
      <c r="A1800" s="6">
        <v>42931</v>
      </c>
      <c r="B1800" s="3" t="s">
        <v>3494</v>
      </c>
      <c r="C1800" s="3" t="s">
        <v>18</v>
      </c>
      <c r="D1800" s="8" t="str">
        <f>HYPERLINK("http://npthd.inbcu.com/ViewContent.aspx?filename=NPMR_NBC_2017-07-15_E.MP4$9139$9586","DATELINE SATURDAY NIGHT MYSTERY: sa2643")</f>
        <v>DATELINE SATURDAY NIGHT MYSTERY: sa2643</v>
      </c>
      <c r="E1800" s="3" t="s">
        <v>1110</v>
      </c>
      <c r="F1800" s="3" t="s">
        <v>5401</v>
      </c>
      <c r="G1800" s="3" t="s">
        <v>3799</v>
      </c>
    </row>
    <row r="1801" spans="1:7">
      <c r="A1801" s="6">
        <v>42931</v>
      </c>
      <c r="B1801" s="3" t="s">
        <v>3494</v>
      </c>
      <c r="C1801" s="3" t="s">
        <v>21</v>
      </c>
      <c r="D1801" s="8" t="str">
        <f>HYPERLINK("http://npthd.inbcu.com/ViewContent.aspx?filename=NPMR_NBC_2017-07-15_E.MP4$9586$9737","COMMERCIAL")</f>
        <v>COMMERCIAL</v>
      </c>
      <c r="E1801" s="3" t="s">
        <v>91</v>
      </c>
      <c r="F1801" s="3" t="s">
        <v>3799</v>
      </c>
      <c r="G1801" s="3" t="s">
        <v>5402</v>
      </c>
    </row>
    <row r="1802" spans="1:7">
      <c r="A1802" s="6">
        <v>42931</v>
      </c>
      <c r="B1802" s="3" t="s">
        <v>3494</v>
      </c>
      <c r="C1802" s="3" t="s">
        <v>14</v>
      </c>
      <c r="D1802" s="8" t="str">
        <f>HYPERLINK("http://npthd.inbcu.com/ViewContent.aspx?filename=NPMR_NBC_2017-07-15_E.MP4$9737$9752","Dateline NBC")</f>
        <v>Dateline NBC</v>
      </c>
      <c r="E1802" s="3" t="s">
        <v>30</v>
      </c>
      <c r="F1802" s="3" t="s">
        <v>5402</v>
      </c>
      <c r="G1802" s="3" t="s">
        <v>408</v>
      </c>
    </row>
    <row r="1803" spans="1:7">
      <c r="A1803" s="6">
        <v>42931</v>
      </c>
      <c r="B1803" s="3" t="s">
        <v>3494</v>
      </c>
      <c r="C1803" s="3" t="s">
        <v>14</v>
      </c>
      <c r="D1803" s="8" t="str">
        <f>HYPERLINK("http://npthd.inbcu.com/ViewContent.aspx?filename=NPMR_NBC_2017-07-15_E.MP4$9752$9782","Law &amp; Order True Crime Menendez")</f>
        <v>Law &amp; Order True Crime Menendez</v>
      </c>
      <c r="E1803" s="3" t="s">
        <v>38</v>
      </c>
      <c r="F1803" s="3" t="s">
        <v>408</v>
      </c>
      <c r="G1803" s="3" t="s">
        <v>5403</v>
      </c>
    </row>
    <row r="1804" spans="1:7">
      <c r="A1804" s="6">
        <v>42931</v>
      </c>
      <c r="B1804" s="3" t="s">
        <v>3494</v>
      </c>
      <c r="C1804" s="3" t="s">
        <v>18</v>
      </c>
      <c r="D1804" s="8" t="str">
        <f>HYPERLINK("http://npthd.inbcu.com/ViewContent.aspx?filename=NPMR_NBC_2017-07-15_E.MP4$9782$10298","DATELINE SATURDAY NIGHT MYSTERY: sa2643")</f>
        <v>DATELINE SATURDAY NIGHT MYSTERY: sa2643</v>
      </c>
      <c r="E1804" s="3" t="s">
        <v>499</v>
      </c>
      <c r="F1804" s="3" t="s">
        <v>5403</v>
      </c>
      <c r="G1804" s="3" t="s">
        <v>3451</v>
      </c>
    </row>
    <row r="1805" spans="1:7">
      <c r="A1805" s="6">
        <v>42931</v>
      </c>
      <c r="B1805" s="3" t="s">
        <v>3494</v>
      </c>
      <c r="C1805" s="3" t="s">
        <v>21</v>
      </c>
      <c r="D1805" s="8" t="str">
        <f>HYPERLINK("http://npthd.inbcu.com/ViewContent.aspx?filename=NPMR_NBC_2017-07-15_E.MP4$10298$10479","COMMERCIAL")</f>
        <v>COMMERCIAL</v>
      </c>
      <c r="E1805" s="3" t="s">
        <v>108</v>
      </c>
      <c r="F1805" s="3" t="s">
        <v>3451</v>
      </c>
      <c r="G1805" s="3" t="s">
        <v>4503</v>
      </c>
    </row>
    <row r="1806" spans="1:7">
      <c r="A1806" s="6">
        <v>42931</v>
      </c>
      <c r="B1806" s="3" t="s">
        <v>3494</v>
      </c>
      <c r="C1806" s="3" t="s">
        <v>32</v>
      </c>
      <c r="D1806" s="8" t="str">
        <f>HYPERLINK("http://npthd.inbcu.com/ViewContent.aspx?filename=NPMR_NBC_2017-07-15_E.MP4$10479$10494","LOCAL")</f>
        <v>LOCAL</v>
      </c>
      <c r="E1806" s="3" t="s">
        <v>30</v>
      </c>
      <c r="F1806" s="3" t="s">
        <v>4503</v>
      </c>
      <c r="G1806" s="3" t="s">
        <v>4504</v>
      </c>
    </row>
    <row r="1807" spans="1:7">
      <c r="A1807" s="6">
        <v>42931</v>
      </c>
      <c r="B1807" s="3" t="s">
        <v>3494</v>
      </c>
      <c r="C1807" s="3" t="s">
        <v>14</v>
      </c>
      <c r="D1807" s="8" t="str">
        <f>HYPERLINK("http://npthd.inbcu.com/ViewContent.aspx?filename=NPMR_NBC_2017-07-15_E.MP4$10494$10524","Midnight Texas")</f>
        <v>Midnight Texas</v>
      </c>
      <c r="E1807" s="3" t="s">
        <v>38</v>
      </c>
      <c r="F1807" s="3" t="s">
        <v>4504</v>
      </c>
      <c r="G1807" s="3" t="s">
        <v>4506</v>
      </c>
    </row>
    <row r="1808" spans="1:7">
      <c r="A1808" s="6">
        <v>42931</v>
      </c>
      <c r="B1808" s="3" t="s">
        <v>3494</v>
      </c>
      <c r="C1808" s="3" t="s">
        <v>18</v>
      </c>
      <c r="D1808" s="8" t="str">
        <f>HYPERLINK("http://npthd.inbcu.com/ViewContent.aspx?filename=NPMR_NBC_2017-07-15_E.MP4$10524$10856","DATELINE SATURDAY NIGHT MYSTERY: sa2643")</f>
        <v>DATELINE SATURDAY NIGHT MYSTERY: sa2643</v>
      </c>
      <c r="E1808" s="3" t="s">
        <v>201</v>
      </c>
      <c r="F1808" s="3" t="s">
        <v>4506</v>
      </c>
      <c r="G1808" s="3" t="s">
        <v>3604</v>
      </c>
    </row>
    <row r="1809" spans="1:7">
      <c r="A1809" s="6">
        <v>42931</v>
      </c>
      <c r="B1809" s="3" t="s">
        <v>3494</v>
      </c>
      <c r="C1809" s="3" t="s">
        <v>14</v>
      </c>
      <c r="D1809" s="8" t="str">
        <f>HYPERLINK("http://npthd.inbcu.com/ViewContent.aspx?filename=NPMR_NBC_2017-07-15_E.MP4$10856$10861","NBC News")</f>
        <v>NBC News</v>
      </c>
      <c r="E1809" s="3" t="s">
        <v>54</v>
      </c>
      <c r="F1809" s="3" t="s">
        <v>3604</v>
      </c>
      <c r="G1809" s="3" t="s">
        <v>3605</v>
      </c>
    </row>
    <row r="1810" spans="1:7">
      <c r="A1810" s="6">
        <v>42931</v>
      </c>
      <c r="B1810" s="3" t="s">
        <v>3494</v>
      </c>
      <c r="C1810" s="3" t="s">
        <v>32</v>
      </c>
      <c r="D1810" s="8" t="str">
        <f>HYPERLINK("http://npthd.inbcu.com/ViewContent.aspx?filename=NPMR_NBC_2017-07-15_E.MP4$10861$10890","LOCAL")</f>
        <v>LOCAL</v>
      </c>
      <c r="E1810" s="3" t="s">
        <v>24</v>
      </c>
      <c r="F1810" s="3" t="s">
        <v>3605</v>
      </c>
      <c r="G1810" s="3" t="s">
        <v>124</v>
      </c>
    </row>
  </sheetData>
  <mergeCells count="2">
    <mergeCell ref="A1:H1"/>
    <mergeCell ref="A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2"/>
  <sheetViews>
    <sheetView showGridLines="0" tabSelected="1" topLeftCell="A1104" workbookViewId="0">
      <selection activeCell="A1122" sqref="A1122:G1182"/>
    </sheetView>
  </sheetViews>
  <sheetFormatPr defaultColWidth="30" defaultRowHeight="15"/>
  <cols>
    <col min="1" max="1" width="30" style="4" customWidth="1"/>
  </cols>
  <sheetData>
    <row r="1" spans="1:8" ht="23.25">
      <c r="A1" s="9" t="s">
        <v>0</v>
      </c>
      <c r="B1" s="10" t="s">
        <v>0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1"/>
    </row>
    <row r="4" spans="1:8" s="1" customFormat="1">
      <c r="A4" s="7" t="s">
        <v>1</v>
      </c>
      <c r="B4" s="1" t="s">
        <v>2</v>
      </c>
    </row>
    <row r="5" spans="1:8" s="1" customFormat="1">
      <c r="A5" s="7" t="s">
        <v>3</v>
      </c>
      <c r="B5" s="1" t="s">
        <v>4</v>
      </c>
    </row>
    <row r="7" spans="1:8" s="1" customFormat="1">
      <c r="A7" s="12" t="s">
        <v>5</v>
      </c>
      <c r="B7" s="13"/>
      <c r="C7" s="13"/>
      <c r="D7" s="13"/>
    </row>
    <row r="10" spans="1:8">
      <c r="A10" s="5" t="s">
        <v>6</v>
      </c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</row>
    <row r="11" spans="1:8">
      <c r="A11" s="6">
        <v>42901</v>
      </c>
      <c r="B11" s="3" t="s">
        <v>4621</v>
      </c>
      <c r="C11" s="3" t="s">
        <v>18</v>
      </c>
      <c r="D11" s="8" t="str">
        <f>HYPERLINK("http://npthd.inbcu.com/ViewContent.aspx?filename=NPMR_FOX_2017-06-15_E.MP4$75$349","LOVE CONNECTION: rowdy with a chance of meatballs")</f>
        <v>LOVE CONNECTION: rowdy with a chance of meatballs</v>
      </c>
      <c r="E11" s="3" t="s">
        <v>648</v>
      </c>
      <c r="F11" s="3" t="s">
        <v>16</v>
      </c>
      <c r="G11" s="3" t="s">
        <v>4622</v>
      </c>
    </row>
    <row r="12" spans="1:8">
      <c r="A12" s="6">
        <v>42901</v>
      </c>
      <c r="B12" s="3" t="s">
        <v>4621</v>
      </c>
      <c r="C12" s="3" t="s">
        <v>21</v>
      </c>
      <c r="D12" s="8" t="str">
        <f>HYPERLINK("http://npthd.inbcu.com/ViewContent.aspx?filename=NPMR_FOX_2017-06-15_E.MP4$349$499","COMMERCIAL")</f>
        <v>COMMERCIAL</v>
      </c>
      <c r="E12" s="3" t="s">
        <v>28</v>
      </c>
      <c r="F12" s="3" t="s">
        <v>4622</v>
      </c>
      <c r="G12" s="3" t="s">
        <v>2885</v>
      </c>
    </row>
    <row r="13" spans="1:8">
      <c r="A13" s="6">
        <v>42901</v>
      </c>
      <c r="B13" s="3" t="s">
        <v>4621</v>
      </c>
      <c r="C13" s="3" t="s">
        <v>14</v>
      </c>
      <c r="D13" s="8" t="str">
        <f>HYPERLINK("http://npthd.inbcu.com/ViewContent.aspx?filename=NPMR_FOX_2017-06-15_E.MP4$499$519","Gifted")</f>
        <v>Gifted</v>
      </c>
      <c r="E13" s="3" t="s">
        <v>1805</v>
      </c>
      <c r="F13" s="3" t="s">
        <v>2885</v>
      </c>
      <c r="G13" s="3" t="s">
        <v>4623</v>
      </c>
    </row>
    <row r="14" spans="1:8">
      <c r="A14" s="6">
        <v>42901</v>
      </c>
      <c r="B14" s="3" t="s">
        <v>4621</v>
      </c>
      <c r="C14" s="3" t="s">
        <v>18</v>
      </c>
      <c r="D14" s="8" t="str">
        <f>HYPERLINK("http://npthd.inbcu.com/ViewContent.aspx?filename=NPMR_FOX_2017-06-15_E.MP4$519$1319","LOVE CONNECTION: rowdy with a chance of meatballs")</f>
        <v>LOVE CONNECTION: rowdy with a chance of meatballs</v>
      </c>
      <c r="E14" s="3" t="s">
        <v>4624</v>
      </c>
      <c r="F14" s="3" t="s">
        <v>4623</v>
      </c>
      <c r="G14" s="3" t="s">
        <v>4625</v>
      </c>
    </row>
    <row r="15" spans="1:8">
      <c r="A15" s="6">
        <v>42901</v>
      </c>
      <c r="B15" s="3" t="s">
        <v>4621</v>
      </c>
      <c r="C15" s="3" t="s">
        <v>21</v>
      </c>
      <c r="D15" s="8" t="str">
        <f>HYPERLINK("http://npthd.inbcu.com/ViewContent.aspx?filename=NPMR_FOX_2017-06-15_E.MP4$1319$1439","COMMERCIAL")</f>
        <v>COMMERCIAL</v>
      </c>
      <c r="E15" s="3" t="s">
        <v>43</v>
      </c>
      <c r="F15" s="3" t="s">
        <v>4625</v>
      </c>
      <c r="G15" s="3" t="s">
        <v>2960</v>
      </c>
    </row>
    <row r="16" spans="1:8">
      <c r="A16" s="6">
        <v>42901</v>
      </c>
      <c r="B16" s="3" t="s">
        <v>4621</v>
      </c>
      <c r="C16" s="3" t="s">
        <v>14</v>
      </c>
      <c r="D16" s="8" t="str">
        <f>HYPERLINK("http://npthd.inbcu.com/ViewContent.aspx?filename=NPMR_FOX_2017-06-15_E.MP4$1439$1449","MLB (Fox Sports 1)")</f>
        <v>MLB (Fox Sports 1)</v>
      </c>
      <c r="E16" s="3" t="s">
        <v>197</v>
      </c>
      <c r="F16" s="3" t="s">
        <v>2960</v>
      </c>
      <c r="G16" s="3" t="s">
        <v>1886</v>
      </c>
    </row>
    <row r="17" spans="1:7">
      <c r="A17" s="6">
        <v>42901</v>
      </c>
      <c r="B17" s="3" t="s">
        <v>4621</v>
      </c>
      <c r="C17" s="3" t="s">
        <v>32</v>
      </c>
      <c r="D17" s="8" t="str">
        <f>HYPERLINK("http://npthd.inbcu.com/ViewContent.aspx?filename=NPMR_FOX_2017-06-15_E.MP4$1449$1541","LOCAL")</f>
        <v>LOCAL</v>
      </c>
      <c r="E17" s="3" t="s">
        <v>267</v>
      </c>
      <c r="F17" s="3" t="s">
        <v>1886</v>
      </c>
      <c r="G17" s="3" t="s">
        <v>4626</v>
      </c>
    </row>
    <row r="18" spans="1:7">
      <c r="A18" s="6">
        <v>42901</v>
      </c>
      <c r="B18" s="3" t="s">
        <v>4621</v>
      </c>
      <c r="C18" s="3" t="s">
        <v>18</v>
      </c>
      <c r="D18" s="8" t="str">
        <f>HYPERLINK("http://npthd.inbcu.com/ViewContent.aspx?filename=NPMR_FOX_2017-06-15_E.MP4$1541$2436","LOVE CONNECTION: rowdy with a chance of meatballs")</f>
        <v>LOVE CONNECTION: rowdy with a chance of meatballs</v>
      </c>
      <c r="E18" s="3" t="s">
        <v>4627</v>
      </c>
      <c r="F18" s="3" t="s">
        <v>4626</v>
      </c>
      <c r="G18" s="3" t="s">
        <v>4628</v>
      </c>
    </row>
    <row r="19" spans="1:7">
      <c r="A19" s="6">
        <v>42901</v>
      </c>
      <c r="B19" s="3" t="s">
        <v>4621</v>
      </c>
      <c r="C19" s="3" t="s">
        <v>21</v>
      </c>
      <c r="D19" s="8" t="str">
        <f>HYPERLINK("http://npthd.inbcu.com/ViewContent.aspx?filename=NPMR_FOX_2017-06-15_E.MP4$2436$2617","COMMERCIAL")</f>
        <v>COMMERCIAL</v>
      </c>
      <c r="E19" s="3" t="s">
        <v>108</v>
      </c>
      <c r="F19" s="3" t="s">
        <v>4628</v>
      </c>
      <c r="G19" s="3" t="s">
        <v>3374</v>
      </c>
    </row>
    <row r="20" spans="1:7">
      <c r="A20" s="6">
        <v>42901</v>
      </c>
      <c r="B20" s="3" t="s">
        <v>4621</v>
      </c>
      <c r="C20" s="3" t="s">
        <v>14</v>
      </c>
      <c r="D20" s="8" t="str">
        <f>HYPERLINK("http://npthd.inbcu.com/ViewContent.aspx?filename=NPMR_FOX_2017-06-15_E.MP4$2617$2637","MLB All Star Game")</f>
        <v>MLB All Star Game</v>
      </c>
      <c r="E20" s="3" t="s">
        <v>1805</v>
      </c>
      <c r="F20" s="3" t="s">
        <v>3374</v>
      </c>
      <c r="G20" s="3" t="s">
        <v>4629</v>
      </c>
    </row>
    <row r="21" spans="1:7">
      <c r="A21" s="6">
        <v>42901</v>
      </c>
      <c r="B21" s="3" t="s">
        <v>4621</v>
      </c>
      <c r="C21" s="3" t="s">
        <v>18</v>
      </c>
      <c r="D21" s="8" t="str">
        <f>HYPERLINK("http://npthd.inbcu.com/ViewContent.aspx?filename=NPMR_FOX_2017-06-15_E.MP4$2637$3104","LOVE CONNECTION: rowdy with a chance of meatballs")</f>
        <v>LOVE CONNECTION: rowdy with a chance of meatballs</v>
      </c>
      <c r="E21" s="3" t="s">
        <v>68</v>
      </c>
      <c r="F21" s="3" t="s">
        <v>4629</v>
      </c>
      <c r="G21" s="3" t="s">
        <v>4630</v>
      </c>
    </row>
    <row r="22" spans="1:7">
      <c r="A22" s="6">
        <v>42901</v>
      </c>
      <c r="B22" s="3" t="s">
        <v>4621</v>
      </c>
      <c r="C22" s="3" t="s">
        <v>21</v>
      </c>
      <c r="D22" s="8" t="str">
        <f>HYPERLINK("http://npthd.inbcu.com/ViewContent.aspx?filename=NPMR_FOX_2017-06-15_E.MP4$3104$3224","COMMERCIAL")</f>
        <v>COMMERCIAL</v>
      </c>
      <c r="E22" s="3" t="s">
        <v>43</v>
      </c>
      <c r="F22" s="3" t="s">
        <v>4630</v>
      </c>
      <c r="G22" s="3" t="s">
        <v>3249</v>
      </c>
    </row>
    <row r="23" spans="1:7">
      <c r="A23" s="6">
        <v>42901</v>
      </c>
      <c r="B23" s="3" t="s">
        <v>4621</v>
      </c>
      <c r="C23" s="3" t="s">
        <v>18</v>
      </c>
      <c r="D23" s="8" t="str">
        <f>HYPERLINK("http://npthd.inbcu.com/ViewContent.aspx?filename=NPMR_FOX_2017-06-15_E.MP4$3224$3566","LOVE CONNECTION: rowdy with a chance of meatballs")</f>
        <v>LOVE CONNECTION: rowdy with a chance of meatballs</v>
      </c>
      <c r="E23" s="3" t="s">
        <v>273</v>
      </c>
      <c r="F23" s="3" t="s">
        <v>3249</v>
      </c>
      <c r="G23" s="3" t="s">
        <v>4631</v>
      </c>
    </row>
    <row r="24" spans="1:7">
      <c r="A24" s="6">
        <v>42901</v>
      </c>
      <c r="B24" s="3" t="s">
        <v>4621</v>
      </c>
      <c r="C24" s="3" t="s">
        <v>14</v>
      </c>
      <c r="D24" s="8" t="str">
        <f>HYPERLINK("http://npthd.inbcu.com/ViewContent.aspx?filename=NPMR_FOX_2017-06-15_E.MP4$3566$3576","Snowfall (FX)")</f>
        <v>Snowfall (FX)</v>
      </c>
      <c r="E24" s="3" t="s">
        <v>197</v>
      </c>
      <c r="F24" s="3" t="s">
        <v>4631</v>
      </c>
      <c r="G24" s="3" t="s">
        <v>1334</v>
      </c>
    </row>
    <row r="25" spans="1:7">
      <c r="A25" s="6">
        <v>42901</v>
      </c>
      <c r="B25" s="3" t="s">
        <v>4621</v>
      </c>
      <c r="C25" s="3" t="s">
        <v>32</v>
      </c>
      <c r="D25" s="8" t="str">
        <f>HYPERLINK("http://npthd.inbcu.com/ViewContent.aspx?filename=NPMR_FOX_2017-06-15_E.MP4$3576$3667","LOCAL")</f>
        <v>LOCAL</v>
      </c>
      <c r="E25" s="3" t="s">
        <v>77</v>
      </c>
      <c r="F25" s="3" t="s">
        <v>1334</v>
      </c>
      <c r="G25" s="3" t="s">
        <v>3253</v>
      </c>
    </row>
    <row r="26" spans="1:7">
      <c r="A26" s="6">
        <v>42901</v>
      </c>
      <c r="B26" s="3" t="s">
        <v>4621</v>
      </c>
      <c r="C26" s="3" t="s">
        <v>18</v>
      </c>
      <c r="D26" s="8" t="str">
        <f>HYPERLINK("http://npthd.inbcu.com/ViewContent.aspx?filename=NPMR_FOX_2017-06-15_E.MP4$3667$4351","LOVE CONNECTION: rowdy with a chance of meatballs")</f>
        <v>LOVE CONNECTION: rowdy with a chance of meatballs</v>
      </c>
      <c r="E26" s="3" t="s">
        <v>526</v>
      </c>
      <c r="F26" s="3" t="s">
        <v>3253</v>
      </c>
      <c r="G26" s="3" t="s">
        <v>4632</v>
      </c>
    </row>
    <row r="27" spans="1:7">
      <c r="A27" s="6">
        <v>42901</v>
      </c>
      <c r="B27" s="3" t="s">
        <v>4621</v>
      </c>
      <c r="C27" s="3" t="s">
        <v>21</v>
      </c>
      <c r="D27" s="8" t="str">
        <f>HYPERLINK("http://npthd.inbcu.com/ViewContent.aspx?filename=NPMR_FOX_2017-06-15_E.MP4$4351$4502","COMMERCIAL")</f>
        <v>COMMERCIAL</v>
      </c>
      <c r="E27" s="3" t="s">
        <v>91</v>
      </c>
      <c r="F27" s="3" t="s">
        <v>4632</v>
      </c>
      <c r="G27" s="3" t="s">
        <v>4633</v>
      </c>
    </row>
    <row r="28" spans="1:7">
      <c r="A28" s="6">
        <v>42901</v>
      </c>
      <c r="B28" s="3" t="s">
        <v>4621</v>
      </c>
      <c r="C28" s="3" t="s">
        <v>14</v>
      </c>
      <c r="D28" s="8" t="str">
        <f>HYPERLINK("http://npthd.inbcu.com/ViewContent.aspx?filename=NPMR_FOX_2017-06-15_E.MP4$4502$4522","Beat Shazam")</f>
        <v>Beat Shazam</v>
      </c>
      <c r="E28" s="3" t="s">
        <v>1805</v>
      </c>
      <c r="F28" s="3" t="s">
        <v>4633</v>
      </c>
      <c r="G28" s="3" t="s">
        <v>4634</v>
      </c>
    </row>
    <row r="29" spans="1:7">
      <c r="A29" s="6">
        <v>42901</v>
      </c>
      <c r="B29" s="3" t="s">
        <v>4621</v>
      </c>
      <c r="C29" s="3" t="s">
        <v>18</v>
      </c>
      <c r="D29" s="8" t="str">
        <f>HYPERLINK("http://npthd.inbcu.com/ViewContent.aspx?filename=NPMR_FOX_2017-06-15_E.MP4$4522$4999","LOVE CONNECTION: rowdy with a chance of meatballs")</f>
        <v>LOVE CONNECTION: rowdy with a chance of meatballs</v>
      </c>
      <c r="E29" s="3" t="s">
        <v>345</v>
      </c>
      <c r="F29" s="3" t="s">
        <v>4634</v>
      </c>
      <c r="G29" s="3" t="s">
        <v>4635</v>
      </c>
    </row>
    <row r="30" spans="1:7">
      <c r="A30" s="6">
        <v>42901</v>
      </c>
      <c r="B30" s="3" t="s">
        <v>4621</v>
      </c>
      <c r="C30" s="3" t="s">
        <v>21</v>
      </c>
      <c r="D30" s="8" t="str">
        <f>HYPERLINK("http://npthd.inbcu.com/ViewContent.aspx?filename=NPMR_FOX_2017-06-15_E.MP4$4999$5090","COMMERCIAL")</f>
        <v>COMMERCIAL</v>
      </c>
      <c r="E30" s="3" t="s">
        <v>77</v>
      </c>
      <c r="F30" s="3" t="s">
        <v>4635</v>
      </c>
      <c r="G30" s="3" t="s">
        <v>2974</v>
      </c>
    </row>
    <row r="31" spans="1:7">
      <c r="A31" s="6">
        <v>42901</v>
      </c>
      <c r="B31" s="3" t="s">
        <v>4621</v>
      </c>
      <c r="C31" s="3" t="s">
        <v>14</v>
      </c>
      <c r="D31" s="8" t="str">
        <f>HYPERLINK("http://npthd.inbcu.com/ViewContent.aspx?filename=NPMR_FOX_2017-06-15_E.MP4$5090$5105","Incredible Dr. Pol (Nat Geo Wild)")</f>
        <v>Incredible Dr. Pol (Nat Geo Wild)</v>
      </c>
      <c r="E31" s="3" t="s">
        <v>30</v>
      </c>
      <c r="F31" s="3" t="s">
        <v>2974</v>
      </c>
      <c r="G31" s="3" t="s">
        <v>4636</v>
      </c>
    </row>
    <row r="32" spans="1:7">
      <c r="A32" s="6">
        <v>42901</v>
      </c>
      <c r="B32" s="3" t="s">
        <v>4621</v>
      </c>
      <c r="C32" s="3" t="s">
        <v>32</v>
      </c>
      <c r="D32" s="8" t="str">
        <f>HYPERLINK("http://npthd.inbcu.com/ViewContent.aspx?filename=NPMR_FOX_2017-06-15_E.MP4$5105$5246","LOCAL")</f>
        <v>LOCAL</v>
      </c>
      <c r="E32" s="3" t="s">
        <v>1753</v>
      </c>
      <c r="F32" s="3" t="s">
        <v>4636</v>
      </c>
      <c r="G32" s="3" t="s">
        <v>4406</v>
      </c>
    </row>
    <row r="33" spans="1:7">
      <c r="A33" s="6">
        <v>42901</v>
      </c>
      <c r="B33" s="3" t="s">
        <v>4621</v>
      </c>
      <c r="C33" s="3" t="s">
        <v>18</v>
      </c>
      <c r="D33" s="8" t="str">
        <f>HYPERLINK("http://npthd.inbcu.com/ViewContent.aspx?filename=NPMR_FOX_2017-06-15_E.MP4$5246$5633","LOVE CONNECTION: rowdy with a chance of meatballs")</f>
        <v>LOVE CONNECTION: rowdy with a chance of meatballs</v>
      </c>
      <c r="E33" s="3" t="s">
        <v>688</v>
      </c>
      <c r="F33" s="3" t="s">
        <v>4406</v>
      </c>
      <c r="G33" s="3" t="s">
        <v>1503</v>
      </c>
    </row>
    <row r="34" spans="1:7">
      <c r="A34" s="6">
        <v>42901</v>
      </c>
      <c r="B34" s="3" t="s">
        <v>4621</v>
      </c>
      <c r="C34" s="3" t="s">
        <v>21</v>
      </c>
      <c r="D34" s="8" t="str">
        <f>HYPERLINK("http://npthd.inbcu.com/ViewContent.aspx?filename=NPMR_FOX_2017-06-15_E.MP4$5633$5815","COMMERCIAL")</f>
        <v>COMMERCIAL</v>
      </c>
      <c r="E34" s="3" t="s">
        <v>275</v>
      </c>
      <c r="F34" s="3" t="s">
        <v>1503</v>
      </c>
      <c r="G34" s="3" t="s">
        <v>4637</v>
      </c>
    </row>
    <row r="35" spans="1:7">
      <c r="A35" s="6">
        <v>42901</v>
      </c>
      <c r="B35" s="3" t="s">
        <v>4621</v>
      </c>
      <c r="C35" s="3" t="s">
        <v>14</v>
      </c>
      <c r="D35" s="8" t="str">
        <f>HYPERLINK("http://npthd.inbcu.com/ViewContent.aspx?filename=NPMR_FOX_2017-06-15_E.MP4$5815$5825","So You Think You Can Dance?")</f>
        <v>So You Think You Can Dance?</v>
      </c>
      <c r="E35" s="3" t="s">
        <v>197</v>
      </c>
      <c r="F35" s="3" t="s">
        <v>4637</v>
      </c>
      <c r="G35" s="3" t="s">
        <v>4638</v>
      </c>
    </row>
    <row r="36" spans="1:7">
      <c r="A36" s="6">
        <v>42901</v>
      </c>
      <c r="B36" s="3" t="s">
        <v>4621</v>
      </c>
      <c r="C36" s="3" t="s">
        <v>18</v>
      </c>
      <c r="D36" s="8" t="str">
        <f>HYPERLINK("http://npthd.inbcu.com/ViewContent.aspx?filename=NPMR_FOX_2017-06-15_E.MP4$5825$6088","LOVE CONNECTION: rowdy with a chance of meatballs")</f>
        <v>LOVE CONNECTION: rowdy with a chance of meatballs</v>
      </c>
      <c r="E36" s="3" t="s">
        <v>1869</v>
      </c>
      <c r="F36" s="3" t="s">
        <v>4638</v>
      </c>
      <c r="G36" s="3" t="s">
        <v>4639</v>
      </c>
    </row>
    <row r="37" spans="1:7">
      <c r="A37" s="6">
        <v>42901</v>
      </c>
      <c r="B37" s="3" t="s">
        <v>4621</v>
      </c>
      <c r="C37" s="3" t="s">
        <v>21</v>
      </c>
      <c r="D37" s="8" t="str">
        <f>HYPERLINK("http://npthd.inbcu.com/ViewContent.aspx?filename=NPMR_FOX_2017-06-15_E.MP4$6088$6208","COMMERCIAL")</f>
        <v>COMMERCIAL</v>
      </c>
      <c r="E37" s="3" t="s">
        <v>43</v>
      </c>
      <c r="F37" s="3" t="s">
        <v>4639</v>
      </c>
      <c r="G37" s="3" t="s">
        <v>4640</v>
      </c>
    </row>
    <row r="38" spans="1:7">
      <c r="A38" s="6">
        <v>42901</v>
      </c>
      <c r="B38" s="3" t="s">
        <v>4621</v>
      </c>
      <c r="C38" s="3" t="s">
        <v>14</v>
      </c>
      <c r="D38" s="8" t="str">
        <f>HYPERLINK("http://npthd.inbcu.com/ViewContent.aspx?filename=NPMR_FOX_2017-06-15_E.MP4$6208$6223","US Open (PGA)")</f>
        <v>US Open (PGA)</v>
      </c>
      <c r="E38" s="3" t="s">
        <v>30</v>
      </c>
      <c r="F38" s="3" t="s">
        <v>4640</v>
      </c>
      <c r="G38" s="3" t="s">
        <v>4641</v>
      </c>
    </row>
    <row r="39" spans="1:7">
      <c r="A39" s="6">
        <v>42901</v>
      </c>
      <c r="B39" s="3" t="s">
        <v>4621</v>
      </c>
      <c r="C39" s="3" t="s">
        <v>32</v>
      </c>
      <c r="D39" s="8" t="str">
        <f>HYPERLINK("http://npthd.inbcu.com/ViewContent.aspx?filename=NPMR_FOX_2017-06-15_E.MP4$6223$6314","LOCAL")</f>
        <v>LOCAL</v>
      </c>
      <c r="E39" s="3" t="s">
        <v>77</v>
      </c>
      <c r="F39" s="3" t="s">
        <v>4641</v>
      </c>
      <c r="G39" s="3" t="s">
        <v>4642</v>
      </c>
    </row>
    <row r="40" spans="1:7">
      <c r="A40" s="6">
        <v>42901</v>
      </c>
      <c r="B40" s="3" t="s">
        <v>4621</v>
      </c>
      <c r="C40" s="3" t="s">
        <v>18</v>
      </c>
      <c r="D40" s="8" t="str">
        <f>HYPERLINK("http://npthd.inbcu.com/ViewContent.aspx?filename=NPMR_FOX_2017-06-15_E.MP4$6314$6782","LOVE CONNECTION: rowdy with a chance of meatballs")</f>
        <v>LOVE CONNECTION: rowdy with a chance of meatballs</v>
      </c>
      <c r="E40" s="3" t="s">
        <v>678</v>
      </c>
      <c r="F40" s="3" t="s">
        <v>4642</v>
      </c>
      <c r="G40" s="3" t="s">
        <v>1734</v>
      </c>
    </row>
    <row r="41" spans="1:7">
      <c r="A41" s="6">
        <v>42901</v>
      </c>
      <c r="B41" s="3" t="s">
        <v>4621</v>
      </c>
      <c r="C41" s="3" t="s">
        <v>21</v>
      </c>
      <c r="D41" s="8" t="str">
        <f>HYPERLINK("http://npthd.inbcu.com/ViewContent.aspx?filename=NPMR_FOX_2017-06-15_E.MP4$6782$6888","COMMERCIAL")</f>
        <v>COMMERCIAL</v>
      </c>
      <c r="E41" s="3" t="s">
        <v>293</v>
      </c>
      <c r="F41" s="3" t="s">
        <v>1734</v>
      </c>
      <c r="G41" s="3" t="s">
        <v>4643</v>
      </c>
    </row>
    <row r="42" spans="1:7">
      <c r="A42" s="6">
        <v>42901</v>
      </c>
      <c r="B42" s="3" t="s">
        <v>4621</v>
      </c>
      <c r="C42" s="3" t="s">
        <v>14</v>
      </c>
      <c r="D42" s="8" t="str">
        <f>HYPERLINK("http://npthd.inbcu.com/ViewContent.aspx?filename=NPMR_FOX_2017-06-15_E.MP4$6888$6903","American Grit")</f>
        <v>American Grit</v>
      </c>
      <c r="E42" s="3" t="s">
        <v>30</v>
      </c>
      <c r="F42" s="3" t="s">
        <v>4643</v>
      </c>
      <c r="G42" s="3" t="s">
        <v>4644</v>
      </c>
    </row>
    <row r="43" spans="1:7">
      <c r="A43" s="6">
        <v>42901</v>
      </c>
      <c r="B43" s="3" t="s">
        <v>4621</v>
      </c>
      <c r="C43" s="3" t="s">
        <v>32</v>
      </c>
      <c r="D43" s="8" t="str">
        <f>HYPERLINK("http://npthd.inbcu.com/ViewContent.aspx?filename=NPMR_FOX_2017-06-15_E.MP4$6903$6924","LOCAL")</f>
        <v>LOCAL</v>
      </c>
      <c r="E43" s="3" t="s">
        <v>2067</v>
      </c>
      <c r="F43" s="3" t="s">
        <v>4644</v>
      </c>
      <c r="G43" s="3" t="s">
        <v>1914</v>
      </c>
    </row>
    <row r="44" spans="1:7">
      <c r="A44" s="6">
        <v>42901</v>
      </c>
      <c r="B44" s="3" t="s">
        <v>4621</v>
      </c>
      <c r="C44" s="3" t="s">
        <v>14</v>
      </c>
      <c r="D44" s="8" t="str">
        <f>HYPERLINK("http://npthd.inbcu.com/ViewContent.aspx?filename=NPMR_FOX_2017-06-15_E.MP4$6924$6944","Love Connection")</f>
        <v>Love Connection</v>
      </c>
      <c r="E44" s="3" t="s">
        <v>1805</v>
      </c>
      <c r="F44" s="3" t="s">
        <v>1914</v>
      </c>
      <c r="G44" s="3" t="s">
        <v>4645</v>
      </c>
    </row>
    <row r="45" spans="1:7">
      <c r="A45" s="6">
        <v>42901</v>
      </c>
      <c r="B45" s="3" t="s">
        <v>4621</v>
      </c>
      <c r="C45" s="3" t="s">
        <v>18</v>
      </c>
      <c r="D45" s="8" t="str">
        <f>HYPERLINK("http://npthd.inbcu.com/ViewContent.aspx?filename=NPMR_FOX_2017-06-15_E.MP4$6944$7253","LOVE CONNECTION: rowdy with a chance of meatballs")</f>
        <v>LOVE CONNECTION: rowdy with a chance of meatballs</v>
      </c>
      <c r="E45" s="3" t="s">
        <v>480</v>
      </c>
      <c r="F45" s="3" t="s">
        <v>4645</v>
      </c>
      <c r="G45" s="3" t="s">
        <v>3989</v>
      </c>
    </row>
    <row r="46" spans="1:7">
      <c r="A46" s="6">
        <v>42901</v>
      </c>
      <c r="B46" s="3" t="s">
        <v>4621</v>
      </c>
      <c r="C46" s="3" t="s">
        <v>32</v>
      </c>
      <c r="D46" s="8" t="str">
        <f>HYPERLINK("http://npthd.inbcu.com/ViewContent.aspx?filename=NPMR_FOX_2017-06-15_E.MP4$7253$7275","LOCAL")</f>
        <v>LOCAL</v>
      </c>
      <c r="E46" s="3" t="s">
        <v>2124</v>
      </c>
      <c r="F46" s="3" t="s">
        <v>3989</v>
      </c>
      <c r="G46" s="3" t="s">
        <v>394</v>
      </c>
    </row>
    <row r="47" spans="1:7">
      <c r="A47" s="6">
        <v>42902</v>
      </c>
      <c r="B47" s="3" t="s">
        <v>4621</v>
      </c>
      <c r="C47" s="3" t="s">
        <v>18</v>
      </c>
      <c r="D47" s="8" t="str">
        <f>HYPERLINK("http://npthd.inbcu.com/ViewContent.aspx?filename=NPMR_FOX_2017-06-16_E.MP4$213$804","LUCIFER: monster")</f>
        <v>LUCIFER: monster</v>
      </c>
      <c r="E47" s="3" t="s">
        <v>1919</v>
      </c>
      <c r="F47" s="3" t="s">
        <v>16</v>
      </c>
      <c r="G47" s="3" t="s">
        <v>2390</v>
      </c>
    </row>
    <row r="48" spans="1:7">
      <c r="A48" s="6">
        <v>42902</v>
      </c>
      <c r="B48" s="3" t="s">
        <v>4621</v>
      </c>
      <c r="C48" s="3" t="s">
        <v>21</v>
      </c>
      <c r="D48" s="8" t="str">
        <f>HYPERLINK("http://npthd.inbcu.com/ViewContent.aspx?filename=NPMR_FOX_2017-06-16_E.MP4$804$955","COMMERCIAL")</f>
        <v>COMMERCIAL</v>
      </c>
      <c r="E48" s="3" t="s">
        <v>91</v>
      </c>
      <c r="F48" s="3" t="s">
        <v>2390</v>
      </c>
      <c r="G48" s="3" t="s">
        <v>4646</v>
      </c>
    </row>
    <row r="49" spans="1:7">
      <c r="A49" s="6">
        <v>42902</v>
      </c>
      <c r="B49" s="3" t="s">
        <v>4621</v>
      </c>
      <c r="C49" s="3" t="s">
        <v>14</v>
      </c>
      <c r="D49" s="8" t="str">
        <f>HYPERLINK("http://npthd.inbcu.com/ViewContent.aspx?filename=NPMR_FOX_2017-06-16_E.MP4$955$974","The Gifted")</f>
        <v>The Gifted</v>
      </c>
      <c r="E49" s="3" t="s">
        <v>670</v>
      </c>
      <c r="F49" s="3" t="s">
        <v>4646</v>
      </c>
      <c r="G49" s="3" t="s">
        <v>1996</v>
      </c>
    </row>
    <row r="50" spans="1:7">
      <c r="A50" s="6">
        <v>42902</v>
      </c>
      <c r="B50" s="3" t="s">
        <v>4621</v>
      </c>
      <c r="C50" s="3" t="s">
        <v>18</v>
      </c>
      <c r="D50" s="8" t="str">
        <f>HYPERLINK("http://npthd.inbcu.com/ViewContent.aspx?filename=NPMR_FOX_2017-06-16_E.MP4$974$1404","LUCIFER: monster")</f>
        <v>LUCIFER: monster</v>
      </c>
      <c r="E50" s="3" t="s">
        <v>4647</v>
      </c>
      <c r="F50" s="3" t="s">
        <v>1996</v>
      </c>
      <c r="G50" s="3" t="s">
        <v>4648</v>
      </c>
    </row>
    <row r="51" spans="1:7">
      <c r="A51" s="6">
        <v>42902</v>
      </c>
      <c r="B51" s="3" t="s">
        <v>4621</v>
      </c>
      <c r="C51" s="3" t="s">
        <v>21</v>
      </c>
      <c r="D51" s="8" t="str">
        <f>HYPERLINK("http://npthd.inbcu.com/ViewContent.aspx?filename=NPMR_FOX_2017-06-16_E.MP4$1404$1525","COMMERCIAL")</f>
        <v>COMMERCIAL</v>
      </c>
      <c r="E51" s="3" t="s">
        <v>175</v>
      </c>
      <c r="F51" s="3" t="s">
        <v>4648</v>
      </c>
      <c r="G51" s="3" t="s">
        <v>3763</v>
      </c>
    </row>
    <row r="52" spans="1:7">
      <c r="A52" s="6">
        <v>42902</v>
      </c>
      <c r="B52" s="3" t="s">
        <v>4621</v>
      </c>
      <c r="C52" s="3" t="s">
        <v>14</v>
      </c>
      <c r="D52" s="8" t="str">
        <f>HYPERLINK("http://npthd.inbcu.com/ViewContent.aspx?filename=NPMR_FOX_2017-06-16_E.MP4$1525$1535","MLB All Star Game")</f>
        <v>MLB All Star Game</v>
      </c>
      <c r="E52" s="3" t="s">
        <v>197</v>
      </c>
      <c r="F52" s="3" t="s">
        <v>3763</v>
      </c>
      <c r="G52" s="3" t="s">
        <v>4649</v>
      </c>
    </row>
    <row r="53" spans="1:7">
      <c r="A53" s="6">
        <v>42902</v>
      </c>
      <c r="B53" s="3" t="s">
        <v>4621</v>
      </c>
      <c r="C53" s="3" t="s">
        <v>32</v>
      </c>
      <c r="D53" s="8" t="str">
        <f>HYPERLINK("http://npthd.inbcu.com/ViewContent.aspx?filename=NPMR_FOX_2017-06-16_E.MP4$1535$1566","LOCAL")</f>
        <v>LOCAL</v>
      </c>
      <c r="E53" s="3" t="s">
        <v>98</v>
      </c>
      <c r="F53" s="3" t="s">
        <v>4649</v>
      </c>
      <c r="G53" s="3" t="s">
        <v>781</v>
      </c>
    </row>
    <row r="54" spans="1:7">
      <c r="A54" s="6">
        <v>42902</v>
      </c>
      <c r="B54" s="3" t="s">
        <v>4621</v>
      </c>
      <c r="C54" s="3" t="s">
        <v>18</v>
      </c>
      <c r="D54" s="8" t="str">
        <f>HYPERLINK("http://npthd.inbcu.com/ViewContent.aspx?filename=NPMR_FOX_2017-06-16_E.MP4$1566$2307","LUCIFER: monster")</f>
        <v>LUCIFER: monster</v>
      </c>
      <c r="E54" s="3" t="s">
        <v>185</v>
      </c>
      <c r="F54" s="3" t="s">
        <v>781</v>
      </c>
      <c r="G54" s="3" t="s">
        <v>4650</v>
      </c>
    </row>
    <row r="55" spans="1:7">
      <c r="A55" s="6">
        <v>42902</v>
      </c>
      <c r="B55" s="3" t="s">
        <v>4621</v>
      </c>
      <c r="C55" s="3" t="s">
        <v>21</v>
      </c>
      <c r="D55" s="8" t="str">
        <f>HYPERLINK("http://npthd.inbcu.com/ViewContent.aspx?filename=NPMR_FOX_2017-06-16_E.MP4$2307$2488","COMMERCIAL")</f>
        <v>COMMERCIAL</v>
      </c>
      <c r="E55" s="3" t="s">
        <v>108</v>
      </c>
      <c r="F55" s="3" t="s">
        <v>4650</v>
      </c>
      <c r="G55" s="3" t="s">
        <v>2334</v>
      </c>
    </row>
    <row r="56" spans="1:7">
      <c r="A56" s="6">
        <v>42902</v>
      </c>
      <c r="B56" s="3" t="s">
        <v>4621</v>
      </c>
      <c r="C56" s="3" t="s">
        <v>14</v>
      </c>
      <c r="D56" s="8" t="str">
        <f>HYPERLINK("http://npthd.inbcu.com/ViewContent.aspx?filename=NPMR_FOX_2017-06-16_E.MP4$2488$2508","MLB on FOX")</f>
        <v>MLB on FOX</v>
      </c>
      <c r="E56" s="3" t="s">
        <v>1805</v>
      </c>
      <c r="F56" s="3" t="s">
        <v>2334</v>
      </c>
      <c r="G56" s="3" t="s">
        <v>4243</v>
      </c>
    </row>
    <row r="57" spans="1:7">
      <c r="A57" s="6">
        <v>42902</v>
      </c>
      <c r="B57" s="3" t="s">
        <v>4621</v>
      </c>
      <c r="C57" s="3" t="s">
        <v>18</v>
      </c>
      <c r="D57" s="8" t="str">
        <f>HYPERLINK("http://npthd.inbcu.com/ViewContent.aspx?filename=NPMR_FOX_2017-06-16_E.MP4$2508$2928","LUCIFER: monster")</f>
        <v>LUCIFER: monster</v>
      </c>
      <c r="E57" s="3" t="s">
        <v>26</v>
      </c>
      <c r="F57" s="3" t="s">
        <v>4243</v>
      </c>
      <c r="G57" s="3" t="s">
        <v>1779</v>
      </c>
    </row>
    <row r="58" spans="1:7">
      <c r="A58" s="6">
        <v>42902</v>
      </c>
      <c r="B58" s="3" t="s">
        <v>4621</v>
      </c>
      <c r="C58" s="3" t="s">
        <v>21</v>
      </c>
      <c r="D58" s="8" t="str">
        <f>HYPERLINK("http://npthd.inbcu.com/ViewContent.aspx?filename=NPMR_FOX_2017-06-16_E.MP4$2928$3049","COMMERCIAL")</f>
        <v>COMMERCIAL</v>
      </c>
      <c r="E58" s="3" t="s">
        <v>175</v>
      </c>
      <c r="F58" s="3" t="s">
        <v>1779</v>
      </c>
      <c r="G58" s="3" t="s">
        <v>4651</v>
      </c>
    </row>
    <row r="59" spans="1:7">
      <c r="A59" s="6">
        <v>42902</v>
      </c>
      <c r="B59" s="3" t="s">
        <v>4621</v>
      </c>
      <c r="C59" s="3" t="s">
        <v>18</v>
      </c>
      <c r="D59" s="8" t="str">
        <f>HYPERLINK("http://npthd.inbcu.com/ViewContent.aspx?filename=NPMR_FOX_2017-06-16_E.MP4$3049$3565","LUCIFER: monster")</f>
        <v>LUCIFER: monster</v>
      </c>
      <c r="E59" s="3" t="s">
        <v>499</v>
      </c>
      <c r="F59" s="3" t="s">
        <v>4651</v>
      </c>
      <c r="G59" s="3" t="s">
        <v>799</v>
      </c>
    </row>
    <row r="60" spans="1:7">
      <c r="A60" s="6">
        <v>42902</v>
      </c>
      <c r="B60" s="3" t="s">
        <v>4621</v>
      </c>
      <c r="C60" s="3" t="s">
        <v>14</v>
      </c>
      <c r="D60" s="8" t="str">
        <f>HYPERLINK("http://npthd.inbcu.com/ViewContent.aspx?filename=NPMR_FOX_2017-06-16_E.MP4$3565$3575","Snowfall (FX)")</f>
        <v>Snowfall (FX)</v>
      </c>
      <c r="E60" s="3" t="s">
        <v>197</v>
      </c>
      <c r="F60" s="3" t="s">
        <v>799</v>
      </c>
      <c r="G60" s="3" t="s">
        <v>365</v>
      </c>
    </row>
    <row r="61" spans="1:7">
      <c r="A61" s="6">
        <v>42902</v>
      </c>
      <c r="B61" s="3" t="s">
        <v>4621</v>
      </c>
      <c r="C61" s="3" t="s">
        <v>32</v>
      </c>
      <c r="D61" s="8" t="str">
        <f>HYPERLINK("http://npthd.inbcu.com/ViewContent.aspx?filename=NPMR_FOX_2017-06-16_E.MP4$3575$3666","LOCAL")</f>
        <v>LOCAL</v>
      </c>
      <c r="E61" s="3" t="s">
        <v>77</v>
      </c>
      <c r="F61" s="3" t="s">
        <v>365</v>
      </c>
      <c r="G61" s="3" t="s">
        <v>4445</v>
      </c>
    </row>
    <row r="62" spans="1:7">
      <c r="A62" s="6">
        <v>42902</v>
      </c>
      <c r="B62" s="3" t="s">
        <v>4621</v>
      </c>
      <c r="C62" s="3" t="s">
        <v>18</v>
      </c>
      <c r="D62" s="8" t="str">
        <f>HYPERLINK("http://npthd.inbcu.com/ViewContent.aspx?filename=NPMR_FOX_2017-06-16_E.MP4$3666$4318","LUCIFER: monster")</f>
        <v>LUCIFER: monster</v>
      </c>
      <c r="E62" s="3" t="s">
        <v>2569</v>
      </c>
      <c r="F62" s="3" t="s">
        <v>4445</v>
      </c>
      <c r="G62" s="3" t="s">
        <v>1428</v>
      </c>
    </row>
    <row r="63" spans="1:7">
      <c r="A63" s="6">
        <v>42902</v>
      </c>
      <c r="B63" s="3" t="s">
        <v>4621</v>
      </c>
      <c r="C63" s="3" t="s">
        <v>21</v>
      </c>
      <c r="D63" s="8" t="str">
        <f>HYPERLINK("http://npthd.inbcu.com/ViewContent.aspx?filename=NPMR_FOX_2017-06-16_E.MP4$4318$4469","COMMERCIAL")</f>
        <v>COMMERCIAL</v>
      </c>
      <c r="E63" s="3" t="s">
        <v>91</v>
      </c>
      <c r="F63" s="3" t="s">
        <v>1428</v>
      </c>
      <c r="G63" s="3" t="s">
        <v>4652</v>
      </c>
    </row>
    <row r="64" spans="1:7">
      <c r="A64" s="6">
        <v>42902</v>
      </c>
      <c r="B64" s="3" t="s">
        <v>4621</v>
      </c>
      <c r="C64" s="3" t="s">
        <v>14</v>
      </c>
      <c r="D64" s="8" t="str">
        <f>HYPERLINK("http://npthd.inbcu.com/ViewContent.aspx?filename=NPMR_FOX_2017-06-16_E.MP4$4469$4484","American Grit")</f>
        <v>American Grit</v>
      </c>
      <c r="E64" s="3" t="s">
        <v>30</v>
      </c>
      <c r="F64" s="3" t="s">
        <v>4652</v>
      </c>
      <c r="G64" s="3" t="s">
        <v>4653</v>
      </c>
    </row>
    <row r="65" spans="1:7">
      <c r="A65" s="6">
        <v>42902</v>
      </c>
      <c r="B65" s="3" t="s">
        <v>4621</v>
      </c>
      <c r="C65" s="3" t="s">
        <v>18</v>
      </c>
      <c r="D65" s="8" t="str">
        <f>HYPERLINK("http://npthd.inbcu.com/ViewContent.aspx?filename=NPMR_FOX_2017-06-16_E.MP4$4484$4796","LUCIFER: monster")</f>
        <v>LUCIFER: monster</v>
      </c>
      <c r="E65" s="3" t="s">
        <v>1493</v>
      </c>
      <c r="F65" s="3" t="s">
        <v>4653</v>
      </c>
      <c r="G65" s="3" t="s">
        <v>4654</v>
      </c>
    </row>
    <row r="66" spans="1:7">
      <c r="A66" s="6">
        <v>42902</v>
      </c>
      <c r="B66" s="3" t="s">
        <v>4621</v>
      </c>
      <c r="C66" s="3" t="s">
        <v>21</v>
      </c>
      <c r="D66" s="8" t="str">
        <f>HYPERLINK("http://npthd.inbcu.com/ViewContent.aspx?filename=NPMR_FOX_2017-06-16_E.MP4$4796$4887","COMMERCIAL")</f>
        <v>COMMERCIAL</v>
      </c>
      <c r="E66" s="3" t="s">
        <v>77</v>
      </c>
      <c r="F66" s="3" t="s">
        <v>4654</v>
      </c>
      <c r="G66" s="3" t="s">
        <v>4290</v>
      </c>
    </row>
    <row r="67" spans="1:7">
      <c r="A67" s="6">
        <v>42902</v>
      </c>
      <c r="B67" s="3" t="s">
        <v>4621</v>
      </c>
      <c r="C67" s="3" t="s">
        <v>14</v>
      </c>
      <c r="D67" s="8" t="str">
        <f>HYPERLINK("http://npthd.inbcu.com/ViewContent.aspx?filename=NPMR_FOX_2017-06-16_E.MP4$4887$4902","Snowfall (FX)")</f>
        <v>Snowfall (FX)</v>
      </c>
      <c r="E67" s="3" t="s">
        <v>30</v>
      </c>
      <c r="F67" s="3" t="s">
        <v>4290</v>
      </c>
      <c r="G67" s="3" t="s">
        <v>4655</v>
      </c>
    </row>
    <row r="68" spans="1:7">
      <c r="A68" s="6">
        <v>42902</v>
      </c>
      <c r="B68" s="3" t="s">
        <v>4621</v>
      </c>
      <c r="C68" s="3" t="s">
        <v>32</v>
      </c>
      <c r="D68" s="8" t="str">
        <f>HYPERLINK("http://npthd.inbcu.com/ViewContent.aspx?filename=NPMR_FOX_2017-06-16_E.MP4$4902$5044","LOCAL")</f>
        <v>LOCAL</v>
      </c>
      <c r="E68" s="3" t="s">
        <v>2082</v>
      </c>
      <c r="F68" s="3" t="s">
        <v>4655</v>
      </c>
      <c r="G68" s="3" t="s">
        <v>4105</v>
      </c>
    </row>
    <row r="69" spans="1:7">
      <c r="A69" s="6">
        <v>42902</v>
      </c>
      <c r="B69" s="3" t="s">
        <v>4621</v>
      </c>
      <c r="C69" s="3" t="s">
        <v>18</v>
      </c>
      <c r="D69" s="8" t="str">
        <f>HYPERLINK("http://npthd.inbcu.com/ViewContent.aspx?filename=NPMR_FOX_2017-06-16_E.MP4$5044$5567","LUCIFER: monster")</f>
        <v>LUCIFER: monster</v>
      </c>
      <c r="E69" s="3" t="s">
        <v>2130</v>
      </c>
      <c r="F69" s="3" t="s">
        <v>4105</v>
      </c>
      <c r="G69" s="3" t="s">
        <v>548</v>
      </c>
    </row>
    <row r="70" spans="1:7">
      <c r="A70" s="6">
        <v>42902</v>
      </c>
      <c r="B70" s="3" t="s">
        <v>4621</v>
      </c>
      <c r="C70" s="3" t="s">
        <v>21</v>
      </c>
      <c r="D70" s="8" t="str">
        <f>HYPERLINK("http://npthd.inbcu.com/ViewContent.aspx?filename=NPMR_FOX_2017-06-16_E.MP4$5567$5763","COMMERCIAL")</f>
        <v>COMMERCIAL</v>
      </c>
      <c r="E70" s="3" t="s">
        <v>812</v>
      </c>
      <c r="F70" s="3" t="s">
        <v>548</v>
      </c>
      <c r="G70" s="3" t="s">
        <v>4656</v>
      </c>
    </row>
    <row r="71" spans="1:7">
      <c r="A71" s="6">
        <v>42902</v>
      </c>
      <c r="B71" s="3" t="s">
        <v>4621</v>
      </c>
      <c r="C71" s="3" t="s">
        <v>18</v>
      </c>
      <c r="D71" s="8" t="str">
        <f>HYPERLINK("http://npthd.inbcu.com/ViewContent.aspx?filename=NPMR_FOX_2017-06-16_E.MP4$5763$6205","LUCIFER: monster")</f>
        <v>LUCIFER: monster</v>
      </c>
      <c r="E71" s="3" t="s">
        <v>950</v>
      </c>
      <c r="F71" s="3" t="s">
        <v>4656</v>
      </c>
      <c r="G71" s="3" t="s">
        <v>3581</v>
      </c>
    </row>
    <row r="72" spans="1:7">
      <c r="A72" s="6">
        <v>42902</v>
      </c>
      <c r="B72" s="3" t="s">
        <v>4621</v>
      </c>
      <c r="C72" s="3" t="s">
        <v>14</v>
      </c>
      <c r="D72" s="8" t="str">
        <f>HYPERLINK("http://npthd.inbcu.com/ViewContent.aspx?filename=NPMR_FOX_2017-06-16_E.MP4$6205$6220","US Open (PGA)")</f>
        <v>US Open (PGA)</v>
      </c>
      <c r="E72" s="3" t="s">
        <v>30</v>
      </c>
      <c r="F72" s="3" t="s">
        <v>3581</v>
      </c>
      <c r="G72" s="3" t="s">
        <v>4657</v>
      </c>
    </row>
    <row r="73" spans="1:7">
      <c r="A73" s="6">
        <v>42902</v>
      </c>
      <c r="B73" s="3" t="s">
        <v>4621</v>
      </c>
      <c r="C73" s="3" t="s">
        <v>32</v>
      </c>
      <c r="D73" s="8" t="str">
        <f>HYPERLINK("http://npthd.inbcu.com/ViewContent.aspx?filename=NPMR_FOX_2017-06-16_E.MP4$6220$6310","LOCAL")</f>
        <v>LOCAL</v>
      </c>
      <c r="E73" s="3" t="s">
        <v>46</v>
      </c>
      <c r="F73" s="3" t="s">
        <v>4657</v>
      </c>
      <c r="G73" s="3" t="s">
        <v>4658</v>
      </c>
    </row>
    <row r="74" spans="1:7">
      <c r="A74" s="6">
        <v>42902</v>
      </c>
      <c r="B74" s="3" t="s">
        <v>4621</v>
      </c>
      <c r="C74" s="3" t="s">
        <v>18</v>
      </c>
      <c r="D74" s="8" t="str">
        <f>HYPERLINK("http://npthd.inbcu.com/ViewContent.aspx?filename=NPMR_FOX_2017-06-16_E.MP4$6310$6585","LUCIFER: monster")</f>
        <v>LUCIFER: monster</v>
      </c>
      <c r="E74" s="3" t="s">
        <v>3758</v>
      </c>
      <c r="F74" s="3" t="s">
        <v>4658</v>
      </c>
      <c r="G74" s="3" t="s">
        <v>3473</v>
      </c>
    </row>
    <row r="75" spans="1:7">
      <c r="A75" s="6">
        <v>42902</v>
      </c>
      <c r="B75" s="3" t="s">
        <v>4621</v>
      </c>
      <c r="C75" s="3" t="s">
        <v>21</v>
      </c>
      <c r="D75" s="8" t="str">
        <f>HYPERLINK("http://npthd.inbcu.com/ViewContent.aspx?filename=NPMR_FOX_2017-06-16_E.MP4$6585$6691","COMMERCIAL")</f>
        <v>COMMERCIAL</v>
      </c>
      <c r="E75" s="3" t="s">
        <v>293</v>
      </c>
      <c r="F75" s="3" t="s">
        <v>3473</v>
      </c>
      <c r="G75" s="3" t="s">
        <v>3526</v>
      </c>
    </row>
    <row r="76" spans="1:7">
      <c r="A76" s="6">
        <v>42902</v>
      </c>
      <c r="B76" s="3" t="s">
        <v>4621</v>
      </c>
      <c r="C76" s="3" t="s">
        <v>14</v>
      </c>
      <c r="D76" s="8" t="str">
        <f>HYPERLINK("http://npthd.inbcu.com/ViewContent.aspx?filename=NPMR_FOX_2017-06-16_E.MP4$6691$6711","Beat Shazam / Love Connection")</f>
        <v>Beat Shazam / Love Connection</v>
      </c>
      <c r="E76" s="3" t="s">
        <v>1805</v>
      </c>
      <c r="F76" s="3" t="s">
        <v>3526</v>
      </c>
      <c r="G76" s="3" t="s">
        <v>2029</v>
      </c>
    </row>
    <row r="77" spans="1:7">
      <c r="A77" s="6">
        <v>42902</v>
      </c>
      <c r="B77" s="3" t="s">
        <v>4621</v>
      </c>
      <c r="C77" s="3" t="s">
        <v>32</v>
      </c>
      <c r="D77" s="8" t="str">
        <f>HYPERLINK("http://npthd.inbcu.com/ViewContent.aspx?filename=NPMR_FOX_2017-06-16_E.MP4$6711$6731","LOCAL")</f>
        <v>LOCAL</v>
      </c>
      <c r="E77" s="3" t="s">
        <v>1805</v>
      </c>
      <c r="F77" s="3" t="s">
        <v>2029</v>
      </c>
      <c r="G77" s="3" t="s">
        <v>3834</v>
      </c>
    </row>
    <row r="78" spans="1:7">
      <c r="A78" s="6">
        <v>42902</v>
      </c>
      <c r="B78" s="3" t="s">
        <v>4621</v>
      </c>
      <c r="C78" s="3" t="s">
        <v>14</v>
      </c>
      <c r="D78" s="8" t="str">
        <f>HYPERLINK("http://npthd.inbcu.com/ViewContent.aspx?filename=NPMR_FOX_2017-06-16_E.MP4$6731$6752","So You Think You Can Dance?")</f>
        <v>So You Think You Can Dance?</v>
      </c>
      <c r="E78" s="3" t="s">
        <v>2067</v>
      </c>
      <c r="F78" s="3" t="s">
        <v>3834</v>
      </c>
      <c r="G78" s="3" t="s">
        <v>4659</v>
      </c>
    </row>
    <row r="79" spans="1:7">
      <c r="A79" s="6">
        <v>42902</v>
      </c>
      <c r="B79" s="3" t="s">
        <v>4621</v>
      </c>
      <c r="C79" s="3" t="s">
        <v>18</v>
      </c>
      <c r="D79" s="8" t="str">
        <f>HYPERLINK("http://npthd.inbcu.com/ViewContent.aspx?filename=NPMR_FOX_2017-06-16_E.MP4$6752$7254","LUCIFER: monster")</f>
        <v>LUCIFER: monster</v>
      </c>
      <c r="E79" s="3" t="s">
        <v>2004</v>
      </c>
      <c r="F79" s="3" t="s">
        <v>4659</v>
      </c>
      <c r="G79" s="3" t="s">
        <v>4660</v>
      </c>
    </row>
    <row r="80" spans="1:7">
      <c r="A80" s="6">
        <v>42902</v>
      </c>
      <c r="B80" s="3" t="s">
        <v>4621</v>
      </c>
      <c r="C80" s="3" t="s">
        <v>21</v>
      </c>
      <c r="D80" s="8" t="str">
        <f>HYPERLINK("http://npthd.inbcu.com/ViewContent.aspx?filename=NPMR_FOX_2017-06-16_E.MP4$7254$7316","COMMERCIAL")</f>
        <v>COMMERCIAL</v>
      </c>
      <c r="E80" s="3" t="s">
        <v>257</v>
      </c>
      <c r="F80" s="3" t="s">
        <v>4660</v>
      </c>
      <c r="G80" s="3" t="s">
        <v>4661</v>
      </c>
    </row>
    <row r="81" spans="1:7">
      <c r="A81" s="6">
        <v>42902</v>
      </c>
      <c r="B81" s="3" t="s">
        <v>4621</v>
      </c>
      <c r="C81" s="3" t="s">
        <v>32</v>
      </c>
      <c r="D81" s="8" t="str">
        <f>HYPERLINK("http://npthd.inbcu.com/ViewContent.aspx?filename=NPMR_FOX_2017-06-16_E.MP4$7316$7413","LOCAL")</f>
        <v>LOCAL</v>
      </c>
      <c r="E81" s="3" t="s">
        <v>4662</v>
      </c>
      <c r="F81" s="3" t="s">
        <v>4661</v>
      </c>
      <c r="G81" s="3" t="s">
        <v>394</v>
      </c>
    </row>
    <row r="82" spans="1:7">
      <c r="A82" s="6">
        <v>42903</v>
      </c>
      <c r="B82" s="3" t="s">
        <v>4621</v>
      </c>
      <c r="C82" s="3" t="s">
        <v>18</v>
      </c>
      <c r="D82" s="8" t="str">
        <f>HYPERLINK("http://npthd.inbcu.com/ViewContent.aspx?filename=NPMR_FOX_2017-06-17_E.MP4$67$559","FOX SPORTS SPECIALS:")</f>
        <v>FOX SPORTS SPECIALS:</v>
      </c>
      <c r="E82" s="3" t="s">
        <v>1833</v>
      </c>
      <c r="F82" s="3" t="s">
        <v>16</v>
      </c>
      <c r="G82" s="3" t="s">
        <v>4663</v>
      </c>
    </row>
    <row r="83" spans="1:7">
      <c r="A83" s="6">
        <v>42903</v>
      </c>
      <c r="B83" s="3" t="s">
        <v>4621</v>
      </c>
      <c r="C83" s="3" t="s">
        <v>14</v>
      </c>
      <c r="D83" s="8" t="str">
        <f>HYPERLINK("http://npthd.inbcu.com/ViewContent.aspx?filename=NPMR_FOX_2017-06-17_E.MP4$559$564","American Grit")</f>
        <v>American Grit</v>
      </c>
      <c r="E83" s="3" t="s">
        <v>54</v>
      </c>
      <c r="F83" s="3" t="s">
        <v>4663</v>
      </c>
      <c r="G83" s="3" t="s">
        <v>4664</v>
      </c>
    </row>
    <row r="84" spans="1:7">
      <c r="A84" s="6">
        <v>42903</v>
      </c>
      <c r="B84" s="3" t="s">
        <v>4621</v>
      </c>
      <c r="C84" s="3" t="s">
        <v>32</v>
      </c>
      <c r="D84" s="8" t="str">
        <f>HYPERLINK("http://npthd.inbcu.com/ViewContent.aspx?filename=NPMR_FOX_2017-06-17_E.MP4$564$642","LOCAL")</f>
        <v>LOCAL</v>
      </c>
      <c r="E84" s="3" t="s">
        <v>1381</v>
      </c>
      <c r="F84" s="3" t="s">
        <v>4664</v>
      </c>
      <c r="G84" s="3" t="s">
        <v>4665</v>
      </c>
    </row>
    <row r="85" spans="1:7">
      <c r="A85" s="6">
        <v>42903</v>
      </c>
      <c r="B85" s="3" t="s">
        <v>4621</v>
      </c>
      <c r="C85" s="3" t="s">
        <v>14</v>
      </c>
      <c r="D85" s="8" t="str">
        <f>HYPERLINK("http://npthd.inbcu.com/ViewContent.aspx?filename=NPMR_FOX_2017-06-17_E.MP4$642$662","MLB All Star Game")</f>
        <v>MLB All Star Game</v>
      </c>
      <c r="E85" s="3" t="s">
        <v>1805</v>
      </c>
      <c r="F85" s="3" t="s">
        <v>4665</v>
      </c>
      <c r="G85" s="3" t="s">
        <v>4666</v>
      </c>
    </row>
    <row r="86" spans="1:7">
      <c r="A86" s="6">
        <v>42903</v>
      </c>
      <c r="B86" s="3" t="s">
        <v>4621</v>
      </c>
      <c r="C86" s="3" t="s">
        <v>18</v>
      </c>
      <c r="D86" s="8" t="str">
        <f>HYPERLINK("http://npthd.inbcu.com/ViewContent.aspx?filename=NPMR_FOX_2017-06-17_E.MP4$662$784","FOX SPORTS SPECIALS:")</f>
        <v>FOX SPORTS SPECIALS:</v>
      </c>
      <c r="E86" s="3" t="s">
        <v>252</v>
      </c>
      <c r="F86" s="3" t="s">
        <v>4666</v>
      </c>
      <c r="G86" s="3" t="s">
        <v>3706</v>
      </c>
    </row>
    <row r="87" spans="1:7">
      <c r="A87" s="6">
        <v>42903</v>
      </c>
      <c r="B87" s="3" t="s">
        <v>4621</v>
      </c>
      <c r="C87" s="3" t="s">
        <v>21</v>
      </c>
      <c r="D87" s="8" t="str">
        <f>HYPERLINK("http://npthd.inbcu.com/ViewContent.aspx?filename=NPMR_FOX_2017-06-17_E.MP4$784$935","COMMERCIAL")</f>
        <v>COMMERCIAL</v>
      </c>
      <c r="E87" s="3" t="s">
        <v>91</v>
      </c>
      <c r="F87" s="3" t="s">
        <v>3706</v>
      </c>
      <c r="G87" s="3" t="s">
        <v>4667</v>
      </c>
    </row>
    <row r="88" spans="1:7">
      <c r="A88" s="6">
        <v>42903</v>
      </c>
      <c r="B88" s="3" t="s">
        <v>4621</v>
      </c>
      <c r="C88" s="3" t="s">
        <v>18</v>
      </c>
      <c r="D88" s="8" t="str">
        <f>HYPERLINK("http://npthd.inbcu.com/ViewContent.aspx?filename=NPMR_FOX_2017-06-17_E.MP4$935$1563","FOX SPORTS SPECIALS:")</f>
        <v>FOX SPORTS SPECIALS:</v>
      </c>
      <c r="E88" s="3" t="s">
        <v>1494</v>
      </c>
      <c r="F88" s="3" t="s">
        <v>4667</v>
      </c>
      <c r="G88" s="3" t="s">
        <v>4668</v>
      </c>
    </row>
    <row r="89" spans="1:7">
      <c r="A89" s="6">
        <v>42903</v>
      </c>
      <c r="B89" s="3" t="s">
        <v>4621</v>
      </c>
      <c r="C89" s="3" t="s">
        <v>21</v>
      </c>
      <c r="D89" s="8" t="str">
        <f>HYPERLINK("http://npthd.inbcu.com/ViewContent.aspx?filename=NPMR_FOX_2017-06-17_E.MP4$1563$1669","COMMERCIAL")</f>
        <v>COMMERCIAL</v>
      </c>
      <c r="E89" s="3" t="s">
        <v>293</v>
      </c>
      <c r="F89" s="3" t="s">
        <v>4668</v>
      </c>
      <c r="G89" s="3" t="s">
        <v>4669</v>
      </c>
    </row>
    <row r="90" spans="1:7">
      <c r="A90" s="6">
        <v>42903</v>
      </c>
      <c r="B90" s="3" t="s">
        <v>4621</v>
      </c>
      <c r="C90" s="3" t="s">
        <v>18</v>
      </c>
      <c r="D90" s="8" t="str">
        <f>HYPERLINK("http://npthd.inbcu.com/ViewContent.aspx?filename=NPMR_FOX_2017-06-17_E.MP4$1669$2699","FOX SPORTS SPECIALS:")</f>
        <v>FOX SPORTS SPECIALS:</v>
      </c>
      <c r="E90" s="3" t="s">
        <v>4670</v>
      </c>
      <c r="F90" s="3" t="s">
        <v>4669</v>
      </c>
      <c r="G90" s="3" t="s">
        <v>1271</v>
      </c>
    </row>
    <row r="91" spans="1:7">
      <c r="A91" s="6">
        <v>42903</v>
      </c>
      <c r="B91" s="3" t="s">
        <v>4621</v>
      </c>
      <c r="C91" s="3" t="s">
        <v>21</v>
      </c>
      <c r="D91" s="8" t="str">
        <f>HYPERLINK("http://npthd.inbcu.com/ViewContent.aspx?filename=NPMR_FOX_2017-06-17_E.MP4$2699$2820","COMMERCIAL")</f>
        <v>COMMERCIAL</v>
      </c>
      <c r="E91" s="3" t="s">
        <v>175</v>
      </c>
      <c r="F91" s="3" t="s">
        <v>1271</v>
      </c>
      <c r="G91" s="3" t="s">
        <v>4671</v>
      </c>
    </row>
    <row r="92" spans="1:7">
      <c r="A92" s="6">
        <v>42903</v>
      </c>
      <c r="B92" s="3" t="s">
        <v>4621</v>
      </c>
      <c r="C92" s="3" t="s">
        <v>18</v>
      </c>
      <c r="D92" s="8" t="str">
        <f>HYPERLINK("http://npthd.inbcu.com/ViewContent.aspx?filename=NPMR_FOX_2017-06-17_E.MP4$2820$3071","FOX SPORTS SPECIALS:")</f>
        <v>FOX SPORTS SPECIALS:</v>
      </c>
      <c r="E92" s="3" t="s">
        <v>1307</v>
      </c>
      <c r="F92" s="3" t="s">
        <v>4671</v>
      </c>
      <c r="G92" s="3" t="s">
        <v>3066</v>
      </c>
    </row>
    <row r="93" spans="1:7">
      <c r="A93" s="6">
        <v>42903</v>
      </c>
      <c r="B93" s="3" t="s">
        <v>4621</v>
      </c>
      <c r="C93" s="3" t="s">
        <v>21</v>
      </c>
      <c r="D93" s="8" t="str">
        <f>HYPERLINK("http://npthd.inbcu.com/ViewContent.aspx?filename=NPMR_FOX_2017-06-17_E.MP4$3071$3192","COMMERCIAL")</f>
        <v>COMMERCIAL</v>
      </c>
      <c r="E93" s="3" t="s">
        <v>175</v>
      </c>
      <c r="F93" s="3" t="s">
        <v>3066</v>
      </c>
      <c r="G93" s="3" t="s">
        <v>4672</v>
      </c>
    </row>
    <row r="94" spans="1:7">
      <c r="A94" s="6">
        <v>42903</v>
      </c>
      <c r="B94" s="3" t="s">
        <v>4621</v>
      </c>
      <c r="C94" s="3" t="s">
        <v>18</v>
      </c>
      <c r="D94" s="8" t="str">
        <f>HYPERLINK("http://npthd.inbcu.com/ViewContent.aspx?filename=NPMR_FOX_2017-06-17_E.MP4$3192$3755","FOX SPORTS SPECIALS:")</f>
        <v>FOX SPORTS SPECIALS:</v>
      </c>
      <c r="E94" s="3" t="s">
        <v>3130</v>
      </c>
      <c r="F94" s="3" t="s">
        <v>4672</v>
      </c>
      <c r="G94" s="3" t="s">
        <v>1897</v>
      </c>
    </row>
    <row r="95" spans="1:7">
      <c r="A95" s="6">
        <v>42903</v>
      </c>
      <c r="B95" s="3" t="s">
        <v>4621</v>
      </c>
      <c r="C95" s="3" t="s">
        <v>14</v>
      </c>
      <c r="D95" s="8" t="str">
        <f>HYPERLINK("http://npthd.inbcu.com/ViewContent.aspx?filename=NPMR_FOX_2017-06-17_E.MP4$3755$3760","Snowfall (FX)")</f>
        <v>Snowfall (FX)</v>
      </c>
      <c r="E95" s="3" t="s">
        <v>54</v>
      </c>
      <c r="F95" s="3" t="s">
        <v>1897</v>
      </c>
      <c r="G95" s="3" t="s">
        <v>4673</v>
      </c>
    </row>
    <row r="96" spans="1:7">
      <c r="A96" s="6">
        <v>42903</v>
      </c>
      <c r="B96" s="3" t="s">
        <v>4621</v>
      </c>
      <c r="C96" s="3" t="s">
        <v>32</v>
      </c>
      <c r="D96" s="8" t="str">
        <f>HYPERLINK("http://npthd.inbcu.com/ViewContent.aspx?filename=NPMR_FOX_2017-06-17_E.MP4$3760$3888","LOCAL")</f>
        <v>LOCAL</v>
      </c>
      <c r="E96" s="3" t="s">
        <v>2498</v>
      </c>
      <c r="F96" s="3" t="s">
        <v>4673</v>
      </c>
      <c r="G96" s="3" t="s">
        <v>4674</v>
      </c>
    </row>
    <row r="97" spans="1:7">
      <c r="A97" s="6">
        <v>42903</v>
      </c>
      <c r="B97" s="3" t="s">
        <v>4621</v>
      </c>
      <c r="C97" s="3" t="s">
        <v>18</v>
      </c>
      <c r="D97" s="8" t="str">
        <f>HYPERLINK("http://npthd.inbcu.com/ViewContent.aspx?filename=NPMR_FOX_2017-06-17_E.MP4$3888$4220","FOX SPORTS SPECIALS:")</f>
        <v>FOX SPORTS SPECIALS:</v>
      </c>
      <c r="E97" s="3" t="s">
        <v>201</v>
      </c>
      <c r="F97" s="3" t="s">
        <v>4674</v>
      </c>
      <c r="G97" s="3" t="s">
        <v>4675</v>
      </c>
    </row>
    <row r="98" spans="1:7">
      <c r="A98" s="6">
        <v>42903</v>
      </c>
      <c r="B98" s="3" t="s">
        <v>4621</v>
      </c>
      <c r="C98" s="3" t="s">
        <v>21</v>
      </c>
      <c r="D98" s="8" t="str">
        <f>HYPERLINK("http://npthd.inbcu.com/ViewContent.aspx?filename=NPMR_FOX_2017-06-17_E.MP4$4220$4326","COMMERCIAL")</f>
        <v>COMMERCIAL</v>
      </c>
      <c r="E98" s="3" t="s">
        <v>293</v>
      </c>
      <c r="F98" s="3" t="s">
        <v>4675</v>
      </c>
      <c r="G98" s="3" t="s">
        <v>4676</v>
      </c>
    </row>
    <row r="99" spans="1:7">
      <c r="A99" s="6">
        <v>42903</v>
      </c>
      <c r="B99" s="3" t="s">
        <v>4621</v>
      </c>
      <c r="C99" s="3" t="s">
        <v>14</v>
      </c>
      <c r="D99" s="8" t="str">
        <f>HYPERLINK("http://npthd.inbcu.com/ViewContent.aspx?filename=NPMR_FOX_2017-06-17_E.MP4$4326$4346","MLB All Star Game")</f>
        <v>MLB All Star Game</v>
      </c>
      <c r="E99" s="3" t="s">
        <v>1805</v>
      </c>
      <c r="F99" s="3" t="s">
        <v>4676</v>
      </c>
      <c r="G99" s="3" t="s">
        <v>3871</v>
      </c>
    </row>
    <row r="100" spans="1:7">
      <c r="A100" s="6">
        <v>42903</v>
      </c>
      <c r="B100" s="3" t="s">
        <v>4621</v>
      </c>
      <c r="C100" s="3" t="s">
        <v>14</v>
      </c>
      <c r="D100" s="8" t="str">
        <f>HYPERLINK("http://npthd.inbcu.com/ViewContent.aspx?filename=NPMR_FOX_2017-06-17_E.MP4$4346$4356","American Grit")</f>
        <v>American Grit</v>
      </c>
      <c r="E100" s="3" t="s">
        <v>197</v>
      </c>
      <c r="F100" s="3" t="s">
        <v>3871</v>
      </c>
      <c r="G100" s="3" t="s">
        <v>4677</v>
      </c>
    </row>
    <row r="101" spans="1:7">
      <c r="A101" s="6">
        <v>42903</v>
      </c>
      <c r="B101" s="3" t="s">
        <v>4621</v>
      </c>
      <c r="C101" s="3" t="s">
        <v>18</v>
      </c>
      <c r="D101" s="8" t="str">
        <f>HYPERLINK("http://npthd.inbcu.com/ViewContent.aspx?filename=NPMR_FOX_2017-06-17_E.MP4$4356$4891","FOX SPORTS SPECIALS:")</f>
        <v>FOX SPORTS SPECIALS:</v>
      </c>
      <c r="E101" s="3" t="s">
        <v>1724</v>
      </c>
      <c r="F101" s="3" t="s">
        <v>4677</v>
      </c>
      <c r="G101" s="3" t="s">
        <v>4678</v>
      </c>
    </row>
    <row r="102" spans="1:7">
      <c r="A102" s="6">
        <v>42903</v>
      </c>
      <c r="B102" s="3" t="s">
        <v>4621</v>
      </c>
      <c r="C102" s="3" t="s">
        <v>21</v>
      </c>
      <c r="D102" s="8" t="str">
        <f>HYPERLINK("http://npthd.inbcu.com/ViewContent.aspx?filename=NPMR_FOX_2017-06-17_E.MP4$4891$5012","COMMERCIAL")</f>
        <v>COMMERCIAL</v>
      </c>
      <c r="E102" s="3" t="s">
        <v>175</v>
      </c>
      <c r="F102" s="3" t="s">
        <v>4678</v>
      </c>
      <c r="G102" s="3" t="s">
        <v>4108</v>
      </c>
    </row>
    <row r="103" spans="1:7">
      <c r="A103" s="6">
        <v>42903</v>
      </c>
      <c r="B103" s="3" t="s">
        <v>4621</v>
      </c>
      <c r="C103" s="3" t="s">
        <v>18</v>
      </c>
      <c r="D103" s="8" t="str">
        <f>HYPERLINK("http://npthd.inbcu.com/ViewContent.aspx?filename=NPMR_FOX_2017-06-17_E.MP4$5012$5520","FOX SPORTS SPECIALS:")</f>
        <v>FOX SPORTS SPECIALS:</v>
      </c>
      <c r="E103" s="3" t="s">
        <v>259</v>
      </c>
      <c r="F103" s="3" t="s">
        <v>4108</v>
      </c>
      <c r="G103" s="3" t="s">
        <v>4679</v>
      </c>
    </row>
    <row r="104" spans="1:7">
      <c r="A104" s="6">
        <v>42903</v>
      </c>
      <c r="B104" s="3" t="s">
        <v>4621</v>
      </c>
      <c r="C104" s="3" t="s">
        <v>21</v>
      </c>
      <c r="D104" s="8" t="str">
        <f>HYPERLINK("http://npthd.inbcu.com/ViewContent.aspx?filename=NPMR_FOX_2017-06-17_E.MP4$5520$5625","COMMERCIAL")</f>
        <v>COMMERCIAL</v>
      </c>
      <c r="E104" s="3" t="s">
        <v>199</v>
      </c>
      <c r="F104" s="3" t="s">
        <v>4679</v>
      </c>
      <c r="G104" s="3" t="s">
        <v>1503</v>
      </c>
    </row>
    <row r="105" spans="1:7">
      <c r="A105" s="6">
        <v>42903</v>
      </c>
      <c r="B105" s="3" t="s">
        <v>4621</v>
      </c>
      <c r="C105" s="3" t="s">
        <v>14</v>
      </c>
      <c r="D105" s="8" t="str">
        <f>HYPERLINK("http://npthd.inbcu.com/ViewContent.aspx?filename=NPMR_FOX_2017-06-17_E.MP4$5625$5655","MLB Home Run Derby (ESPN)")</f>
        <v>MLB Home Run Derby (ESPN)</v>
      </c>
      <c r="E105" s="3" t="s">
        <v>38</v>
      </c>
      <c r="F105" s="3" t="s">
        <v>1503</v>
      </c>
      <c r="G105" s="3" t="s">
        <v>4680</v>
      </c>
    </row>
    <row r="106" spans="1:7">
      <c r="A106" s="6">
        <v>42903</v>
      </c>
      <c r="B106" s="3" t="s">
        <v>4621</v>
      </c>
      <c r="C106" s="3" t="s">
        <v>18</v>
      </c>
      <c r="D106" s="8" t="str">
        <f>HYPERLINK("http://npthd.inbcu.com/ViewContent.aspx?filename=NPMR_FOX_2017-06-17_E.MP4$5655$5932","FOX SPORTS SPECIALS:")</f>
        <v>FOX SPORTS SPECIALS:</v>
      </c>
      <c r="E106" s="3" t="s">
        <v>1376</v>
      </c>
      <c r="F106" s="3" t="s">
        <v>4680</v>
      </c>
      <c r="G106" s="3" t="s">
        <v>1648</v>
      </c>
    </row>
    <row r="107" spans="1:7">
      <c r="A107" s="6">
        <v>42903</v>
      </c>
      <c r="B107" s="3" t="s">
        <v>4621</v>
      </c>
      <c r="C107" s="3" t="s">
        <v>21</v>
      </c>
      <c r="D107" s="8" t="str">
        <f>HYPERLINK("http://npthd.inbcu.com/ViewContent.aspx?filename=NPMR_FOX_2017-06-17_E.MP4$5932$6068","COMMERCIAL")</f>
        <v>COMMERCIAL</v>
      </c>
      <c r="E107" s="3" t="s">
        <v>668</v>
      </c>
      <c r="F107" s="3" t="s">
        <v>1648</v>
      </c>
      <c r="G107" s="3" t="s">
        <v>2360</v>
      </c>
    </row>
    <row r="108" spans="1:7">
      <c r="A108" s="6">
        <v>42903</v>
      </c>
      <c r="B108" s="3" t="s">
        <v>4621</v>
      </c>
      <c r="C108" s="3" t="s">
        <v>18</v>
      </c>
      <c r="D108" s="8" t="str">
        <f>HYPERLINK("http://npthd.inbcu.com/ViewContent.aspx?filename=NPMR_FOX_2017-06-17_E.MP4$6068$6382","FOX SPORTS SPECIALS:")</f>
        <v>FOX SPORTS SPECIALS:</v>
      </c>
      <c r="E108" s="3" t="s">
        <v>1510</v>
      </c>
      <c r="F108" s="3" t="s">
        <v>2360</v>
      </c>
      <c r="G108" s="3" t="s">
        <v>4681</v>
      </c>
    </row>
    <row r="109" spans="1:7">
      <c r="A109" s="6">
        <v>42903</v>
      </c>
      <c r="B109" s="3" t="s">
        <v>4621</v>
      </c>
      <c r="C109" s="3" t="s">
        <v>21</v>
      </c>
      <c r="D109" s="8" t="str">
        <f>HYPERLINK("http://npthd.inbcu.com/ViewContent.aspx?filename=NPMR_FOX_2017-06-17_E.MP4$6382$6503","COMMERCIAL")</f>
        <v>COMMERCIAL</v>
      </c>
      <c r="E109" s="3" t="s">
        <v>175</v>
      </c>
      <c r="F109" s="3" t="s">
        <v>4681</v>
      </c>
      <c r="G109" s="3" t="s">
        <v>4682</v>
      </c>
    </row>
    <row r="110" spans="1:7">
      <c r="A110" s="6">
        <v>42903</v>
      </c>
      <c r="B110" s="3" t="s">
        <v>4621</v>
      </c>
      <c r="C110" s="3" t="s">
        <v>18</v>
      </c>
      <c r="D110" s="8" t="str">
        <f>HYPERLINK("http://npthd.inbcu.com/ViewContent.aspx?filename=NPMR_FOX_2017-06-17_E.MP4$6503$6851","FOX SPORTS SPECIALS:")</f>
        <v>FOX SPORTS SPECIALS:</v>
      </c>
      <c r="E110" s="3" t="s">
        <v>442</v>
      </c>
      <c r="F110" s="3" t="s">
        <v>4682</v>
      </c>
      <c r="G110" s="3" t="s">
        <v>4683</v>
      </c>
    </row>
    <row r="111" spans="1:7">
      <c r="A111" s="6">
        <v>42903</v>
      </c>
      <c r="B111" s="3" t="s">
        <v>4621</v>
      </c>
      <c r="C111" s="3" t="s">
        <v>21</v>
      </c>
      <c r="D111" s="8" t="str">
        <f>HYPERLINK("http://npthd.inbcu.com/ViewContent.aspx?filename=NPMR_FOX_2017-06-17_E.MP4$6851$6972","COMMERCIAL")</f>
        <v>COMMERCIAL</v>
      </c>
      <c r="E111" s="3" t="s">
        <v>175</v>
      </c>
      <c r="F111" s="3" t="s">
        <v>4683</v>
      </c>
      <c r="G111" s="3" t="s">
        <v>4684</v>
      </c>
    </row>
    <row r="112" spans="1:7">
      <c r="A112" s="6">
        <v>42903</v>
      </c>
      <c r="B112" s="3" t="s">
        <v>4621</v>
      </c>
      <c r="C112" s="3" t="s">
        <v>18</v>
      </c>
      <c r="D112" s="8" t="str">
        <f>HYPERLINK("http://npthd.inbcu.com/ViewContent.aspx?filename=NPMR_FOX_2017-06-17_E.MP4$6972$7267","FOX SPORTS SPECIALS:")</f>
        <v>FOX SPORTS SPECIALS:</v>
      </c>
      <c r="E112" s="3" t="s">
        <v>1694</v>
      </c>
      <c r="F112" s="3" t="s">
        <v>4684</v>
      </c>
      <c r="G112" s="3" t="s">
        <v>394</v>
      </c>
    </row>
    <row r="113" spans="1:7">
      <c r="A113" s="6">
        <v>42904</v>
      </c>
      <c r="B113" s="3" t="s">
        <v>4621</v>
      </c>
      <c r="C113" s="3" t="s">
        <v>18</v>
      </c>
      <c r="D113" s="8" t="str">
        <f>HYPERLINK("http://npthd.inbcu.com/ViewContent.aspx?filename=NPMR_FOX_2017-06-18_E.MP4$71$535","AMERICAN GRIT: cena does the dishes")</f>
        <v>AMERICAN GRIT: cena does the dishes</v>
      </c>
      <c r="E113" s="3" t="s">
        <v>1582</v>
      </c>
      <c r="F113" s="3" t="s">
        <v>311</v>
      </c>
      <c r="G113" s="3" t="s">
        <v>4685</v>
      </c>
    </row>
    <row r="114" spans="1:7">
      <c r="A114" s="6">
        <v>42904</v>
      </c>
      <c r="B114" s="3" t="s">
        <v>4621</v>
      </c>
      <c r="C114" s="3" t="s">
        <v>21</v>
      </c>
      <c r="D114" s="8" t="str">
        <f>HYPERLINK("http://npthd.inbcu.com/ViewContent.aspx?filename=NPMR_FOX_2017-06-18_E.MP4$535$656","COMMERCIAL")</f>
        <v>COMMERCIAL</v>
      </c>
      <c r="E114" s="3" t="s">
        <v>175</v>
      </c>
      <c r="F114" s="3" t="s">
        <v>4685</v>
      </c>
      <c r="G114" s="3" t="s">
        <v>4686</v>
      </c>
    </row>
    <row r="115" spans="1:7">
      <c r="A115" s="6">
        <v>42904</v>
      </c>
      <c r="B115" s="3" t="s">
        <v>4621</v>
      </c>
      <c r="C115" s="3" t="s">
        <v>14</v>
      </c>
      <c r="D115" s="8" t="str">
        <f>HYPERLINK("http://npthd.inbcu.com/ViewContent.aspx?filename=NPMR_FOX_2017-06-18_E.MP4$656$676","MLB All Star Game")</f>
        <v>MLB All Star Game</v>
      </c>
      <c r="E115" s="3" t="s">
        <v>1805</v>
      </c>
      <c r="F115" s="3" t="s">
        <v>4686</v>
      </c>
      <c r="G115" s="3" t="s">
        <v>4687</v>
      </c>
    </row>
    <row r="116" spans="1:7">
      <c r="A116" s="6">
        <v>42904</v>
      </c>
      <c r="B116" s="3" t="s">
        <v>4621</v>
      </c>
      <c r="C116" s="3" t="s">
        <v>18</v>
      </c>
      <c r="D116" s="8" t="str">
        <f>HYPERLINK("http://npthd.inbcu.com/ViewContent.aspx?filename=NPMR_FOX_2017-06-18_E.MP4$676$1456","AMERICAN GRIT: cena does the dishes")</f>
        <v>AMERICAN GRIT: cena does the dishes</v>
      </c>
      <c r="E116" s="3" t="s">
        <v>4688</v>
      </c>
      <c r="F116" s="3" t="s">
        <v>4687</v>
      </c>
      <c r="G116" s="3" t="s">
        <v>4689</v>
      </c>
    </row>
    <row r="117" spans="1:7">
      <c r="A117" s="6">
        <v>42904</v>
      </c>
      <c r="B117" s="3" t="s">
        <v>4621</v>
      </c>
      <c r="C117" s="3" t="s">
        <v>21</v>
      </c>
      <c r="D117" s="8" t="str">
        <f>HYPERLINK("http://npthd.inbcu.com/ViewContent.aspx?filename=NPMR_FOX_2017-06-18_E.MP4$1456$1576","COMMERCIAL")</f>
        <v>COMMERCIAL</v>
      </c>
      <c r="E117" s="3" t="s">
        <v>43</v>
      </c>
      <c r="F117" s="3" t="s">
        <v>4689</v>
      </c>
      <c r="G117" s="3" t="s">
        <v>4690</v>
      </c>
    </row>
    <row r="118" spans="1:7">
      <c r="A118" s="6">
        <v>42904</v>
      </c>
      <c r="B118" s="3" t="s">
        <v>4621</v>
      </c>
      <c r="C118" s="3" t="s">
        <v>14</v>
      </c>
      <c r="D118" s="8" t="str">
        <f>HYPERLINK("http://npthd.inbcu.com/ViewContent.aspx?filename=NPMR_FOX_2017-06-18_E.MP4$1576$1586","National Geographic Channel")</f>
        <v>National Geographic Channel</v>
      </c>
      <c r="E118" s="3" t="s">
        <v>197</v>
      </c>
      <c r="F118" s="3" t="s">
        <v>4690</v>
      </c>
      <c r="G118" s="3" t="s">
        <v>4691</v>
      </c>
    </row>
    <row r="119" spans="1:7">
      <c r="A119" s="6">
        <v>42904</v>
      </c>
      <c r="B119" s="3" t="s">
        <v>4621</v>
      </c>
      <c r="C119" s="3" t="s">
        <v>32</v>
      </c>
      <c r="D119" s="8" t="str">
        <f>HYPERLINK("http://npthd.inbcu.com/ViewContent.aspx?filename=NPMR_FOX_2017-06-18_E.MP4$1586$1647","LOCAL")</f>
        <v>LOCAL</v>
      </c>
      <c r="E119" s="3" t="s">
        <v>33</v>
      </c>
      <c r="F119" s="3" t="s">
        <v>4691</v>
      </c>
      <c r="G119" s="3" t="s">
        <v>4692</v>
      </c>
    </row>
    <row r="120" spans="1:7">
      <c r="A120" s="6">
        <v>42904</v>
      </c>
      <c r="B120" s="3" t="s">
        <v>4621</v>
      </c>
      <c r="C120" s="3" t="s">
        <v>18</v>
      </c>
      <c r="D120" s="8" t="str">
        <f>HYPERLINK("http://npthd.inbcu.com/ViewContent.aspx?filename=NPMR_FOX_2017-06-18_E.MP4$1647$4683","AMERICAN GRIT: cena does the dishes")</f>
        <v>AMERICAN GRIT: cena does the dishes</v>
      </c>
      <c r="E120" s="3" t="s">
        <v>4693</v>
      </c>
      <c r="F120" s="3" t="s">
        <v>4692</v>
      </c>
      <c r="G120" s="3" t="s">
        <v>505</v>
      </c>
    </row>
    <row r="121" spans="1:7">
      <c r="A121" s="6">
        <v>42904</v>
      </c>
      <c r="B121" s="3" t="s">
        <v>4621</v>
      </c>
      <c r="C121" s="3" t="s">
        <v>21</v>
      </c>
      <c r="D121" s="8" t="str">
        <f>HYPERLINK("http://npthd.inbcu.com/ViewContent.aspx?filename=NPMR_FOX_2017-06-18_E.MP4$4683$4774","COMMERCIAL")</f>
        <v>COMMERCIAL</v>
      </c>
      <c r="E121" s="3" t="s">
        <v>77</v>
      </c>
      <c r="F121" s="3" t="s">
        <v>505</v>
      </c>
      <c r="G121" s="3" t="s">
        <v>2327</v>
      </c>
    </row>
    <row r="122" spans="1:7">
      <c r="A122" s="6">
        <v>42904</v>
      </c>
      <c r="B122" s="3" t="s">
        <v>4621</v>
      </c>
      <c r="C122" s="3" t="s">
        <v>14</v>
      </c>
      <c r="D122" s="8" t="str">
        <f>HYPERLINK("http://npthd.inbcu.com/ViewContent.aspx?filename=NPMR_FOX_2017-06-18_E.MP4$4774$4784","MLB All Star Game")</f>
        <v>MLB All Star Game</v>
      </c>
      <c r="E122" s="3" t="s">
        <v>197</v>
      </c>
      <c r="F122" s="3" t="s">
        <v>2327</v>
      </c>
      <c r="G122" s="3" t="s">
        <v>4694</v>
      </c>
    </row>
    <row r="123" spans="1:7">
      <c r="A123" s="6">
        <v>42904</v>
      </c>
      <c r="B123" s="3" t="s">
        <v>4621</v>
      </c>
      <c r="C123" s="3" t="s">
        <v>18</v>
      </c>
      <c r="D123" s="8" t="str">
        <f>HYPERLINK("http://npthd.inbcu.com/ViewContent.aspx?filename=NPMR_FOX_2017-06-18_E.MP4$4784$5354","AMERICAN GRIT: cena does the dishes")</f>
        <v>AMERICAN GRIT: cena does the dishes</v>
      </c>
      <c r="E123" s="3" t="s">
        <v>3283</v>
      </c>
      <c r="F123" s="3" t="s">
        <v>4694</v>
      </c>
      <c r="G123" s="3" t="s">
        <v>4695</v>
      </c>
    </row>
    <row r="124" spans="1:7">
      <c r="A124" s="6">
        <v>42904</v>
      </c>
      <c r="B124" s="3" t="s">
        <v>4621</v>
      </c>
      <c r="C124" s="3" t="s">
        <v>21</v>
      </c>
      <c r="D124" s="8" t="str">
        <f>HYPERLINK("http://npthd.inbcu.com/ViewContent.aspx?filename=NPMR_FOX_2017-06-18_E.MP4$5354$5476","COMMERCIAL")</f>
        <v>COMMERCIAL</v>
      </c>
      <c r="E124" s="3" t="s">
        <v>252</v>
      </c>
      <c r="F124" s="3" t="s">
        <v>4695</v>
      </c>
      <c r="G124" s="3" t="s">
        <v>620</v>
      </c>
    </row>
    <row r="125" spans="1:7">
      <c r="A125" s="6">
        <v>42904</v>
      </c>
      <c r="B125" s="3" t="s">
        <v>4621</v>
      </c>
      <c r="C125" s="3" t="s">
        <v>18</v>
      </c>
      <c r="D125" s="8" t="str">
        <f>HYPERLINK("http://npthd.inbcu.com/ViewContent.aspx?filename=NPMR_FOX_2017-06-18_E.MP4$5476$5628","AMERICAN GRIT: cena does the dishes")</f>
        <v>AMERICAN GRIT: cena does the dishes</v>
      </c>
      <c r="E125" s="3" t="s">
        <v>128</v>
      </c>
      <c r="F125" s="3" t="s">
        <v>620</v>
      </c>
      <c r="G125" s="3" t="s">
        <v>2274</v>
      </c>
    </row>
    <row r="126" spans="1:7">
      <c r="A126" s="6">
        <v>42904</v>
      </c>
      <c r="B126" s="3" t="s">
        <v>4621</v>
      </c>
      <c r="C126" s="3" t="s">
        <v>14</v>
      </c>
      <c r="D126" s="8" t="str">
        <f>HYPERLINK("http://npthd.inbcu.com/ViewContent.aspx?filename=NPMR_FOX_2017-06-18_E.MP4$5628$5638","American Grit")</f>
        <v>American Grit</v>
      </c>
      <c r="E126" s="3" t="s">
        <v>197</v>
      </c>
      <c r="F126" s="3" t="s">
        <v>2274</v>
      </c>
      <c r="G126" s="3" t="s">
        <v>2275</v>
      </c>
    </row>
    <row r="127" spans="1:7">
      <c r="A127" s="6">
        <v>42904</v>
      </c>
      <c r="B127" s="3" t="s">
        <v>4621</v>
      </c>
      <c r="C127" s="3" t="s">
        <v>32</v>
      </c>
      <c r="D127" s="8" t="str">
        <f>HYPERLINK("http://npthd.inbcu.com/ViewContent.aspx?filename=NPMR_FOX_2017-06-18_E.MP4$5638$5729","LOCAL")</f>
        <v>LOCAL</v>
      </c>
      <c r="E127" s="3" t="s">
        <v>77</v>
      </c>
      <c r="F127" s="3" t="s">
        <v>2275</v>
      </c>
      <c r="G127" s="3" t="s">
        <v>141</v>
      </c>
    </row>
    <row r="128" spans="1:7">
      <c r="A128" s="6">
        <v>42904</v>
      </c>
      <c r="B128" s="3" t="s">
        <v>4621</v>
      </c>
      <c r="C128" s="3" t="s">
        <v>18</v>
      </c>
      <c r="D128" s="8" t="str">
        <f>HYPERLINK("http://npthd.inbcu.com/ViewContent.aspx?filename=NPMR_FOX_2017-06-18_E.MP4$5729$6563","AMERICAN GRIT: cena does the dishes")</f>
        <v>AMERICAN GRIT: cena does the dishes</v>
      </c>
      <c r="E128" s="3" t="s">
        <v>3373</v>
      </c>
      <c r="F128" s="3" t="s">
        <v>141</v>
      </c>
      <c r="G128" s="3" t="s">
        <v>4696</v>
      </c>
    </row>
    <row r="129" spans="1:7">
      <c r="A129" s="6">
        <v>42904</v>
      </c>
      <c r="B129" s="3" t="s">
        <v>4621</v>
      </c>
      <c r="C129" s="3" t="s">
        <v>21</v>
      </c>
      <c r="D129" s="8" t="str">
        <f>HYPERLINK("http://npthd.inbcu.com/ViewContent.aspx?filename=NPMR_FOX_2017-06-18_E.MP4$6563$6684","COMMERCIAL")</f>
        <v>COMMERCIAL</v>
      </c>
      <c r="E129" s="3" t="s">
        <v>175</v>
      </c>
      <c r="F129" s="3" t="s">
        <v>4696</v>
      </c>
      <c r="G129" s="3" t="s">
        <v>4697</v>
      </c>
    </row>
    <row r="130" spans="1:7">
      <c r="A130" s="6">
        <v>42904</v>
      </c>
      <c r="B130" s="3" t="s">
        <v>4621</v>
      </c>
      <c r="C130" s="3" t="s">
        <v>14</v>
      </c>
      <c r="D130" s="8" t="str">
        <f>HYPERLINK("http://npthd.inbcu.com/ViewContent.aspx?filename=NPMR_FOX_2017-06-18_E.MP4$6684$6714","Gifted")</f>
        <v>Gifted</v>
      </c>
      <c r="E130" s="3" t="s">
        <v>38</v>
      </c>
      <c r="F130" s="3" t="s">
        <v>4697</v>
      </c>
      <c r="G130" s="3" t="s">
        <v>4698</v>
      </c>
    </row>
    <row r="131" spans="1:7">
      <c r="A131" s="6">
        <v>42904</v>
      </c>
      <c r="B131" s="3" t="s">
        <v>4621</v>
      </c>
      <c r="C131" s="3" t="s">
        <v>18</v>
      </c>
      <c r="D131" s="8" t="str">
        <f>HYPERLINK("http://npthd.inbcu.com/ViewContent.aspx?filename=NPMR_FOX_2017-06-18_E.MP4$6714$7139","AMERICAN GRIT: cena does the dishes")</f>
        <v>AMERICAN GRIT: cena does the dishes</v>
      </c>
      <c r="E131" s="3" t="s">
        <v>621</v>
      </c>
      <c r="F131" s="3" t="s">
        <v>4698</v>
      </c>
      <c r="G131" s="3" t="s">
        <v>3018</v>
      </c>
    </row>
    <row r="132" spans="1:7">
      <c r="A132" s="6">
        <v>42904</v>
      </c>
      <c r="B132" s="3" t="s">
        <v>4621</v>
      </c>
      <c r="C132" s="3" t="s">
        <v>21</v>
      </c>
      <c r="D132" s="8" t="str">
        <f>HYPERLINK("http://npthd.inbcu.com/ViewContent.aspx?filename=NPMR_FOX_2017-06-18_E.MP4$7139$7229","COMMERCIAL")</f>
        <v>COMMERCIAL</v>
      </c>
      <c r="E132" s="3" t="s">
        <v>46</v>
      </c>
      <c r="F132" s="3" t="s">
        <v>3018</v>
      </c>
      <c r="G132" s="3" t="s">
        <v>635</v>
      </c>
    </row>
    <row r="133" spans="1:7">
      <c r="A133" s="6">
        <v>42904</v>
      </c>
      <c r="B133" s="3" t="s">
        <v>4621</v>
      </c>
      <c r="C133" s="3" t="s">
        <v>14</v>
      </c>
      <c r="D133" s="8" t="str">
        <f>HYPERLINK("http://npthd.inbcu.com/ViewContent.aspx?filename=NPMR_FOX_2017-06-18_E.MP4$7229$7244","Incredible Dr. Pol (Nat Geo Wild)")</f>
        <v>Incredible Dr. Pol (Nat Geo Wild)</v>
      </c>
      <c r="E133" s="3" t="s">
        <v>30</v>
      </c>
      <c r="F133" s="3" t="s">
        <v>635</v>
      </c>
      <c r="G133" s="3" t="s">
        <v>2195</v>
      </c>
    </row>
    <row r="134" spans="1:7">
      <c r="A134" s="6">
        <v>42904</v>
      </c>
      <c r="B134" s="3" t="s">
        <v>4621</v>
      </c>
      <c r="C134" s="3" t="s">
        <v>32</v>
      </c>
      <c r="D134" s="8" t="str">
        <f>HYPERLINK("http://npthd.inbcu.com/ViewContent.aspx?filename=NPMR_FOX_2017-06-18_E.MP4$7244$7385","LOCAL")</f>
        <v>LOCAL</v>
      </c>
      <c r="E134" s="3" t="s">
        <v>1753</v>
      </c>
      <c r="F134" s="3" t="s">
        <v>2195</v>
      </c>
      <c r="G134" s="3" t="s">
        <v>4699</v>
      </c>
    </row>
    <row r="135" spans="1:7">
      <c r="A135" s="6">
        <v>42904</v>
      </c>
      <c r="B135" s="3" t="s">
        <v>4621</v>
      </c>
      <c r="C135" s="3" t="s">
        <v>18</v>
      </c>
      <c r="D135" s="8" t="str">
        <f>HYPERLINK("http://npthd.inbcu.com/ViewContent.aspx?filename=NPMR_FOX_2017-06-18_E.MP4$7385$7692","AMERICAN GRIT: cena does the dishes")</f>
        <v>AMERICAN GRIT: cena does the dishes</v>
      </c>
      <c r="E135" s="3" t="s">
        <v>3688</v>
      </c>
      <c r="F135" s="3" t="s">
        <v>4699</v>
      </c>
      <c r="G135" s="3" t="s">
        <v>2147</v>
      </c>
    </row>
    <row r="136" spans="1:7">
      <c r="A136" s="6">
        <v>42904</v>
      </c>
      <c r="B136" s="3" t="s">
        <v>4621</v>
      </c>
      <c r="C136" s="3" t="s">
        <v>21</v>
      </c>
      <c r="D136" s="8" t="str">
        <f>HYPERLINK("http://npthd.inbcu.com/ViewContent.aspx?filename=NPMR_FOX_2017-06-18_E.MP4$7692$7873","COMMERCIAL")</f>
        <v>COMMERCIAL</v>
      </c>
      <c r="E136" s="3" t="s">
        <v>108</v>
      </c>
      <c r="F136" s="3" t="s">
        <v>2147</v>
      </c>
      <c r="G136" s="3" t="s">
        <v>4700</v>
      </c>
    </row>
    <row r="137" spans="1:7">
      <c r="A137" s="6">
        <v>42904</v>
      </c>
      <c r="B137" s="3" t="s">
        <v>4621</v>
      </c>
      <c r="C137" s="3" t="s">
        <v>14</v>
      </c>
      <c r="D137" s="8" t="str">
        <f>HYPERLINK("http://npthd.inbcu.com/ViewContent.aspx?filename=NPMR_FOX_2017-06-18_E.MP4$7873$7893","FOX Thursday")</f>
        <v>FOX Thursday</v>
      </c>
      <c r="E137" s="3" t="s">
        <v>1805</v>
      </c>
      <c r="F137" s="3" t="s">
        <v>4700</v>
      </c>
      <c r="G137" s="3" t="s">
        <v>2014</v>
      </c>
    </row>
    <row r="138" spans="1:7">
      <c r="A138" s="6">
        <v>42904</v>
      </c>
      <c r="B138" s="3" t="s">
        <v>4621</v>
      </c>
      <c r="C138" s="3" t="s">
        <v>18</v>
      </c>
      <c r="D138" s="8" t="str">
        <f>HYPERLINK("http://npthd.inbcu.com/ViewContent.aspx?filename=NPMR_FOX_2017-06-18_E.MP4$7893$8205","AMERICAN GRIT: cena does the dishes")</f>
        <v>AMERICAN GRIT: cena does the dishes</v>
      </c>
      <c r="E138" s="3" t="s">
        <v>1493</v>
      </c>
      <c r="F138" s="3" t="s">
        <v>2014</v>
      </c>
      <c r="G138" s="3" t="s">
        <v>4701</v>
      </c>
    </row>
    <row r="139" spans="1:7">
      <c r="A139" s="6">
        <v>42904</v>
      </c>
      <c r="B139" s="3" t="s">
        <v>4621</v>
      </c>
      <c r="C139" s="3" t="s">
        <v>21</v>
      </c>
      <c r="D139" s="8" t="str">
        <f>HYPERLINK("http://npthd.inbcu.com/ViewContent.aspx?filename=NPMR_FOX_2017-06-18_E.MP4$8205$8296","COMMERCIAL")</f>
        <v>COMMERCIAL</v>
      </c>
      <c r="E139" s="3" t="s">
        <v>77</v>
      </c>
      <c r="F139" s="3" t="s">
        <v>4701</v>
      </c>
      <c r="G139" s="3" t="s">
        <v>4702</v>
      </c>
    </row>
    <row r="140" spans="1:7">
      <c r="A140" s="6">
        <v>42904</v>
      </c>
      <c r="B140" s="3" t="s">
        <v>4621</v>
      </c>
      <c r="C140" s="3" t="s">
        <v>14</v>
      </c>
      <c r="D140" s="8" t="str">
        <f>HYPERLINK("http://npthd.inbcu.com/ViewContent.aspx?filename=NPMR_FOX_2017-06-18_E.MP4$8296$8311","Snowfall (FX)")</f>
        <v>Snowfall (FX)</v>
      </c>
      <c r="E140" s="3" t="s">
        <v>30</v>
      </c>
      <c r="F140" s="3" t="s">
        <v>4702</v>
      </c>
      <c r="G140" s="3" t="s">
        <v>4703</v>
      </c>
    </row>
    <row r="141" spans="1:7">
      <c r="A141" s="6">
        <v>42904</v>
      </c>
      <c r="B141" s="3" t="s">
        <v>4621</v>
      </c>
      <c r="C141" s="3" t="s">
        <v>32</v>
      </c>
      <c r="D141" s="8" t="str">
        <f>HYPERLINK("http://npthd.inbcu.com/ViewContent.aspx?filename=NPMR_FOX_2017-06-18_E.MP4$8311$8414","LOCAL")</f>
        <v>LOCAL</v>
      </c>
      <c r="E141" s="3" t="s">
        <v>4704</v>
      </c>
      <c r="F141" s="3" t="s">
        <v>4703</v>
      </c>
      <c r="G141" s="3" t="s">
        <v>4705</v>
      </c>
    </row>
    <row r="142" spans="1:7">
      <c r="A142" s="6">
        <v>42904</v>
      </c>
      <c r="B142" s="3" t="s">
        <v>4621</v>
      </c>
      <c r="C142" s="3" t="s">
        <v>18</v>
      </c>
      <c r="D142" s="8" t="str">
        <f>HYPERLINK("http://npthd.inbcu.com/ViewContent.aspx?filename=NPMR_FOX_2017-06-18_E.MP4$8414$8809","AMERICAN GRIT: cena does the dishes")</f>
        <v>AMERICAN GRIT: cena does the dishes</v>
      </c>
      <c r="E142" s="3" t="s">
        <v>1655</v>
      </c>
      <c r="F142" s="3" t="s">
        <v>4705</v>
      </c>
      <c r="G142" s="3" t="s">
        <v>4706</v>
      </c>
    </row>
    <row r="143" spans="1:7">
      <c r="A143" s="6">
        <v>42904</v>
      </c>
      <c r="B143" s="3" t="s">
        <v>4621</v>
      </c>
      <c r="C143" s="3" t="s">
        <v>21</v>
      </c>
      <c r="D143" s="8" t="str">
        <f>HYPERLINK("http://npthd.inbcu.com/ViewContent.aspx?filename=NPMR_FOX_2017-06-18_E.MP4$8809$8929","COMMERCIAL")</f>
        <v>COMMERCIAL</v>
      </c>
      <c r="E143" s="3" t="s">
        <v>43</v>
      </c>
      <c r="F143" s="3" t="s">
        <v>4706</v>
      </c>
      <c r="G143" s="3" t="s">
        <v>4707</v>
      </c>
    </row>
    <row r="144" spans="1:7">
      <c r="A144" s="6">
        <v>42904</v>
      </c>
      <c r="B144" s="3" t="s">
        <v>4621</v>
      </c>
      <c r="C144" s="3" t="s">
        <v>14</v>
      </c>
      <c r="D144" s="8" t="str">
        <f>HYPERLINK("http://npthd.inbcu.com/ViewContent.aspx?filename=NPMR_FOX_2017-06-18_E.MP4$8929$8949","Fox Wednesdays")</f>
        <v>Fox Wednesdays</v>
      </c>
      <c r="E144" s="3" t="s">
        <v>1805</v>
      </c>
      <c r="F144" s="3" t="s">
        <v>4707</v>
      </c>
      <c r="G144" s="3" t="s">
        <v>4708</v>
      </c>
    </row>
    <row r="145" spans="1:7">
      <c r="A145" s="6">
        <v>42904</v>
      </c>
      <c r="B145" s="3" t="s">
        <v>4621</v>
      </c>
      <c r="C145" s="3" t="s">
        <v>32</v>
      </c>
      <c r="D145" s="8" t="str">
        <f>HYPERLINK("http://npthd.inbcu.com/ViewContent.aspx?filename=NPMR_FOX_2017-06-18_E.MP4$8949$8970","LOCAL")</f>
        <v>LOCAL</v>
      </c>
      <c r="E145" s="3" t="s">
        <v>2067</v>
      </c>
      <c r="F145" s="3" t="s">
        <v>4708</v>
      </c>
      <c r="G145" s="3" t="s">
        <v>4709</v>
      </c>
    </row>
    <row r="146" spans="1:7">
      <c r="A146" s="6">
        <v>42904</v>
      </c>
      <c r="B146" s="3" t="s">
        <v>4621</v>
      </c>
      <c r="C146" s="3" t="s">
        <v>14</v>
      </c>
      <c r="D146" s="8" t="str">
        <f>HYPERLINK("http://npthd.inbcu.com/ViewContent.aspx?filename=NPMR_FOX_2017-06-18_E.MP4$8970$8990","FOX Monday")</f>
        <v>FOX Monday</v>
      </c>
      <c r="E146" s="3" t="s">
        <v>1805</v>
      </c>
      <c r="F146" s="3" t="s">
        <v>4709</v>
      </c>
      <c r="G146" s="3" t="s">
        <v>4710</v>
      </c>
    </row>
    <row r="147" spans="1:7">
      <c r="A147" s="6">
        <v>42904</v>
      </c>
      <c r="B147" s="3" t="s">
        <v>4621</v>
      </c>
      <c r="C147" s="3" t="s">
        <v>18</v>
      </c>
      <c r="D147" s="8" t="str">
        <f>HYPERLINK("http://npthd.inbcu.com/ViewContent.aspx?filename=NPMR_FOX_2017-06-18_E.MP4$8990$9266","AMERICAN GRIT: cena does the dishes")</f>
        <v>AMERICAN GRIT: cena does the dishes</v>
      </c>
      <c r="E147" s="3" t="s">
        <v>845</v>
      </c>
      <c r="F147" s="3" t="s">
        <v>4710</v>
      </c>
      <c r="G147" s="3" t="s">
        <v>4711</v>
      </c>
    </row>
    <row r="148" spans="1:7">
      <c r="A148" s="6">
        <v>42904</v>
      </c>
      <c r="B148" s="3" t="s">
        <v>4621</v>
      </c>
      <c r="C148" s="3" t="s">
        <v>14</v>
      </c>
      <c r="D148" s="8" t="str">
        <f>HYPERLINK("http://npthd.inbcu.com/ViewContent.aspx?filename=NPMR_FOX_2017-06-18_E.MP4$9266$9296","American Grit")</f>
        <v>American Grit</v>
      </c>
      <c r="E148" s="3" t="s">
        <v>38</v>
      </c>
      <c r="F148" s="3" t="s">
        <v>4711</v>
      </c>
      <c r="G148" s="3" t="s">
        <v>4712</v>
      </c>
    </row>
    <row r="149" spans="1:7">
      <c r="A149" s="6">
        <v>42904</v>
      </c>
      <c r="B149" s="3" t="s">
        <v>4621</v>
      </c>
      <c r="C149" s="3" t="s">
        <v>18</v>
      </c>
      <c r="D149" s="8" t="str">
        <f>HYPERLINK("http://npthd.inbcu.com/ViewContent.aspx?filename=NPMR_FOX_2017-06-18_E.MP4$9296$9308","AMERICAN GRIT: cena does the dishes")</f>
        <v>AMERICAN GRIT: cena does the dishes</v>
      </c>
      <c r="E149" s="3" t="s">
        <v>2057</v>
      </c>
      <c r="F149" s="3" t="s">
        <v>4712</v>
      </c>
      <c r="G149" s="3" t="s">
        <v>4713</v>
      </c>
    </row>
    <row r="150" spans="1:7">
      <c r="A150" s="6">
        <v>42904</v>
      </c>
      <c r="B150" s="3" t="s">
        <v>4621</v>
      </c>
      <c r="C150" s="3" t="s">
        <v>18</v>
      </c>
      <c r="D150" s="8" t="str">
        <f>HYPERLINK("http://npthd.inbcu.com/ViewContent.aspx?filename=NPMR_FOX_2017-06-18_E.MP4$9308$9794","FAMILY GUY: passenger fatty-7")</f>
        <v>FAMILY GUY: passenger fatty-7</v>
      </c>
      <c r="E150" s="3" t="s">
        <v>588</v>
      </c>
      <c r="F150" s="3" t="s">
        <v>4713</v>
      </c>
      <c r="G150" s="3" t="s">
        <v>4714</v>
      </c>
    </row>
    <row r="151" spans="1:7">
      <c r="A151" s="6">
        <v>42904</v>
      </c>
      <c r="B151" s="3" t="s">
        <v>4621</v>
      </c>
      <c r="C151" s="3" t="s">
        <v>21</v>
      </c>
      <c r="D151" s="8" t="str">
        <f>HYPERLINK("http://npthd.inbcu.com/ViewContent.aspx?filename=NPMR_FOX_2017-06-18_E.MP4$9794$9915","COMMERCIAL")</f>
        <v>COMMERCIAL</v>
      </c>
      <c r="E151" s="3" t="s">
        <v>175</v>
      </c>
      <c r="F151" s="3" t="s">
        <v>4714</v>
      </c>
      <c r="G151" s="3" t="s">
        <v>4715</v>
      </c>
    </row>
    <row r="152" spans="1:7">
      <c r="A152" s="6">
        <v>42904</v>
      </c>
      <c r="B152" s="3" t="s">
        <v>4621</v>
      </c>
      <c r="C152" s="3" t="s">
        <v>18</v>
      </c>
      <c r="D152" s="8" t="str">
        <f>HYPERLINK("http://npthd.inbcu.com/ViewContent.aspx?filename=NPMR_FOX_2017-06-18_E.MP4$9915$10254","FAMILY GUY: passenger fatty-7")</f>
        <v>FAMILY GUY: passenger fatty-7</v>
      </c>
      <c r="E152" s="3" t="s">
        <v>1839</v>
      </c>
      <c r="F152" s="3" t="s">
        <v>4715</v>
      </c>
      <c r="G152" s="3" t="s">
        <v>2296</v>
      </c>
    </row>
    <row r="153" spans="1:7">
      <c r="A153" s="6">
        <v>42904</v>
      </c>
      <c r="B153" s="3" t="s">
        <v>4621</v>
      </c>
      <c r="C153" s="3" t="s">
        <v>21</v>
      </c>
      <c r="D153" s="8" t="str">
        <f>HYPERLINK("http://npthd.inbcu.com/ViewContent.aspx?filename=NPMR_FOX_2017-06-18_E.MP4$10254$10359","COMMERCIAL")</f>
        <v>COMMERCIAL</v>
      </c>
      <c r="E153" s="3" t="s">
        <v>199</v>
      </c>
      <c r="F153" s="3" t="s">
        <v>2296</v>
      </c>
      <c r="G153" s="3" t="s">
        <v>2784</v>
      </c>
    </row>
    <row r="154" spans="1:7">
      <c r="A154" s="6">
        <v>42904</v>
      </c>
      <c r="B154" s="3" t="s">
        <v>4621</v>
      </c>
      <c r="C154" s="3" t="s">
        <v>14</v>
      </c>
      <c r="D154" s="8" t="str">
        <f>HYPERLINK("http://npthd.inbcu.com/ViewContent.aspx?filename=NPMR_FOX_2017-06-18_E.MP4$10359$10374","Snowfall (FX)")</f>
        <v>Snowfall (FX)</v>
      </c>
      <c r="E154" s="3" t="s">
        <v>30</v>
      </c>
      <c r="F154" s="3" t="s">
        <v>2784</v>
      </c>
      <c r="G154" s="3" t="s">
        <v>4716</v>
      </c>
    </row>
    <row r="155" spans="1:7">
      <c r="A155" s="6">
        <v>42904</v>
      </c>
      <c r="B155" s="3" t="s">
        <v>4621</v>
      </c>
      <c r="C155" s="3" t="s">
        <v>32</v>
      </c>
      <c r="D155" s="8" t="str">
        <f>HYPERLINK("http://npthd.inbcu.com/ViewContent.aspx?filename=NPMR_FOX_2017-06-18_E.MP4$10374$10494","LOCAL")</f>
        <v>LOCAL</v>
      </c>
      <c r="E155" s="3" t="s">
        <v>43</v>
      </c>
      <c r="F155" s="3" t="s">
        <v>4716</v>
      </c>
      <c r="G155" s="3" t="s">
        <v>4717</v>
      </c>
    </row>
    <row r="156" spans="1:7">
      <c r="A156" s="6">
        <v>42904</v>
      </c>
      <c r="B156" s="3" t="s">
        <v>4621</v>
      </c>
      <c r="C156" s="3" t="s">
        <v>18</v>
      </c>
      <c r="D156" s="8" t="str">
        <f>HYPERLINK("http://npthd.inbcu.com/ViewContent.aspx?filename=NPMR_FOX_2017-06-18_E.MP4$10494$10871","FAMILY GUY: passenger fatty-7")</f>
        <v>FAMILY GUY: passenger fatty-7</v>
      </c>
      <c r="E156" s="3" t="s">
        <v>309</v>
      </c>
      <c r="F156" s="3" t="s">
        <v>4717</v>
      </c>
      <c r="G156" s="3" t="s">
        <v>394</v>
      </c>
    </row>
    <row r="157" spans="1:7">
      <c r="A157" s="6">
        <v>42905</v>
      </c>
      <c r="B157" s="3" t="s">
        <v>4621</v>
      </c>
      <c r="C157" s="3" t="s">
        <v>18</v>
      </c>
      <c r="D157" s="8" t="str">
        <f>HYPERLINK("http://npthd.inbcu.com/ViewContent.aspx?filename=NPMR_FOX_2017-06-19_E.MP4$53$497","SO YOU THINK YOU CAN DANCE? : los angeles auditions, part 1")</f>
        <v>SO YOU THINK YOU CAN DANCE? : los angeles auditions, part 1</v>
      </c>
      <c r="E157" s="3" t="s">
        <v>244</v>
      </c>
      <c r="F157" s="3" t="s">
        <v>16</v>
      </c>
      <c r="G157" s="3" t="s">
        <v>4623</v>
      </c>
    </row>
    <row r="158" spans="1:7">
      <c r="A158" s="6">
        <v>42905</v>
      </c>
      <c r="B158" s="3" t="s">
        <v>4621</v>
      </c>
      <c r="C158" s="3" t="s">
        <v>21</v>
      </c>
      <c r="D158" s="8" t="str">
        <f>HYPERLINK("http://npthd.inbcu.com/ViewContent.aspx?filename=NPMR_FOX_2017-06-19_E.MP4$497$648","COMMERCIAL")</f>
        <v>COMMERCIAL</v>
      </c>
      <c r="E158" s="3" t="s">
        <v>91</v>
      </c>
      <c r="F158" s="3" t="s">
        <v>4623</v>
      </c>
      <c r="G158" s="3" t="s">
        <v>4666</v>
      </c>
    </row>
    <row r="159" spans="1:7">
      <c r="A159" s="6">
        <v>42905</v>
      </c>
      <c r="B159" s="3" t="s">
        <v>4621</v>
      </c>
      <c r="C159" s="3" t="s">
        <v>14</v>
      </c>
      <c r="D159" s="8" t="str">
        <f>HYPERLINK("http://npthd.inbcu.com/ViewContent.aspx?filename=NPMR_FOX_2017-06-19_E.MP4$648$678","The Gifted")</f>
        <v>The Gifted</v>
      </c>
      <c r="E159" s="3" t="s">
        <v>38</v>
      </c>
      <c r="F159" s="3" t="s">
        <v>4666</v>
      </c>
      <c r="G159" s="3" t="s">
        <v>4718</v>
      </c>
    </row>
    <row r="160" spans="1:7">
      <c r="A160" s="6">
        <v>42905</v>
      </c>
      <c r="B160" s="3" t="s">
        <v>4621</v>
      </c>
      <c r="C160" s="3" t="s">
        <v>18</v>
      </c>
      <c r="D160" s="8" t="str">
        <f>HYPERLINK("http://npthd.inbcu.com/ViewContent.aspx?filename=NPMR_FOX_2017-06-19_E.MP4$678$1235","SO YOU THINK YOU CAN DANCE? : los angeles auditions, part 1")</f>
        <v>SO YOU THINK YOU CAN DANCE? : los angeles auditions, part 1</v>
      </c>
      <c r="E160" s="3" t="s">
        <v>4719</v>
      </c>
      <c r="F160" s="3" t="s">
        <v>4718</v>
      </c>
      <c r="G160" s="3" t="s">
        <v>3608</v>
      </c>
    </row>
    <row r="161" spans="1:7">
      <c r="A161" s="6">
        <v>42905</v>
      </c>
      <c r="B161" s="3" t="s">
        <v>4621</v>
      </c>
      <c r="C161" s="3" t="s">
        <v>21</v>
      </c>
      <c r="D161" s="8" t="str">
        <f>HYPERLINK("http://npthd.inbcu.com/ViewContent.aspx?filename=NPMR_FOX_2017-06-19_E.MP4$1235$1356","COMMERCIAL")</f>
        <v>COMMERCIAL</v>
      </c>
      <c r="E161" s="3" t="s">
        <v>175</v>
      </c>
      <c r="F161" s="3" t="s">
        <v>3608</v>
      </c>
      <c r="G161" s="3" t="s">
        <v>4720</v>
      </c>
    </row>
    <row r="162" spans="1:7">
      <c r="A162" s="6">
        <v>42905</v>
      </c>
      <c r="B162" s="3" t="s">
        <v>4621</v>
      </c>
      <c r="C162" s="3" t="s">
        <v>14</v>
      </c>
      <c r="D162" s="8" t="str">
        <f>HYPERLINK("http://npthd.inbcu.com/ViewContent.aspx?filename=NPMR_FOX_2017-06-19_E.MP4$1356$1371","MasterChef")</f>
        <v>MasterChef</v>
      </c>
      <c r="E162" s="3" t="s">
        <v>30</v>
      </c>
      <c r="F162" s="3" t="s">
        <v>4720</v>
      </c>
      <c r="G162" s="3" t="s">
        <v>613</v>
      </c>
    </row>
    <row r="163" spans="1:7">
      <c r="A163" s="6">
        <v>42905</v>
      </c>
      <c r="B163" s="3" t="s">
        <v>4621</v>
      </c>
      <c r="C163" s="3" t="s">
        <v>32</v>
      </c>
      <c r="D163" s="8" t="str">
        <f>HYPERLINK("http://npthd.inbcu.com/ViewContent.aspx?filename=NPMR_FOX_2017-06-19_E.MP4$1371$1462","LOCAL")</f>
        <v>LOCAL</v>
      </c>
      <c r="E163" s="3" t="s">
        <v>77</v>
      </c>
      <c r="F163" s="3" t="s">
        <v>613</v>
      </c>
      <c r="G163" s="3" t="s">
        <v>4721</v>
      </c>
    </row>
    <row r="164" spans="1:7">
      <c r="A164" s="6">
        <v>42905</v>
      </c>
      <c r="B164" s="3" t="s">
        <v>4621</v>
      </c>
      <c r="C164" s="3" t="s">
        <v>14</v>
      </c>
      <c r="D164" s="8" t="str">
        <f>HYPERLINK("http://npthd.inbcu.com/ViewContent.aspx?filename=NPMR_FOX_2017-06-19_E.MP4$1462$1478","F Word, The")</f>
        <v>F Word, The</v>
      </c>
      <c r="E164" s="3" t="s">
        <v>64</v>
      </c>
      <c r="F164" s="3" t="s">
        <v>4721</v>
      </c>
      <c r="G164" s="3" t="s">
        <v>2272</v>
      </c>
    </row>
    <row r="165" spans="1:7">
      <c r="A165" s="6">
        <v>42905</v>
      </c>
      <c r="B165" s="3" t="s">
        <v>4621</v>
      </c>
      <c r="C165" s="3" t="s">
        <v>18</v>
      </c>
      <c r="D165" s="8" t="str">
        <f>HYPERLINK("http://npthd.inbcu.com/ViewContent.aspx?filename=NPMR_FOX_2017-06-19_E.MP4$1478$1813","SO YOU THINK YOU CAN DANCE? : los angeles auditions, part 1")</f>
        <v>SO YOU THINK YOU CAN DANCE? : los angeles auditions, part 1</v>
      </c>
      <c r="E165" s="3" t="s">
        <v>1668</v>
      </c>
      <c r="F165" s="3" t="s">
        <v>2272</v>
      </c>
      <c r="G165" s="3" t="s">
        <v>618</v>
      </c>
    </row>
    <row r="166" spans="1:7">
      <c r="A166" s="6">
        <v>42905</v>
      </c>
      <c r="B166" s="3" t="s">
        <v>4621</v>
      </c>
      <c r="C166" s="3" t="s">
        <v>21</v>
      </c>
      <c r="D166" s="8" t="str">
        <f>HYPERLINK("http://npthd.inbcu.com/ViewContent.aspx?filename=NPMR_FOX_2017-06-19_E.MP4$1813$1994","COMMERCIAL")</f>
        <v>COMMERCIAL</v>
      </c>
      <c r="E166" s="3" t="s">
        <v>108</v>
      </c>
      <c r="F166" s="3" t="s">
        <v>618</v>
      </c>
      <c r="G166" s="3" t="s">
        <v>2181</v>
      </c>
    </row>
    <row r="167" spans="1:7">
      <c r="A167" s="6">
        <v>42905</v>
      </c>
      <c r="B167" s="3" t="s">
        <v>4621</v>
      </c>
      <c r="C167" s="3" t="s">
        <v>14</v>
      </c>
      <c r="D167" s="8" t="str">
        <f>HYPERLINK("http://npthd.inbcu.com/ViewContent.aspx?filename=NPMR_FOX_2017-06-19_E.MP4$1994$2009","Love Connection")</f>
        <v>Love Connection</v>
      </c>
      <c r="E167" s="3" t="s">
        <v>30</v>
      </c>
      <c r="F167" s="3" t="s">
        <v>2181</v>
      </c>
      <c r="G167" s="3" t="s">
        <v>4722</v>
      </c>
    </row>
    <row r="168" spans="1:7">
      <c r="A168" s="6">
        <v>42905</v>
      </c>
      <c r="B168" s="3" t="s">
        <v>4621</v>
      </c>
      <c r="C168" s="3" t="s">
        <v>14</v>
      </c>
      <c r="D168" s="8" t="str">
        <f>HYPERLINK("http://npthd.inbcu.com/ViewContent.aspx?filename=NPMR_FOX_2017-06-19_E.MP4$2009$2029","Beat Shazam")</f>
        <v>Beat Shazam</v>
      </c>
      <c r="E168" s="3" t="s">
        <v>1805</v>
      </c>
      <c r="F168" s="3" t="s">
        <v>4722</v>
      </c>
      <c r="G168" s="3" t="s">
        <v>4723</v>
      </c>
    </row>
    <row r="169" spans="1:7">
      <c r="A169" s="6">
        <v>42905</v>
      </c>
      <c r="B169" s="3" t="s">
        <v>4621</v>
      </c>
      <c r="C169" s="3" t="s">
        <v>18</v>
      </c>
      <c r="D169" s="8" t="str">
        <f>HYPERLINK("http://npthd.inbcu.com/ViewContent.aspx?filename=NPMR_FOX_2017-06-19_E.MP4$2029$2350","SO YOU THINK YOU CAN DANCE? : los angeles auditions, part 1")</f>
        <v>SO YOU THINK YOU CAN DANCE? : los angeles auditions, part 1</v>
      </c>
      <c r="E169" s="3" t="s">
        <v>760</v>
      </c>
      <c r="F169" s="3" t="s">
        <v>4723</v>
      </c>
      <c r="G169" s="3" t="s">
        <v>4724</v>
      </c>
    </row>
    <row r="170" spans="1:7">
      <c r="A170" s="6">
        <v>42905</v>
      </c>
      <c r="B170" s="3" t="s">
        <v>4621</v>
      </c>
      <c r="C170" s="3" t="s">
        <v>21</v>
      </c>
      <c r="D170" s="8" t="str">
        <f>HYPERLINK("http://npthd.inbcu.com/ViewContent.aspx?filename=NPMR_FOX_2017-06-19_E.MP4$2350$2441","COMMERCIAL")</f>
        <v>COMMERCIAL</v>
      </c>
      <c r="E170" s="3" t="s">
        <v>77</v>
      </c>
      <c r="F170" s="3" t="s">
        <v>4724</v>
      </c>
      <c r="G170" s="3" t="s">
        <v>1414</v>
      </c>
    </row>
    <row r="171" spans="1:7">
      <c r="A171" s="6">
        <v>42905</v>
      </c>
      <c r="B171" s="3" t="s">
        <v>4621</v>
      </c>
      <c r="C171" s="3" t="s">
        <v>14</v>
      </c>
      <c r="D171" s="8" t="str">
        <f>HYPERLINK("http://npthd.inbcu.com/ViewContent.aspx?filename=NPMR_FOX_2017-06-19_E.MP4$2441$2456","National Geographic Channel")</f>
        <v>National Geographic Channel</v>
      </c>
      <c r="E171" s="3" t="s">
        <v>30</v>
      </c>
      <c r="F171" s="3" t="s">
        <v>1414</v>
      </c>
      <c r="G171" s="3" t="s">
        <v>4725</v>
      </c>
    </row>
    <row r="172" spans="1:7">
      <c r="A172" s="6">
        <v>42905</v>
      </c>
      <c r="B172" s="3" t="s">
        <v>4621</v>
      </c>
      <c r="C172" s="3" t="s">
        <v>32</v>
      </c>
      <c r="D172" s="8" t="str">
        <f>HYPERLINK("http://npthd.inbcu.com/ViewContent.aspx?filename=NPMR_FOX_2017-06-19_E.MP4$2456$2596","LOCAL")</f>
        <v>LOCAL</v>
      </c>
      <c r="E172" s="3" t="s">
        <v>623</v>
      </c>
      <c r="F172" s="3" t="s">
        <v>4725</v>
      </c>
      <c r="G172" s="3" t="s">
        <v>4726</v>
      </c>
    </row>
    <row r="173" spans="1:7">
      <c r="A173" s="6">
        <v>42905</v>
      </c>
      <c r="B173" s="3" t="s">
        <v>4621</v>
      </c>
      <c r="C173" s="3" t="s">
        <v>18</v>
      </c>
      <c r="D173" s="8" t="str">
        <f>HYPERLINK("http://npthd.inbcu.com/ViewContent.aspx?filename=NPMR_FOX_2017-06-19_E.MP4$2596$2954","SO YOU THINK YOU CAN DANCE? : los angeles auditions, part 1")</f>
        <v>SO YOU THINK YOU CAN DANCE? : los angeles auditions, part 1</v>
      </c>
      <c r="E173" s="3" t="s">
        <v>4198</v>
      </c>
      <c r="F173" s="3" t="s">
        <v>4726</v>
      </c>
      <c r="G173" s="3" t="s">
        <v>4727</v>
      </c>
    </row>
    <row r="174" spans="1:7">
      <c r="A174" s="6">
        <v>42905</v>
      </c>
      <c r="B174" s="3" t="s">
        <v>4621</v>
      </c>
      <c r="C174" s="3" t="s">
        <v>21</v>
      </c>
      <c r="D174" s="8" t="str">
        <f>HYPERLINK("http://npthd.inbcu.com/ViewContent.aspx?filename=NPMR_FOX_2017-06-19_E.MP4$2954$3075","COMMERCIAL")</f>
        <v>COMMERCIAL</v>
      </c>
      <c r="E174" s="3" t="s">
        <v>175</v>
      </c>
      <c r="F174" s="3" t="s">
        <v>4727</v>
      </c>
      <c r="G174" s="3" t="s">
        <v>4728</v>
      </c>
    </row>
    <row r="175" spans="1:7">
      <c r="A175" s="6">
        <v>42905</v>
      </c>
      <c r="B175" s="3" t="s">
        <v>4621</v>
      </c>
      <c r="C175" s="3" t="s">
        <v>14</v>
      </c>
      <c r="D175" s="8" t="str">
        <f>HYPERLINK("http://npthd.inbcu.com/ViewContent.aspx?filename=NPMR_FOX_2017-06-19_E.MP4$3075$3095","Love Connection")</f>
        <v>Love Connection</v>
      </c>
      <c r="E175" s="3" t="s">
        <v>1805</v>
      </c>
      <c r="F175" s="3" t="s">
        <v>4728</v>
      </c>
      <c r="G175" s="3" t="s">
        <v>4729</v>
      </c>
    </row>
    <row r="176" spans="1:7">
      <c r="A176" s="6">
        <v>42905</v>
      </c>
      <c r="B176" s="3" t="s">
        <v>4621</v>
      </c>
      <c r="C176" s="3" t="s">
        <v>32</v>
      </c>
      <c r="D176" s="8" t="str">
        <f>HYPERLINK("http://npthd.inbcu.com/ViewContent.aspx?filename=NPMR_FOX_2017-06-19_E.MP4$3095$3106","LOCAL")</f>
        <v>LOCAL</v>
      </c>
      <c r="E176" s="3" t="s">
        <v>1940</v>
      </c>
      <c r="F176" s="3" t="s">
        <v>4729</v>
      </c>
      <c r="G176" s="3" t="s">
        <v>3670</v>
      </c>
    </row>
    <row r="177" spans="1:7">
      <c r="A177" s="6">
        <v>42905</v>
      </c>
      <c r="B177" s="3" t="s">
        <v>4621</v>
      </c>
      <c r="C177" s="3" t="s">
        <v>14</v>
      </c>
      <c r="D177" s="8" t="str">
        <f>HYPERLINK("http://npthd.inbcu.com/ViewContent.aspx?filename=NPMR_FOX_2017-06-19_E.MP4$3106$3127","Beat Shazam")</f>
        <v>Beat Shazam</v>
      </c>
      <c r="E177" s="3" t="s">
        <v>2067</v>
      </c>
      <c r="F177" s="3" t="s">
        <v>3670</v>
      </c>
      <c r="G177" s="3" t="s">
        <v>4730</v>
      </c>
    </row>
    <row r="178" spans="1:7">
      <c r="A178" s="6">
        <v>42905</v>
      </c>
      <c r="B178" s="3" t="s">
        <v>4621</v>
      </c>
      <c r="C178" s="3" t="s">
        <v>14</v>
      </c>
      <c r="D178" s="8" t="str">
        <f>HYPERLINK("http://npthd.inbcu.com/ViewContent.aspx?filename=NPMR_FOX_2017-06-19_E.MP4$3127$3142","Super Human")</f>
        <v>Super Human</v>
      </c>
      <c r="E178" s="3" t="s">
        <v>30</v>
      </c>
      <c r="F178" s="3" t="s">
        <v>4730</v>
      </c>
      <c r="G178" s="3" t="s">
        <v>4731</v>
      </c>
    </row>
    <row r="179" spans="1:7">
      <c r="A179" s="6">
        <v>42905</v>
      </c>
      <c r="B179" s="3" t="s">
        <v>4621</v>
      </c>
      <c r="C179" s="3" t="s">
        <v>18</v>
      </c>
      <c r="D179" s="8" t="str">
        <f>HYPERLINK("http://npthd.inbcu.com/ViewContent.aspx?filename=NPMR_FOX_2017-06-19_E.MP4$3142$3711","SO YOU THINK YOU CAN DANCE? : los angeles auditions, part 1")</f>
        <v>SO YOU THINK YOU CAN DANCE? : los angeles auditions, part 1</v>
      </c>
      <c r="E179" s="3" t="s">
        <v>673</v>
      </c>
      <c r="F179" s="3" t="s">
        <v>4731</v>
      </c>
      <c r="G179" s="3" t="s">
        <v>4732</v>
      </c>
    </row>
    <row r="180" spans="1:7">
      <c r="A180" s="6">
        <v>42905</v>
      </c>
      <c r="B180" s="3" t="s">
        <v>4621</v>
      </c>
      <c r="C180" s="3" t="s">
        <v>18</v>
      </c>
      <c r="D180" s="8" t="str">
        <f>HYPERLINK("http://npthd.inbcu.com/ViewContent.aspx?filename=NPMR_FOX_2017-06-19_E.MP4$3711$4285","SUPERHUMAN: more than meets the mind")</f>
        <v>SUPERHUMAN: more than meets the mind</v>
      </c>
      <c r="E180" s="3" t="s">
        <v>3551</v>
      </c>
      <c r="F180" s="3" t="s">
        <v>4732</v>
      </c>
      <c r="G180" s="3" t="s">
        <v>4733</v>
      </c>
    </row>
    <row r="181" spans="1:7">
      <c r="A181" s="6">
        <v>42905</v>
      </c>
      <c r="B181" s="3" t="s">
        <v>4621</v>
      </c>
      <c r="C181" s="3" t="s">
        <v>21</v>
      </c>
      <c r="D181" s="8" t="str">
        <f>HYPERLINK("http://npthd.inbcu.com/ViewContent.aspx?filename=NPMR_FOX_2017-06-19_E.MP4$4285$4436","COMMERCIAL")</f>
        <v>COMMERCIAL</v>
      </c>
      <c r="E181" s="3" t="s">
        <v>91</v>
      </c>
      <c r="F181" s="3" t="s">
        <v>4733</v>
      </c>
      <c r="G181" s="3" t="s">
        <v>4734</v>
      </c>
    </row>
    <row r="182" spans="1:7">
      <c r="A182" s="6">
        <v>42905</v>
      </c>
      <c r="B182" s="3" t="s">
        <v>4621</v>
      </c>
      <c r="C182" s="3" t="s">
        <v>18</v>
      </c>
      <c r="D182" s="8" t="str">
        <f>HYPERLINK("http://npthd.inbcu.com/ViewContent.aspx?filename=NPMR_FOX_2017-06-19_E.MP4$4436$4817","SUPERHUMAN: more than meets the mind")</f>
        <v>SUPERHUMAN: more than meets the mind</v>
      </c>
      <c r="E182" s="3" t="s">
        <v>4735</v>
      </c>
      <c r="F182" s="3" t="s">
        <v>4734</v>
      </c>
      <c r="G182" s="3" t="s">
        <v>4736</v>
      </c>
    </row>
    <row r="183" spans="1:7">
      <c r="A183" s="6">
        <v>42905</v>
      </c>
      <c r="B183" s="3" t="s">
        <v>4621</v>
      </c>
      <c r="C183" s="3" t="s">
        <v>21</v>
      </c>
      <c r="D183" s="8" t="str">
        <f>HYPERLINK("http://npthd.inbcu.com/ViewContent.aspx?filename=NPMR_FOX_2017-06-19_E.MP4$4817$4907","COMMERCIAL")</f>
        <v>COMMERCIAL</v>
      </c>
      <c r="E183" s="3" t="s">
        <v>46</v>
      </c>
      <c r="F183" s="3" t="s">
        <v>4736</v>
      </c>
      <c r="G183" s="3" t="s">
        <v>4737</v>
      </c>
    </row>
    <row r="184" spans="1:7">
      <c r="A184" s="6">
        <v>42905</v>
      </c>
      <c r="B184" s="3" t="s">
        <v>4621</v>
      </c>
      <c r="C184" s="3" t="s">
        <v>14</v>
      </c>
      <c r="D184" s="8" t="str">
        <f>HYPERLINK("http://npthd.inbcu.com/ViewContent.aspx?filename=NPMR_FOX_2017-06-19_E.MP4$4907$4922","Snowfall (FX)")</f>
        <v>Snowfall (FX)</v>
      </c>
      <c r="E184" s="3" t="s">
        <v>30</v>
      </c>
      <c r="F184" s="3" t="s">
        <v>4737</v>
      </c>
      <c r="G184" s="3" t="s">
        <v>4738</v>
      </c>
    </row>
    <row r="185" spans="1:7">
      <c r="A185" s="6">
        <v>42905</v>
      </c>
      <c r="B185" s="3" t="s">
        <v>4621</v>
      </c>
      <c r="C185" s="3" t="s">
        <v>32</v>
      </c>
      <c r="D185" s="8" t="str">
        <f>HYPERLINK("http://npthd.inbcu.com/ViewContent.aspx?filename=NPMR_FOX_2017-06-19_E.MP4$4922$5063","LOCAL")</f>
        <v>LOCAL</v>
      </c>
      <c r="E185" s="3" t="s">
        <v>1753</v>
      </c>
      <c r="F185" s="3" t="s">
        <v>4738</v>
      </c>
      <c r="G185" s="3" t="s">
        <v>886</v>
      </c>
    </row>
    <row r="186" spans="1:7">
      <c r="A186" s="6">
        <v>42905</v>
      </c>
      <c r="B186" s="3" t="s">
        <v>4621</v>
      </c>
      <c r="C186" s="3" t="s">
        <v>18</v>
      </c>
      <c r="D186" s="8" t="str">
        <f>HYPERLINK("http://npthd.inbcu.com/ViewContent.aspx?filename=NPMR_FOX_2017-06-19_E.MP4$5063$5463","SUPERHUMAN: more than meets the mind")</f>
        <v>SUPERHUMAN: more than meets the mind</v>
      </c>
      <c r="E186" s="3" t="s">
        <v>857</v>
      </c>
      <c r="F186" s="3" t="s">
        <v>886</v>
      </c>
      <c r="G186" s="3" t="s">
        <v>4739</v>
      </c>
    </row>
    <row r="187" spans="1:7">
      <c r="A187" s="6">
        <v>42905</v>
      </c>
      <c r="B187" s="3" t="s">
        <v>4621</v>
      </c>
      <c r="C187" s="3" t="s">
        <v>21</v>
      </c>
      <c r="D187" s="8" t="str">
        <f>HYPERLINK("http://npthd.inbcu.com/ViewContent.aspx?filename=NPMR_FOX_2017-06-19_E.MP4$5463$5644","COMMERCIAL")</f>
        <v>COMMERCIAL</v>
      </c>
      <c r="E187" s="3" t="s">
        <v>108</v>
      </c>
      <c r="F187" s="3" t="s">
        <v>4739</v>
      </c>
      <c r="G187" s="3" t="s">
        <v>4066</v>
      </c>
    </row>
    <row r="188" spans="1:7">
      <c r="A188" s="6">
        <v>42905</v>
      </c>
      <c r="B188" s="3" t="s">
        <v>4621</v>
      </c>
      <c r="C188" s="3" t="s">
        <v>18</v>
      </c>
      <c r="D188" s="8" t="str">
        <f>HYPERLINK("http://npthd.inbcu.com/ViewContent.aspx?filename=NPMR_FOX_2017-06-19_E.MP4$5644$6105","SUPERHUMAN: more than meets the mind")</f>
        <v>SUPERHUMAN: more than meets the mind</v>
      </c>
      <c r="E188" s="3" t="s">
        <v>1609</v>
      </c>
      <c r="F188" s="3" t="s">
        <v>4066</v>
      </c>
      <c r="G188" s="3" t="s">
        <v>4740</v>
      </c>
    </row>
    <row r="189" spans="1:7">
      <c r="A189" s="6">
        <v>42905</v>
      </c>
      <c r="B189" s="3" t="s">
        <v>4621</v>
      </c>
      <c r="C189" s="3" t="s">
        <v>21</v>
      </c>
      <c r="D189" s="8" t="str">
        <f>HYPERLINK("http://npthd.inbcu.com/ViewContent.aspx?filename=NPMR_FOX_2017-06-19_E.MP4$6105$6181","COMMERCIAL")</f>
        <v>COMMERCIAL</v>
      </c>
      <c r="E189" s="3" t="s">
        <v>594</v>
      </c>
      <c r="F189" s="3" t="s">
        <v>4740</v>
      </c>
      <c r="G189" s="3" t="s">
        <v>556</v>
      </c>
    </row>
    <row r="190" spans="1:7">
      <c r="A190" s="6">
        <v>42905</v>
      </c>
      <c r="B190" s="3" t="s">
        <v>4621</v>
      </c>
      <c r="C190" s="3" t="s">
        <v>32</v>
      </c>
      <c r="D190" s="8" t="str">
        <f>HYPERLINK("http://npthd.inbcu.com/ViewContent.aspx?filename=NPMR_FOX_2017-06-19_E.MP4$6181$6211","LOCAL")</f>
        <v>LOCAL</v>
      </c>
      <c r="E190" s="3" t="s">
        <v>38</v>
      </c>
      <c r="F190" s="3" t="s">
        <v>556</v>
      </c>
      <c r="G190" s="3" t="s">
        <v>1731</v>
      </c>
    </row>
    <row r="191" spans="1:7">
      <c r="A191" s="6">
        <v>42905</v>
      </c>
      <c r="B191" s="3" t="s">
        <v>4621</v>
      </c>
      <c r="C191" s="3" t="s">
        <v>14</v>
      </c>
      <c r="D191" s="8" t="str">
        <f>HYPERLINK("http://npthd.inbcu.com/ViewContent.aspx?filename=NPMR_FOX_2017-06-19_E.MP4$6211$6226","Beat Shazam")</f>
        <v>Beat Shazam</v>
      </c>
      <c r="E191" s="3" t="s">
        <v>30</v>
      </c>
      <c r="F191" s="3" t="s">
        <v>1731</v>
      </c>
      <c r="G191" s="3" t="s">
        <v>4214</v>
      </c>
    </row>
    <row r="192" spans="1:7">
      <c r="A192" s="6">
        <v>42905</v>
      </c>
      <c r="B192" s="3" t="s">
        <v>4621</v>
      </c>
      <c r="C192" s="3" t="s">
        <v>32</v>
      </c>
      <c r="D192" s="8" t="str">
        <f>HYPERLINK("http://npthd.inbcu.com/ViewContent.aspx?filename=NPMR_FOX_2017-06-19_E.MP4$6226$6317","LOCAL")</f>
        <v>LOCAL</v>
      </c>
      <c r="E192" s="3" t="s">
        <v>77</v>
      </c>
      <c r="F192" s="3" t="s">
        <v>4214</v>
      </c>
      <c r="G192" s="3" t="s">
        <v>4741</v>
      </c>
    </row>
    <row r="193" spans="1:7">
      <c r="A193" s="6">
        <v>42905</v>
      </c>
      <c r="B193" s="3" t="s">
        <v>4621</v>
      </c>
      <c r="C193" s="3" t="s">
        <v>18</v>
      </c>
      <c r="D193" s="8" t="str">
        <f>HYPERLINK("http://npthd.inbcu.com/ViewContent.aspx?filename=NPMR_FOX_2017-06-19_E.MP4$6317$6774","SUPERHUMAN: more than meets the mind")</f>
        <v>SUPERHUMAN: more than meets the mind</v>
      </c>
      <c r="E193" s="3" t="s">
        <v>3107</v>
      </c>
      <c r="F193" s="3" t="s">
        <v>4741</v>
      </c>
      <c r="G193" s="3" t="s">
        <v>4742</v>
      </c>
    </row>
    <row r="194" spans="1:7">
      <c r="A194" s="6">
        <v>42905</v>
      </c>
      <c r="B194" s="3" t="s">
        <v>4621</v>
      </c>
      <c r="C194" s="3" t="s">
        <v>21</v>
      </c>
      <c r="D194" s="8" t="str">
        <f>HYPERLINK("http://npthd.inbcu.com/ViewContent.aspx?filename=NPMR_FOX_2017-06-19_E.MP4$6774$6895","COMMERCIAL")</f>
        <v>COMMERCIAL</v>
      </c>
      <c r="E194" s="3" t="s">
        <v>175</v>
      </c>
      <c r="F194" s="3" t="s">
        <v>4742</v>
      </c>
      <c r="G194" s="3" t="s">
        <v>4743</v>
      </c>
    </row>
    <row r="195" spans="1:7">
      <c r="A195" s="6">
        <v>42905</v>
      </c>
      <c r="B195" s="3" t="s">
        <v>4621</v>
      </c>
      <c r="C195" s="3" t="s">
        <v>14</v>
      </c>
      <c r="D195" s="8" t="str">
        <f>HYPERLINK("http://npthd.inbcu.com/ViewContent.aspx?filename=NPMR_FOX_2017-06-19_E.MP4$6895$6910","MLB All Star Game")</f>
        <v>MLB All Star Game</v>
      </c>
      <c r="E195" s="3" t="s">
        <v>30</v>
      </c>
      <c r="F195" s="3" t="s">
        <v>4743</v>
      </c>
      <c r="G195" s="3" t="s">
        <v>4744</v>
      </c>
    </row>
    <row r="196" spans="1:7">
      <c r="A196" s="6">
        <v>42905</v>
      </c>
      <c r="B196" s="3" t="s">
        <v>4621</v>
      </c>
      <c r="C196" s="3" t="s">
        <v>32</v>
      </c>
      <c r="D196" s="8" t="str">
        <f>HYPERLINK("http://npthd.inbcu.com/ViewContent.aspx?filename=NPMR_FOX_2017-06-19_E.MP4$6910$6930","LOCAL")</f>
        <v>LOCAL</v>
      </c>
      <c r="E196" s="3" t="s">
        <v>1805</v>
      </c>
      <c r="F196" s="3" t="s">
        <v>4744</v>
      </c>
      <c r="G196" s="3" t="s">
        <v>747</v>
      </c>
    </row>
    <row r="197" spans="1:7">
      <c r="A197" s="6">
        <v>42905</v>
      </c>
      <c r="B197" s="3" t="s">
        <v>4621</v>
      </c>
      <c r="C197" s="3" t="s">
        <v>18</v>
      </c>
      <c r="D197" s="8" t="str">
        <f>HYPERLINK("http://npthd.inbcu.com/ViewContent.aspx?filename=NPMR_FOX_2017-06-19_E.MP4$6930$7243","SUPERHUMAN: more than meets the mind")</f>
        <v>SUPERHUMAN: more than meets the mind</v>
      </c>
      <c r="E197" s="3" t="s">
        <v>3839</v>
      </c>
      <c r="F197" s="3" t="s">
        <v>747</v>
      </c>
      <c r="G197" s="3" t="s">
        <v>3097</v>
      </c>
    </row>
    <row r="198" spans="1:7">
      <c r="A198" s="6">
        <v>42905</v>
      </c>
      <c r="B198" s="3" t="s">
        <v>4621</v>
      </c>
      <c r="C198" s="3" t="s">
        <v>32</v>
      </c>
      <c r="D198" s="8" t="str">
        <f>HYPERLINK("http://npthd.inbcu.com/ViewContent.aspx?filename=NPMR_FOX_2017-06-19_E.MP4$7243$7253","LOCAL")</f>
        <v>LOCAL</v>
      </c>
      <c r="E198" s="3" t="s">
        <v>197</v>
      </c>
      <c r="F198" s="3" t="s">
        <v>3097</v>
      </c>
      <c r="G198" s="3" t="s">
        <v>394</v>
      </c>
    </row>
    <row r="199" spans="1:7">
      <c r="A199" s="6">
        <v>42906</v>
      </c>
      <c r="B199" s="3" t="s">
        <v>4621</v>
      </c>
      <c r="C199" s="3" t="s">
        <v>18</v>
      </c>
      <c r="D199" s="8" t="str">
        <f>HYPERLINK("http://npthd.inbcu.com/ViewContent.aspx?filename=NPMR_FOX_2017-06-20_E.MP4$218$948","LETHAL WEAPON: commencement")</f>
        <v>LETHAL WEAPON: commencement</v>
      </c>
      <c r="E199" s="3" t="s">
        <v>4745</v>
      </c>
      <c r="F199" s="3" t="s">
        <v>16</v>
      </c>
      <c r="G199" s="3" t="s">
        <v>4746</v>
      </c>
    </row>
    <row r="200" spans="1:7">
      <c r="A200" s="6">
        <v>42906</v>
      </c>
      <c r="B200" s="3" t="s">
        <v>4621</v>
      </c>
      <c r="C200" s="3" t="s">
        <v>21</v>
      </c>
      <c r="D200" s="8" t="str">
        <f>HYPERLINK("http://npthd.inbcu.com/ViewContent.aspx?filename=NPMR_FOX_2017-06-20_E.MP4$948$1070","COMMERCIAL")</f>
        <v>COMMERCIAL</v>
      </c>
      <c r="E200" s="3" t="s">
        <v>252</v>
      </c>
      <c r="F200" s="3" t="s">
        <v>4746</v>
      </c>
      <c r="G200" s="3" t="s">
        <v>4747</v>
      </c>
    </row>
    <row r="201" spans="1:7">
      <c r="A201" s="6">
        <v>42906</v>
      </c>
      <c r="B201" s="3" t="s">
        <v>4621</v>
      </c>
      <c r="C201" s="3" t="s">
        <v>14</v>
      </c>
      <c r="D201" s="8" t="str">
        <f>HYPERLINK("http://npthd.inbcu.com/ViewContent.aspx?filename=NPMR_FOX_2017-06-20_E.MP4$1070$1099","The Gifted")</f>
        <v>The Gifted</v>
      </c>
      <c r="E201" s="3" t="s">
        <v>24</v>
      </c>
      <c r="F201" s="3" t="s">
        <v>4747</v>
      </c>
      <c r="G201" s="3" t="s">
        <v>2503</v>
      </c>
    </row>
    <row r="202" spans="1:7">
      <c r="A202" s="6">
        <v>42906</v>
      </c>
      <c r="B202" s="3" t="s">
        <v>4621</v>
      </c>
      <c r="C202" s="3" t="s">
        <v>18</v>
      </c>
      <c r="D202" s="8" t="str">
        <f>HYPERLINK("http://npthd.inbcu.com/ViewContent.aspx?filename=NPMR_FOX_2017-06-20_E.MP4$1099$1509","LETHAL WEAPON: commencement")</f>
        <v>LETHAL WEAPON: commencement</v>
      </c>
      <c r="E202" s="3" t="s">
        <v>1049</v>
      </c>
      <c r="F202" s="3" t="s">
        <v>2503</v>
      </c>
      <c r="G202" s="3" t="s">
        <v>2696</v>
      </c>
    </row>
    <row r="203" spans="1:7">
      <c r="A203" s="6">
        <v>42906</v>
      </c>
      <c r="B203" s="3" t="s">
        <v>4621</v>
      </c>
      <c r="C203" s="3" t="s">
        <v>21</v>
      </c>
      <c r="D203" s="8" t="str">
        <f>HYPERLINK("http://npthd.inbcu.com/ViewContent.aspx?filename=NPMR_FOX_2017-06-20_E.MP4$1509$1599","COMMERCIAL")</f>
        <v>COMMERCIAL</v>
      </c>
      <c r="E203" s="3" t="s">
        <v>46</v>
      </c>
      <c r="F203" s="3" t="s">
        <v>2696</v>
      </c>
      <c r="G203" s="3" t="s">
        <v>4748</v>
      </c>
    </row>
    <row r="204" spans="1:7">
      <c r="A204" s="6">
        <v>42906</v>
      </c>
      <c r="B204" s="3" t="s">
        <v>4621</v>
      </c>
      <c r="C204" s="3" t="s">
        <v>14</v>
      </c>
      <c r="D204" s="8" t="str">
        <f>HYPERLINK("http://npthd.inbcu.com/ViewContent.aspx?filename=NPMR_FOX_2017-06-20_E.MP4$1599$1615","National Geographic Channel")</f>
        <v>National Geographic Channel</v>
      </c>
      <c r="E204" s="3" t="s">
        <v>64</v>
      </c>
      <c r="F204" s="3" t="s">
        <v>4748</v>
      </c>
      <c r="G204" s="3" t="s">
        <v>4749</v>
      </c>
    </row>
    <row r="205" spans="1:7">
      <c r="A205" s="6">
        <v>42906</v>
      </c>
      <c r="B205" s="3" t="s">
        <v>4621</v>
      </c>
      <c r="C205" s="3" t="s">
        <v>32</v>
      </c>
      <c r="D205" s="8" t="str">
        <f>HYPERLINK("http://npthd.inbcu.com/ViewContent.aspx?filename=NPMR_FOX_2017-06-20_E.MP4$1615$1705","LOCAL")</f>
        <v>LOCAL</v>
      </c>
      <c r="E205" s="3" t="s">
        <v>46</v>
      </c>
      <c r="F205" s="3" t="s">
        <v>4749</v>
      </c>
      <c r="G205" s="3" t="s">
        <v>4750</v>
      </c>
    </row>
    <row r="206" spans="1:7">
      <c r="A206" s="6">
        <v>42906</v>
      </c>
      <c r="B206" s="3" t="s">
        <v>4621</v>
      </c>
      <c r="C206" s="3" t="s">
        <v>14</v>
      </c>
      <c r="D206" s="8" t="str">
        <f>HYPERLINK("http://npthd.inbcu.com/ViewContent.aspx?filename=NPMR_FOX_2017-06-20_E.MP4$1705$1722","Snowfall (FX)")</f>
        <v>Snowfall (FX)</v>
      </c>
      <c r="E206" s="3" t="s">
        <v>576</v>
      </c>
      <c r="F206" s="3" t="s">
        <v>4750</v>
      </c>
      <c r="G206" s="3" t="s">
        <v>4751</v>
      </c>
    </row>
    <row r="207" spans="1:7">
      <c r="A207" s="6">
        <v>42906</v>
      </c>
      <c r="B207" s="3" t="s">
        <v>4621</v>
      </c>
      <c r="C207" s="3" t="s">
        <v>18</v>
      </c>
      <c r="D207" s="8" t="str">
        <f>HYPERLINK("http://npthd.inbcu.com/ViewContent.aspx?filename=NPMR_FOX_2017-06-20_E.MP4$1722$2040","LETHAL WEAPON: commencement")</f>
        <v>LETHAL WEAPON: commencement</v>
      </c>
      <c r="E207" s="3" t="s">
        <v>4752</v>
      </c>
      <c r="F207" s="3" t="s">
        <v>4751</v>
      </c>
      <c r="G207" s="3" t="s">
        <v>3240</v>
      </c>
    </row>
    <row r="208" spans="1:7">
      <c r="A208" s="6">
        <v>42906</v>
      </c>
      <c r="B208" s="3" t="s">
        <v>4621</v>
      </c>
      <c r="C208" s="3" t="s">
        <v>21</v>
      </c>
      <c r="D208" s="8" t="str">
        <f>HYPERLINK("http://npthd.inbcu.com/ViewContent.aspx?filename=NPMR_FOX_2017-06-20_E.MP4$2040$2221","COMMERCIAL")</f>
        <v>COMMERCIAL</v>
      </c>
      <c r="E208" s="3" t="s">
        <v>108</v>
      </c>
      <c r="F208" s="3" t="s">
        <v>3240</v>
      </c>
      <c r="G208" s="3" t="s">
        <v>866</v>
      </c>
    </row>
    <row r="209" spans="1:7">
      <c r="A209" s="6">
        <v>42906</v>
      </c>
      <c r="B209" s="3" t="s">
        <v>4621</v>
      </c>
      <c r="C209" s="3" t="s">
        <v>14</v>
      </c>
      <c r="D209" s="8" t="str">
        <f>HYPERLINK("http://npthd.inbcu.com/ViewContent.aspx?filename=NPMR_FOX_2017-06-20_E.MP4$2221$2241","Beat Shazam")</f>
        <v>Beat Shazam</v>
      </c>
      <c r="E209" s="3" t="s">
        <v>1805</v>
      </c>
      <c r="F209" s="3" t="s">
        <v>866</v>
      </c>
      <c r="G209" s="3" t="s">
        <v>4753</v>
      </c>
    </row>
    <row r="210" spans="1:7">
      <c r="A210" s="6">
        <v>42906</v>
      </c>
      <c r="B210" s="3" t="s">
        <v>4621</v>
      </c>
      <c r="C210" s="3" t="s">
        <v>18</v>
      </c>
      <c r="D210" s="8" t="str">
        <f>HYPERLINK("http://npthd.inbcu.com/ViewContent.aspx?filename=NPMR_FOX_2017-06-20_E.MP4$2241$2674","LETHAL WEAPON: commencement")</f>
        <v>LETHAL WEAPON: commencement</v>
      </c>
      <c r="E210" s="3" t="s">
        <v>2211</v>
      </c>
      <c r="F210" s="3" t="s">
        <v>4753</v>
      </c>
      <c r="G210" s="3" t="s">
        <v>4754</v>
      </c>
    </row>
    <row r="211" spans="1:7">
      <c r="A211" s="6">
        <v>42906</v>
      </c>
      <c r="B211" s="3" t="s">
        <v>4621</v>
      </c>
      <c r="C211" s="3" t="s">
        <v>21</v>
      </c>
      <c r="D211" s="8" t="str">
        <f>HYPERLINK("http://npthd.inbcu.com/ViewContent.aspx?filename=NPMR_FOX_2017-06-20_E.MP4$2674$2764","COMMERCIAL")</f>
        <v>COMMERCIAL</v>
      </c>
      <c r="E211" s="3" t="s">
        <v>46</v>
      </c>
      <c r="F211" s="3" t="s">
        <v>4754</v>
      </c>
      <c r="G211" s="3" t="s">
        <v>4755</v>
      </c>
    </row>
    <row r="212" spans="1:7">
      <c r="A212" s="6">
        <v>42906</v>
      </c>
      <c r="B212" s="3" t="s">
        <v>4621</v>
      </c>
      <c r="C212" s="3" t="s">
        <v>14</v>
      </c>
      <c r="D212" s="8" t="str">
        <f>HYPERLINK("http://npthd.inbcu.com/ViewContent.aspx?filename=NPMR_FOX_2017-06-20_E.MP4$2764$2774","Fox Sports 1")</f>
        <v>Fox Sports 1</v>
      </c>
      <c r="E212" s="3" t="s">
        <v>197</v>
      </c>
      <c r="F212" s="3" t="s">
        <v>4755</v>
      </c>
      <c r="G212" s="3" t="s">
        <v>2188</v>
      </c>
    </row>
    <row r="213" spans="1:7">
      <c r="A213" s="6">
        <v>42906</v>
      </c>
      <c r="B213" s="3" t="s">
        <v>4621</v>
      </c>
      <c r="C213" s="3" t="s">
        <v>32</v>
      </c>
      <c r="D213" s="8" t="str">
        <f>HYPERLINK("http://npthd.inbcu.com/ViewContent.aspx?filename=NPMR_FOX_2017-06-20_E.MP4$2774$2915","LOCAL")</f>
        <v>LOCAL</v>
      </c>
      <c r="E213" s="3" t="s">
        <v>1753</v>
      </c>
      <c r="F213" s="3" t="s">
        <v>2188</v>
      </c>
      <c r="G213" s="3" t="s">
        <v>4756</v>
      </c>
    </row>
    <row r="214" spans="1:7">
      <c r="A214" s="6">
        <v>42906</v>
      </c>
      <c r="B214" s="3" t="s">
        <v>4621</v>
      </c>
      <c r="C214" s="3" t="s">
        <v>18</v>
      </c>
      <c r="D214" s="8" t="str">
        <f>HYPERLINK("http://npthd.inbcu.com/ViewContent.aspx?filename=NPMR_FOX_2017-06-20_E.MP4$2915$3299","LETHAL WEAPON: commencement")</f>
        <v>LETHAL WEAPON: commencement</v>
      </c>
      <c r="E214" s="3" t="s">
        <v>4443</v>
      </c>
      <c r="F214" s="3" t="s">
        <v>4756</v>
      </c>
      <c r="G214" s="3" t="s">
        <v>4757</v>
      </c>
    </row>
    <row r="215" spans="1:7">
      <c r="A215" s="6">
        <v>42906</v>
      </c>
      <c r="B215" s="3" t="s">
        <v>4621</v>
      </c>
      <c r="C215" s="3" t="s">
        <v>21</v>
      </c>
      <c r="D215" s="8" t="str">
        <f>HYPERLINK("http://npthd.inbcu.com/ViewContent.aspx?filename=NPMR_FOX_2017-06-20_E.MP4$3299$3405","COMMERCIAL")</f>
        <v>COMMERCIAL</v>
      </c>
      <c r="E215" s="3" t="s">
        <v>293</v>
      </c>
      <c r="F215" s="3" t="s">
        <v>4757</v>
      </c>
      <c r="G215" s="3" t="s">
        <v>4758</v>
      </c>
    </row>
    <row r="216" spans="1:7">
      <c r="A216" s="6">
        <v>42906</v>
      </c>
      <c r="B216" s="3" t="s">
        <v>4621</v>
      </c>
      <c r="C216" s="3" t="s">
        <v>14</v>
      </c>
      <c r="D216" s="8" t="str">
        <f>HYPERLINK("http://npthd.inbcu.com/ViewContent.aspx?filename=NPMR_FOX_2017-06-20_E.MP4$3405$3425","MasterChef")</f>
        <v>MasterChef</v>
      </c>
      <c r="E216" s="3" t="s">
        <v>1805</v>
      </c>
      <c r="F216" s="3" t="s">
        <v>4758</v>
      </c>
      <c r="G216" s="3" t="s">
        <v>3616</v>
      </c>
    </row>
    <row r="217" spans="1:7">
      <c r="A217" s="6">
        <v>42906</v>
      </c>
      <c r="B217" s="3" t="s">
        <v>4621</v>
      </c>
      <c r="C217" s="3" t="s">
        <v>32</v>
      </c>
      <c r="D217" s="8" t="str">
        <f>HYPERLINK("http://npthd.inbcu.com/ViewContent.aspx?filename=NPMR_FOX_2017-06-20_E.MP4$3425$3435","LOCAL")</f>
        <v>LOCAL</v>
      </c>
      <c r="E217" s="3" t="s">
        <v>197</v>
      </c>
      <c r="F217" s="3" t="s">
        <v>3616</v>
      </c>
      <c r="G217" s="3" t="s">
        <v>4759</v>
      </c>
    </row>
    <row r="218" spans="1:7">
      <c r="A218" s="6">
        <v>42906</v>
      </c>
      <c r="B218" s="3" t="s">
        <v>4621</v>
      </c>
      <c r="C218" s="3" t="s">
        <v>14</v>
      </c>
      <c r="D218" s="8" t="str">
        <f>HYPERLINK("http://npthd.inbcu.com/ViewContent.aspx?filename=NPMR_FOX_2017-06-20_E.MP4$3435$3456","Love Connection")</f>
        <v>Love Connection</v>
      </c>
      <c r="E218" s="3" t="s">
        <v>2067</v>
      </c>
      <c r="F218" s="3" t="s">
        <v>4759</v>
      </c>
      <c r="G218" s="3" t="s">
        <v>2143</v>
      </c>
    </row>
    <row r="219" spans="1:7">
      <c r="A219" s="6">
        <v>42906</v>
      </c>
      <c r="B219" s="3" t="s">
        <v>4621</v>
      </c>
      <c r="C219" s="3" t="s">
        <v>18</v>
      </c>
      <c r="D219" s="8" t="str">
        <f>HYPERLINK("http://npthd.inbcu.com/ViewContent.aspx?filename=NPMR_FOX_2017-06-20_E.MP4$3456$3783","LETHAL WEAPON: commencement")</f>
        <v>LETHAL WEAPON: commencement</v>
      </c>
      <c r="E219" s="3" t="s">
        <v>1333</v>
      </c>
      <c r="F219" s="3" t="s">
        <v>2143</v>
      </c>
      <c r="G219" s="3" t="s">
        <v>4333</v>
      </c>
    </row>
    <row r="220" spans="1:7">
      <c r="A220" s="6">
        <v>42906</v>
      </c>
      <c r="B220" s="3" t="s">
        <v>4621</v>
      </c>
      <c r="C220" s="3" t="s">
        <v>14</v>
      </c>
      <c r="D220" s="8" t="str">
        <f>HYPERLINK("http://npthd.inbcu.com/ViewContent.aspx?filename=NPMR_FOX_2017-06-20_E.MP4$3783$3814","Beat Shazam / Love Connection")</f>
        <v>Beat Shazam / Love Connection</v>
      </c>
      <c r="E220" s="3" t="s">
        <v>98</v>
      </c>
      <c r="F220" s="3" t="s">
        <v>4333</v>
      </c>
      <c r="G220" s="3" t="s">
        <v>2768</v>
      </c>
    </row>
    <row r="221" spans="1:7">
      <c r="A221" s="6">
        <v>42906</v>
      </c>
      <c r="B221" s="3" t="s">
        <v>4621</v>
      </c>
      <c r="C221" s="3" t="s">
        <v>18</v>
      </c>
      <c r="D221" s="8" t="str">
        <f>HYPERLINK("http://npthd.inbcu.com/ViewContent.aspx?filename=NPMR_FOX_2017-06-20_E.MP4$3814$4092","THE MICK: the baggage")</f>
        <v>THE MICK: the baggage</v>
      </c>
      <c r="E221" s="3" t="s">
        <v>52</v>
      </c>
      <c r="F221" s="3" t="s">
        <v>2768</v>
      </c>
      <c r="G221" s="3" t="s">
        <v>4760</v>
      </c>
    </row>
    <row r="222" spans="1:7">
      <c r="A222" s="6">
        <v>42906</v>
      </c>
      <c r="B222" s="3" t="s">
        <v>4621</v>
      </c>
      <c r="C222" s="3" t="s">
        <v>21</v>
      </c>
      <c r="D222" s="8" t="str">
        <f>HYPERLINK("http://npthd.inbcu.com/ViewContent.aspx?filename=NPMR_FOX_2017-06-20_E.MP4$4092$4213","COMMERCIAL")</f>
        <v>COMMERCIAL</v>
      </c>
      <c r="E222" s="3" t="s">
        <v>175</v>
      </c>
      <c r="F222" s="3" t="s">
        <v>4760</v>
      </c>
      <c r="G222" s="3" t="s">
        <v>3728</v>
      </c>
    </row>
    <row r="223" spans="1:7">
      <c r="A223" s="6">
        <v>42906</v>
      </c>
      <c r="B223" s="3" t="s">
        <v>4621</v>
      </c>
      <c r="C223" s="3" t="s">
        <v>14</v>
      </c>
      <c r="D223" s="8" t="str">
        <f>HYPERLINK("http://npthd.inbcu.com/ViewContent.aspx?filename=NPMR_FOX_2017-06-20_E.MP4$4213$4227","Ghosted")</f>
        <v>Ghosted</v>
      </c>
      <c r="E223" s="3" t="s">
        <v>342</v>
      </c>
      <c r="F223" s="3" t="s">
        <v>3728</v>
      </c>
      <c r="G223" s="3" t="s">
        <v>4761</v>
      </c>
    </row>
    <row r="224" spans="1:7">
      <c r="A224" s="6">
        <v>42906</v>
      </c>
      <c r="B224" s="3" t="s">
        <v>4621</v>
      </c>
      <c r="C224" s="3" t="s">
        <v>18</v>
      </c>
      <c r="D224" s="8" t="str">
        <f>HYPERLINK("http://npthd.inbcu.com/ViewContent.aspx?filename=NPMR_FOX_2017-06-20_E.MP4$4227$4733","THE MICK: the baggage")</f>
        <v>THE MICK: the baggage</v>
      </c>
      <c r="E224" s="3" t="s">
        <v>2556</v>
      </c>
      <c r="F224" s="3" t="s">
        <v>4761</v>
      </c>
      <c r="G224" s="3" t="s">
        <v>4762</v>
      </c>
    </row>
    <row r="225" spans="1:7">
      <c r="A225" s="6">
        <v>42906</v>
      </c>
      <c r="B225" s="3" t="s">
        <v>4621</v>
      </c>
      <c r="C225" s="3" t="s">
        <v>21</v>
      </c>
      <c r="D225" s="8" t="str">
        <f>HYPERLINK("http://npthd.inbcu.com/ViewContent.aspx?filename=NPMR_FOX_2017-06-20_E.MP4$4733$4824","COMMERCIAL")</f>
        <v>COMMERCIAL</v>
      </c>
      <c r="E225" s="3" t="s">
        <v>77</v>
      </c>
      <c r="F225" s="3" t="s">
        <v>4762</v>
      </c>
      <c r="G225" s="3" t="s">
        <v>4763</v>
      </c>
    </row>
    <row r="226" spans="1:7">
      <c r="A226" s="6">
        <v>42906</v>
      </c>
      <c r="B226" s="3" t="s">
        <v>4621</v>
      </c>
      <c r="C226" s="3" t="s">
        <v>14</v>
      </c>
      <c r="D226" s="8" t="str">
        <f>HYPERLINK("http://npthd.inbcu.com/ViewContent.aspx?filename=NPMR_FOX_2017-06-20_E.MP4$4824$4838","Snowfall (FX)")</f>
        <v>Snowfall (FX)</v>
      </c>
      <c r="E226" s="3" t="s">
        <v>342</v>
      </c>
      <c r="F226" s="3" t="s">
        <v>4763</v>
      </c>
      <c r="G226" s="3" t="s">
        <v>4764</v>
      </c>
    </row>
    <row r="227" spans="1:7">
      <c r="A227" s="6">
        <v>42906</v>
      </c>
      <c r="B227" s="3" t="s">
        <v>4621</v>
      </c>
      <c r="C227" s="3" t="s">
        <v>32</v>
      </c>
      <c r="D227" s="8" t="str">
        <f>HYPERLINK("http://npthd.inbcu.com/ViewContent.aspx?filename=NPMR_FOX_2017-06-20_E.MP4$4838$4949","LOCAL")</f>
        <v>LOCAL</v>
      </c>
      <c r="E227" s="3" t="s">
        <v>2656</v>
      </c>
      <c r="F227" s="3" t="s">
        <v>4764</v>
      </c>
      <c r="G227" s="3" t="s">
        <v>4765</v>
      </c>
    </row>
    <row r="228" spans="1:7">
      <c r="A228" s="6">
        <v>42906</v>
      </c>
      <c r="B228" s="3" t="s">
        <v>4621</v>
      </c>
      <c r="C228" s="3" t="s">
        <v>14</v>
      </c>
      <c r="D228" s="8" t="str">
        <f>HYPERLINK("http://npthd.inbcu.com/ViewContent.aspx?filename=NPMR_FOX_2017-06-20_E.MP4$4949$4970","Master Chef / F Word")</f>
        <v>Master Chef / F Word</v>
      </c>
      <c r="E228" s="3" t="s">
        <v>2067</v>
      </c>
      <c r="F228" s="3" t="s">
        <v>4765</v>
      </c>
      <c r="G228" s="3" t="s">
        <v>4158</v>
      </c>
    </row>
    <row r="229" spans="1:7">
      <c r="A229" s="6">
        <v>42906</v>
      </c>
      <c r="B229" s="3" t="s">
        <v>4621</v>
      </c>
      <c r="C229" s="3" t="s">
        <v>18</v>
      </c>
      <c r="D229" s="8" t="str">
        <f>HYPERLINK("http://npthd.inbcu.com/ViewContent.aspx?filename=NPMR_FOX_2017-06-20_E.MP4$4970$5296","THE MICK: the baggage")</f>
        <v>THE MICK: the baggage</v>
      </c>
      <c r="E229" s="3" t="s">
        <v>1215</v>
      </c>
      <c r="F229" s="3" t="s">
        <v>4158</v>
      </c>
      <c r="G229" s="3" t="s">
        <v>4766</v>
      </c>
    </row>
    <row r="230" spans="1:7">
      <c r="A230" s="6">
        <v>42906</v>
      </c>
      <c r="B230" s="3" t="s">
        <v>4621</v>
      </c>
      <c r="C230" s="3" t="s">
        <v>21</v>
      </c>
      <c r="D230" s="8" t="str">
        <f>HYPERLINK("http://npthd.inbcu.com/ViewContent.aspx?filename=NPMR_FOX_2017-06-20_E.MP4$5296$5402","COMMERCIAL")</f>
        <v>COMMERCIAL</v>
      </c>
      <c r="E230" s="3" t="s">
        <v>293</v>
      </c>
      <c r="F230" s="3" t="s">
        <v>4766</v>
      </c>
      <c r="G230" s="3" t="s">
        <v>4767</v>
      </c>
    </row>
    <row r="231" spans="1:7">
      <c r="A231" s="6">
        <v>42906</v>
      </c>
      <c r="B231" s="3" t="s">
        <v>4621</v>
      </c>
      <c r="C231" s="3" t="s">
        <v>14</v>
      </c>
      <c r="D231" s="8" t="str">
        <f>HYPERLINK("http://npthd.inbcu.com/ViewContent.aspx?filename=NPMR_FOX_2017-06-20_E.MP4$5402$5412","Fox Sports 1")</f>
        <v>Fox Sports 1</v>
      </c>
      <c r="E231" s="3" t="s">
        <v>197</v>
      </c>
      <c r="F231" s="3" t="s">
        <v>4767</v>
      </c>
      <c r="G231" s="3" t="s">
        <v>4768</v>
      </c>
    </row>
    <row r="232" spans="1:7">
      <c r="A232" s="6">
        <v>42906</v>
      </c>
      <c r="B232" s="3" t="s">
        <v>4621</v>
      </c>
      <c r="C232" s="3" t="s">
        <v>32</v>
      </c>
      <c r="D232" s="8" t="str">
        <f>HYPERLINK("http://npthd.inbcu.com/ViewContent.aspx?filename=NPMR_FOX_2017-06-20_E.MP4$5412$5417","LOCAL")</f>
        <v>LOCAL</v>
      </c>
      <c r="E232" s="3" t="s">
        <v>54</v>
      </c>
      <c r="F232" s="3" t="s">
        <v>4768</v>
      </c>
      <c r="G232" s="3" t="s">
        <v>2019</v>
      </c>
    </row>
    <row r="233" spans="1:7">
      <c r="A233" s="6">
        <v>42906</v>
      </c>
      <c r="B233" s="3" t="s">
        <v>4621</v>
      </c>
      <c r="C233" s="3" t="s">
        <v>14</v>
      </c>
      <c r="D233" s="8" t="str">
        <f>HYPERLINK("http://npthd.inbcu.com/ViewContent.aspx?filename=NPMR_FOX_2017-06-20_E.MP4$5417$5438","Beat Shazam / Love Connection")</f>
        <v>Beat Shazam / Love Connection</v>
      </c>
      <c r="E233" s="3" t="s">
        <v>2067</v>
      </c>
      <c r="F233" s="3" t="s">
        <v>2019</v>
      </c>
      <c r="G233" s="3" t="s">
        <v>2635</v>
      </c>
    </row>
    <row r="234" spans="1:7">
      <c r="A234" s="6">
        <v>42906</v>
      </c>
      <c r="B234" s="3" t="s">
        <v>4621</v>
      </c>
      <c r="C234" s="3" t="s">
        <v>18</v>
      </c>
      <c r="D234" s="8" t="str">
        <f>HYPERLINK("http://npthd.inbcu.com/ViewContent.aspx?filename=NPMR_FOX_2017-06-20_E.MP4$5438$5568","THE MICK: the baggage")</f>
        <v>THE MICK: the baggage</v>
      </c>
      <c r="E234" s="3" t="s">
        <v>4769</v>
      </c>
      <c r="F234" s="3" t="s">
        <v>2635</v>
      </c>
      <c r="G234" s="3" t="s">
        <v>4770</v>
      </c>
    </row>
    <row r="235" spans="1:7">
      <c r="A235" s="6">
        <v>42906</v>
      </c>
      <c r="B235" s="3" t="s">
        <v>4621</v>
      </c>
      <c r="C235" s="3" t="s">
        <v>18</v>
      </c>
      <c r="D235" s="8" t="str">
        <f>HYPERLINK("http://npthd.inbcu.com/ViewContent.aspx?filename=NPMR_FOX_2017-06-20_E.MP4$5568$5906","BROOKLYN NINE-NINE: coral palms, pt 1")</f>
        <v>BROOKLYN NINE-NINE: coral palms, pt 1</v>
      </c>
      <c r="E235" s="3" t="s">
        <v>179</v>
      </c>
      <c r="F235" s="3" t="s">
        <v>4770</v>
      </c>
      <c r="G235" s="3" t="s">
        <v>4771</v>
      </c>
    </row>
    <row r="236" spans="1:7">
      <c r="A236" s="6">
        <v>42906</v>
      </c>
      <c r="B236" s="3" t="s">
        <v>4621</v>
      </c>
      <c r="C236" s="3" t="s">
        <v>21</v>
      </c>
      <c r="D236" s="8" t="str">
        <f>HYPERLINK("http://npthd.inbcu.com/ViewContent.aspx?filename=NPMR_FOX_2017-06-20_E.MP4$5906$6027","COMMERCIAL")</f>
        <v>COMMERCIAL</v>
      </c>
      <c r="E236" s="3" t="s">
        <v>175</v>
      </c>
      <c r="F236" s="3" t="s">
        <v>4771</v>
      </c>
      <c r="G236" s="3" t="s">
        <v>4772</v>
      </c>
    </row>
    <row r="237" spans="1:7">
      <c r="A237" s="6">
        <v>42906</v>
      </c>
      <c r="B237" s="3" t="s">
        <v>4621</v>
      </c>
      <c r="C237" s="3" t="s">
        <v>14</v>
      </c>
      <c r="D237" s="8" t="str">
        <f>HYPERLINK("http://npthd.inbcu.com/ViewContent.aspx?filename=NPMR_FOX_2017-06-20_E.MP4$6027$6042","Ghosted")</f>
        <v>Ghosted</v>
      </c>
      <c r="E237" s="3" t="s">
        <v>30</v>
      </c>
      <c r="F237" s="3" t="s">
        <v>4772</v>
      </c>
      <c r="G237" s="3" t="s">
        <v>4773</v>
      </c>
    </row>
    <row r="238" spans="1:7">
      <c r="A238" s="6">
        <v>42906</v>
      </c>
      <c r="B238" s="3" t="s">
        <v>4621</v>
      </c>
      <c r="C238" s="3" t="s">
        <v>18</v>
      </c>
      <c r="D238" s="8" t="str">
        <f>HYPERLINK("http://npthd.inbcu.com/ViewContent.aspx?filename=NPMR_FOX_2017-06-20_E.MP4$6042$6360","BROOKLYN NINE-NINE: coral palms, pt 1")</f>
        <v>BROOKLYN NINE-NINE: coral palms, pt 1</v>
      </c>
      <c r="E238" s="3" t="s">
        <v>4752</v>
      </c>
      <c r="F238" s="3" t="s">
        <v>4773</v>
      </c>
      <c r="G238" s="3" t="s">
        <v>1001</v>
      </c>
    </row>
    <row r="239" spans="1:7">
      <c r="A239" s="6">
        <v>42906</v>
      </c>
      <c r="B239" s="3" t="s">
        <v>4621</v>
      </c>
      <c r="C239" s="3" t="s">
        <v>21</v>
      </c>
      <c r="D239" s="8" t="str">
        <f>HYPERLINK("http://npthd.inbcu.com/ViewContent.aspx?filename=NPMR_FOX_2017-06-20_E.MP4$6360$6451","COMMERCIAL")</f>
        <v>COMMERCIAL</v>
      </c>
      <c r="E239" s="3" t="s">
        <v>77</v>
      </c>
      <c r="F239" s="3" t="s">
        <v>1001</v>
      </c>
      <c r="G239" s="3" t="s">
        <v>4774</v>
      </c>
    </row>
    <row r="240" spans="1:7">
      <c r="A240" s="6">
        <v>42906</v>
      </c>
      <c r="B240" s="3" t="s">
        <v>4621</v>
      </c>
      <c r="C240" s="3" t="s">
        <v>14</v>
      </c>
      <c r="D240" s="8" t="str">
        <f>HYPERLINK("http://npthd.inbcu.com/ViewContent.aspx?filename=NPMR_FOX_2017-06-20_E.MP4$6451$6466","MLB All Star Game")</f>
        <v>MLB All Star Game</v>
      </c>
      <c r="E240" s="3" t="s">
        <v>30</v>
      </c>
      <c r="F240" s="3" t="s">
        <v>4774</v>
      </c>
      <c r="G240" s="3" t="s">
        <v>4775</v>
      </c>
    </row>
    <row r="241" spans="1:7">
      <c r="A241" s="6">
        <v>42906</v>
      </c>
      <c r="B241" s="3" t="s">
        <v>4621</v>
      </c>
      <c r="C241" s="3" t="s">
        <v>32</v>
      </c>
      <c r="D241" s="8" t="str">
        <f>HYPERLINK("http://npthd.inbcu.com/ViewContent.aspx?filename=NPMR_FOX_2017-06-20_E.MP4$6466$6587","LOCAL")</f>
        <v>LOCAL</v>
      </c>
      <c r="E241" s="3" t="s">
        <v>175</v>
      </c>
      <c r="F241" s="3" t="s">
        <v>4775</v>
      </c>
      <c r="G241" s="3" t="s">
        <v>4776</v>
      </c>
    </row>
    <row r="242" spans="1:7">
      <c r="A242" s="6">
        <v>42906</v>
      </c>
      <c r="B242" s="3" t="s">
        <v>4621</v>
      </c>
      <c r="C242" s="3" t="s">
        <v>14</v>
      </c>
      <c r="D242" s="8" t="str">
        <f>HYPERLINK("http://npthd.inbcu.com/ViewContent.aspx?filename=NPMR_FOX_2017-06-20_E.MP4$6587$6598","F Word, The")</f>
        <v>F Word, The</v>
      </c>
      <c r="E242" s="3" t="s">
        <v>1940</v>
      </c>
      <c r="F242" s="3" t="s">
        <v>4776</v>
      </c>
      <c r="G242" s="3" t="s">
        <v>4777</v>
      </c>
    </row>
    <row r="243" spans="1:7">
      <c r="A243" s="6">
        <v>42906</v>
      </c>
      <c r="B243" s="3" t="s">
        <v>4621</v>
      </c>
      <c r="C243" s="3" t="s">
        <v>18</v>
      </c>
      <c r="D243" s="8" t="str">
        <f>HYPERLINK("http://npthd.inbcu.com/ViewContent.aspx?filename=NPMR_FOX_2017-06-20_E.MP4$6598$6844","BROOKLYN NINE-NINE: coral palms, pt 1")</f>
        <v>BROOKLYN NINE-NINE: coral palms, pt 1</v>
      </c>
      <c r="E243" s="3" t="s">
        <v>1191</v>
      </c>
      <c r="F243" s="3" t="s">
        <v>4777</v>
      </c>
      <c r="G243" s="3" t="s">
        <v>4412</v>
      </c>
    </row>
    <row r="244" spans="1:7">
      <c r="A244" s="6">
        <v>42906</v>
      </c>
      <c r="B244" s="3" t="s">
        <v>4621</v>
      </c>
      <c r="C244" s="3" t="s">
        <v>21</v>
      </c>
      <c r="D244" s="8" t="str">
        <f>HYPERLINK("http://npthd.inbcu.com/ViewContent.aspx?filename=NPMR_FOX_2017-06-20_E.MP4$6844$6935","COMMERCIAL")</f>
        <v>COMMERCIAL</v>
      </c>
      <c r="E244" s="3" t="s">
        <v>77</v>
      </c>
      <c r="F244" s="3" t="s">
        <v>4412</v>
      </c>
      <c r="G244" s="3" t="s">
        <v>4778</v>
      </c>
    </row>
    <row r="245" spans="1:7">
      <c r="A245" s="6">
        <v>42906</v>
      </c>
      <c r="B245" s="3" t="s">
        <v>4621</v>
      </c>
      <c r="C245" s="3" t="s">
        <v>14</v>
      </c>
      <c r="D245" s="8" t="str">
        <f>HYPERLINK("http://npthd.inbcu.com/ViewContent.aspx?filename=NPMR_FOX_2017-06-20_E.MP4$6935$6950","Snowfall (FX)")</f>
        <v>Snowfall (FX)</v>
      </c>
      <c r="E245" s="3" t="s">
        <v>30</v>
      </c>
      <c r="F245" s="3" t="s">
        <v>4778</v>
      </c>
      <c r="G245" s="3" t="s">
        <v>4779</v>
      </c>
    </row>
    <row r="246" spans="1:7">
      <c r="A246" s="6">
        <v>42906</v>
      </c>
      <c r="B246" s="3" t="s">
        <v>4621</v>
      </c>
      <c r="C246" s="3" t="s">
        <v>32</v>
      </c>
      <c r="D246" s="8" t="str">
        <f>HYPERLINK("http://npthd.inbcu.com/ViewContent.aspx?filename=NPMR_FOX_2017-06-20_E.MP4$6950$6970","LOCAL")</f>
        <v>LOCAL</v>
      </c>
      <c r="E246" s="3" t="s">
        <v>1805</v>
      </c>
      <c r="F246" s="3" t="s">
        <v>4779</v>
      </c>
      <c r="G246" s="3" t="s">
        <v>4780</v>
      </c>
    </row>
    <row r="247" spans="1:7">
      <c r="A247" s="6">
        <v>42906</v>
      </c>
      <c r="B247" s="3" t="s">
        <v>4621</v>
      </c>
      <c r="C247" s="3" t="s">
        <v>14</v>
      </c>
      <c r="D247" s="8" t="str">
        <f>HYPERLINK("http://npthd.inbcu.com/ViewContent.aspx?filename=NPMR_FOX_2017-06-20_E.MP4$6970$6991","Beat Shazam / Love Connection")</f>
        <v>Beat Shazam / Love Connection</v>
      </c>
      <c r="E247" s="3" t="s">
        <v>2067</v>
      </c>
      <c r="F247" s="3" t="s">
        <v>4780</v>
      </c>
      <c r="G247" s="3" t="s">
        <v>2033</v>
      </c>
    </row>
    <row r="248" spans="1:7">
      <c r="A248" s="6">
        <v>42906</v>
      </c>
      <c r="B248" s="3" t="s">
        <v>4621</v>
      </c>
      <c r="C248" s="3" t="s">
        <v>18</v>
      </c>
      <c r="D248" s="8" t="str">
        <f>HYPERLINK("http://npthd.inbcu.com/ViewContent.aspx?filename=NPMR_FOX_2017-06-20_E.MP4$6991$7231","BROOKLYN NINE-NINE: coral palms, pt 1")</f>
        <v>BROOKLYN NINE-NINE: coral palms, pt 1</v>
      </c>
      <c r="E248" s="3" t="s">
        <v>3095</v>
      </c>
      <c r="F248" s="3" t="s">
        <v>2033</v>
      </c>
      <c r="G248" s="3" t="s">
        <v>4781</v>
      </c>
    </row>
    <row r="249" spans="1:7">
      <c r="A249" s="6">
        <v>42906</v>
      </c>
      <c r="B249" s="3" t="s">
        <v>4621</v>
      </c>
      <c r="C249" s="3" t="s">
        <v>32</v>
      </c>
      <c r="D249" s="8" t="str">
        <f>HYPERLINK("http://npthd.inbcu.com/ViewContent.aspx?filename=NPMR_FOX_2017-06-20_E.MP4$7231$7418","LOCAL")</f>
        <v>LOCAL</v>
      </c>
      <c r="E249" s="3" t="s">
        <v>1933</v>
      </c>
      <c r="F249" s="3" t="s">
        <v>4781</v>
      </c>
      <c r="G249" s="3" t="s">
        <v>394</v>
      </c>
    </row>
    <row r="250" spans="1:7">
      <c r="A250" s="6">
        <v>42907</v>
      </c>
      <c r="B250" s="3" t="s">
        <v>4621</v>
      </c>
      <c r="C250" s="3" t="s">
        <v>18</v>
      </c>
      <c r="D250" s="8" t="str">
        <f>HYPERLINK("http://npthd.inbcu.com/ViewContent.aspx?filename=NPMR_FOX_2017-06-21_E.MP4$267$857","MASTERCHEF: feeding the lifeguards")</f>
        <v>MASTERCHEF: feeding the lifeguards</v>
      </c>
      <c r="E250" s="3" t="s">
        <v>4782</v>
      </c>
      <c r="F250" s="3" t="s">
        <v>16</v>
      </c>
      <c r="G250" s="3" t="s">
        <v>1041</v>
      </c>
    </row>
    <row r="251" spans="1:7">
      <c r="A251" s="6">
        <v>42907</v>
      </c>
      <c r="B251" s="3" t="s">
        <v>4621</v>
      </c>
      <c r="C251" s="3" t="s">
        <v>21</v>
      </c>
      <c r="D251" s="8" t="str">
        <f>HYPERLINK("http://npthd.inbcu.com/ViewContent.aspx?filename=NPMR_FOX_2017-06-21_E.MP4$857$1008","COMMERCIAL")</f>
        <v>COMMERCIAL</v>
      </c>
      <c r="E251" s="3" t="s">
        <v>91</v>
      </c>
      <c r="F251" s="3" t="s">
        <v>1041</v>
      </c>
      <c r="G251" s="3" t="s">
        <v>4783</v>
      </c>
    </row>
    <row r="252" spans="1:7">
      <c r="A252" s="6">
        <v>42907</v>
      </c>
      <c r="B252" s="3" t="s">
        <v>4621</v>
      </c>
      <c r="C252" s="3" t="s">
        <v>14</v>
      </c>
      <c r="D252" s="8" t="str">
        <f>HYPERLINK("http://npthd.inbcu.com/ViewContent.aspx?filename=NPMR_FOX_2017-06-21_E.MP4$1008$1039","Gifted")</f>
        <v>Gifted</v>
      </c>
      <c r="E252" s="3" t="s">
        <v>98</v>
      </c>
      <c r="F252" s="3" t="s">
        <v>4783</v>
      </c>
      <c r="G252" s="3" t="s">
        <v>967</v>
      </c>
    </row>
    <row r="253" spans="1:7">
      <c r="A253" s="6">
        <v>42907</v>
      </c>
      <c r="B253" s="3" t="s">
        <v>4621</v>
      </c>
      <c r="C253" s="3" t="s">
        <v>18</v>
      </c>
      <c r="D253" s="8" t="str">
        <f>HYPERLINK("http://npthd.inbcu.com/ViewContent.aspx?filename=NPMR_FOX_2017-06-21_E.MP4$1039$1406","MASTERCHEF: feeding the lifeguards")</f>
        <v>MASTERCHEF: feeding the lifeguards</v>
      </c>
      <c r="E253" s="3" t="s">
        <v>3590</v>
      </c>
      <c r="F253" s="3" t="s">
        <v>967</v>
      </c>
      <c r="G253" s="3" t="s">
        <v>4784</v>
      </c>
    </row>
    <row r="254" spans="1:7">
      <c r="A254" s="6">
        <v>42907</v>
      </c>
      <c r="B254" s="3" t="s">
        <v>4621</v>
      </c>
      <c r="C254" s="3" t="s">
        <v>21</v>
      </c>
      <c r="D254" s="8" t="str">
        <f>HYPERLINK("http://npthd.inbcu.com/ViewContent.aspx?filename=NPMR_FOX_2017-06-21_E.MP4$1406$1496","COMMERCIAL")</f>
        <v>COMMERCIAL</v>
      </c>
      <c r="E254" s="3" t="s">
        <v>46</v>
      </c>
      <c r="F254" s="3" t="s">
        <v>4784</v>
      </c>
      <c r="G254" s="3" t="s">
        <v>4785</v>
      </c>
    </row>
    <row r="255" spans="1:7">
      <c r="A255" s="6">
        <v>42907</v>
      </c>
      <c r="B255" s="3" t="s">
        <v>4621</v>
      </c>
      <c r="C255" s="3" t="s">
        <v>14</v>
      </c>
      <c r="D255" s="8" t="str">
        <f>HYPERLINK("http://npthd.inbcu.com/ViewContent.aspx?filename=NPMR_FOX_2017-06-21_E.MP4$1496$1511","Fox.com")</f>
        <v>Fox.com</v>
      </c>
      <c r="E255" s="3" t="s">
        <v>30</v>
      </c>
      <c r="F255" s="3" t="s">
        <v>4785</v>
      </c>
      <c r="G255" s="3" t="s">
        <v>4625</v>
      </c>
    </row>
    <row r="256" spans="1:7">
      <c r="A256" s="6">
        <v>42907</v>
      </c>
      <c r="B256" s="3" t="s">
        <v>4621</v>
      </c>
      <c r="C256" s="3" t="s">
        <v>32</v>
      </c>
      <c r="D256" s="8" t="str">
        <f>HYPERLINK("http://npthd.inbcu.com/ViewContent.aspx?filename=NPMR_FOX_2017-06-21_E.MP4$1511$1632","LOCAL")</f>
        <v>LOCAL</v>
      </c>
      <c r="E256" s="3" t="s">
        <v>175</v>
      </c>
      <c r="F256" s="3" t="s">
        <v>4625</v>
      </c>
      <c r="G256" s="3" t="s">
        <v>4786</v>
      </c>
    </row>
    <row r="257" spans="1:7">
      <c r="A257" s="6">
        <v>42907</v>
      </c>
      <c r="B257" s="3" t="s">
        <v>4621</v>
      </c>
      <c r="C257" s="3" t="s">
        <v>14</v>
      </c>
      <c r="D257" s="8" t="str">
        <f>HYPERLINK("http://npthd.inbcu.com/ViewContent.aspx?filename=NPMR_FOX_2017-06-21_E.MP4$1632$1648","Snowfall (FX)")</f>
        <v>Snowfall (FX)</v>
      </c>
      <c r="E257" s="3" t="s">
        <v>64</v>
      </c>
      <c r="F257" s="3" t="s">
        <v>4786</v>
      </c>
      <c r="G257" s="3" t="s">
        <v>4748</v>
      </c>
    </row>
    <row r="258" spans="1:7">
      <c r="A258" s="6">
        <v>42907</v>
      </c>
      <c r="B258" s="3" t="s">
        <v>4621</v>
      </c>
      <c r="C258" s="3" t="s">
        <v>18</v>
      </c>
      <c r="D258" s="8" t="str">
        <f>HYPERLINK("http://npthd.inbcu.com/ViewContent.aspx?filename=NPMR_FOX_2017-06-21_E.MP4$1648$1943","MASTERCHEF: feeding the lifeguards")</f>
        <v>MASTERCHEF: feeding the lifeguards</v>
      </c>
      <c r="E258" s="3" t="s">
        <v>1694</v>
      </c>
      <c r="F258" s="3" t="s">
        <v>4748</v>
      </c>
      <c r="G258" s="3" t="s">
        <v>4787</v>
      </c>
    </row>
    <row r="259" spans="1:7">
      <c r="A259" s="6">
        <v>42907</v>
      </c>
      <c r="B259" s="3" t="s">
        <v>4621</v>
      </c>
      <c r="C259" s="3" t="s">
        <v>21</v>
      </c>
      <c r="D259" s="8" t="str">
        <f>HYPERLINK("http://npthd.inbcu.com/ViewContent.aspx?filename=NPMR_FOX_2017-06-21_E.MP4$1943$2139","COMMERCIAL")</f>
        <v>COMMERCIAL</v>
      </c>
      <c r="E259" s="3" t="s">
        <v>812</v>
      </c>
      <c r="F259" s="3" t="s">
        <v>4787</v>
      </c>
      <c r="G259" s="3" t="s">
        <v>4788</v>
      </c>
    </row>
    <row r="260" spans="1:7">
      <c r="A260" s="6">
        <v>42907</v>
      </c>
      <c r="B260" s="3" t="s">
        <v>4621</v>
      </c>
      <c r="C260" s="3" t="s">
        <v>14</v>
      </c>
      <c r="D260" s="8" t="str">
        <f>HYPERLINK("http://npthd.inbcu.com/ViewContent.aspx?filename=NPMR_FOX_2017-06-21_E.MP4$2139$2159","Love Connection")</f>
        <v>Love Connection</v>
      </c>
      <c r="E260" s="3" t="s">
        <v>1805</v>
      </c>
      <c r="F260" s="3" t="s">
        <v>4788</v>
      </c>
      <c r="G260" s="3" t="s">
        <v>2961</v>
      </c>
    </row>
    <row r="261" spans="1:7">
      <c r="A261" s="6">
        <v>42907</v>
      </c>
      <c r="B261" s="3" t="s">
        <v>4621</v>
      </c>
      <c r="C261" s="3" t="s">
        <v>14</v>
      </c>
      <c r="D261" s="8" t="str">
        <f>HYPERLINK("http://npthd.inbcu.com/ViewContent.aspx?filename=NPMR_FOX_2017-06-21_E.MP4$2159$2179","F Word, The")</f>
        <v>F Word, The</v>
      </c>
      <c r="E261" s="3" t="s">
        <v>1805</v>
      </c>
      <c r="F261" s="3" t="s">
        <v>2961</v>
      </c>
      <c r="G261" s="3" t="s">
        <v>4789</v>
      </c>
    </row>
    <row r="262" spans="1:7">
      <c r="A262" s="6">
        <v>42907</v>
      </c>
      <c r="B262" s="3" t="s">
        <v>4621</v>
      </c>
      <c r="C262" s="3" t="s">
        <v>18</v>
      </c>
      <c r="D262" s="8" t="str">
        <f>HYPERLINK("http://npthd.inbcu.com/ViewContent.aspx?filename=NPMR_FOX_2017-06-21_E.MP4$2179$2635","MASTERCHEF: feeding the lifeguards")</f>
        <v>MASTERCHEF: feeding the lifeguards</v>
      </c>
      <c r="E262" s="3" t="s">
        <v>1683</v>
      </c>
      <c r="F262" s="3" t="s">
        <v>4789</v>
      </c>
      <c r="G262" s="3" t="s">
        <v>1412</v>
      </c>
    </row>
    <row r="263" spans="1:7">
      <c r="A263" s="6">
        <v>42907</v>
      </c>
      <c r="B263" s="3" t="s">
        <v>4621</v>
      </c>
      <c r="C263" s="3" t="s">
        <v>21</v>
      </c>
      <c r="D263" s="8" t="str">
        <f>HYPERLINK("http://npthd.inbcu.com/ViewContent.aspx?filename=NPMR_FOX_2017-06-21_E.MP4$2635$2756","COMMERCIAL")</f>
        <v>COMMERCIAL</v>
      </c>
      <c r="E263" s="3" t="s">
        <v>175</v>
      </c>
      <c r="F263" s="3" t="s">
        <v>1412</v>
      </c>
      <c r="G263" s="3" t="s">
        <v>3064</v>
      </c>
    </row>
    <row r="264" spans="1:7">
      <c r="A264" s="6">
        <v>42907</v>
      </c>
      <c r="B264" s="3" t="s">
        <v>4621</v>
      </c>
      <c r="C264" s="3" t="s">
        <v>14</v>
      </c>
      <c r="D264" s="8" t="str">
        <f>HYPERLINK("http://npthd.inbcu.com/ViewContent.aspx?filename=NPMR_FOX_2017-06-21_E.MP4$2756$2770","National Geographic Channel")</f>
        <v>National Geographic Channel</v>
      </c>
      <c r="E264" s="3" t="s">
        <v>342</v>
      </c>
      <c r="F264" s="3" t="s">
        <v>3064</v>
      </c>
      <c r="G264" s="3" t="s">
        <v>4790</v>
      </c>
    </row>
    <row r="265" spans="1:7">
      <c r="A265" s="6">
        <v>42907</v>
      </c>
      <c r="B265" s="3" t="s">
        <v>4621</v>
      </c>
      <c r="C265" s="3" t="s">
        <v>32</v>
      </c>
      <c r="D265" s="8" t="str">
        <f>HYPERLINK("http://npthd.inbcu.com/ViewContent.aspx?filename=NPMR_FOX_2017-06-21_E.MP4$2770$2882","LOCAL")</f>
        <v>LOCAL</v>
      </c>
      <c r="E265" s="3" t="s">
        <v>4791</v>
      </c>
      <c r="F265" s="3" t="s">
        <v>4790</v>
      </c>
      <c r="G265" s="3" t="s">
        <v>439</v>
      </c>
    </row>
    <row r="266" spans="1:7">
      <c r="A266" s="6">
        <v>42907</v>
      </c>
      <c r="B266" s="3" t="s">
        <v>4621</v>
      </c>
      <c r="C266" s="3" t="s">
        <v>18</v>
      </c>
      <c r="D266" s="8" t="str">
        <f>HYPERLINK("http://npthd.inbcu.com/ViewContent.aspx?filename=NPMR_FOX_2017-06-21_E.MP4$2882$3412","MASTERCHEF: feeding the lifeguards")</f>
        <v>MASTERCHEF: feeding the lifeguards</v>
      </c>
      <c r="E266" s="3" t="s">
        <v>4792</v>
      </c>
      <c r="F266" s="3" t="s">
        <v>439</v>
      </c>
      <c r="G266" s="3" t="s">
        <v>4793</v>
      </c>
    </row>
    <row r="267" spans="1:7">
      <c r="A267" s="6">
        <v>42907</v>
      </c>
      <c r="B267" s="3" t="s">
        <v>4621</v>
      </c>
      <c r="C267" s="3" t="s">
        <v>21</v>
      </c>
      <c r="D267" s="8" t="str">
        <f>HYPERLINK("http://npthd.inbcu.com/ViewContent.aspx?filename=NPMR_FOX_2017-06-21_E.MP4$3412$3534","COMMERCIAL")</f>
        <v>COMMERCIAL</v>
      </c>
      <c r="E267" s="3" t="s">
        <v>252</v>
      </c>
      <c r="F267" s="3" t="s">
        <v>4793</v>
      </c>
      <c r="G267" s="3" t="s">
        <v>1204</v>
      </c>
    </row>
    <row r="268" spans="1:7">
      <c r="A268" s="6">
        <v>42907</v>
      </c>
      <c r="B268" s="3" t="s">
        <v>4621</v>
      </c>
      <c r="C268" s="3" t="s">
        <v>14</v>
      </c>
      <c r="D268" s="8" t="str">
        <f>HYPERLINK("http://npthd.inbcu.com/ViewContent.aspx?filename=NPMR_FOX_2017-06-21_E.MP4$3534$3549","MLB All Star Game")</f>
        <v>MLB All Star Game</v>
      </c>
      <c r="E268" s="3" t="s">
        <v>30</v>
      </c>
      <c r="F268" s="3" t="s">
        <v>1204</v>
      </c>
      <c r="G268" s="3" t="s">
        <v>3070</v>
      </c>
    </row>
    <row r="269" spans="1:7">
      <c r="A269" s="6">
        <v>42907</v>
      </c>
      <c r="B269" s="3" t="s">
        <v>4621</v>
      </c>
      <c r="C269" s="3" t="s">
        <v>32</v>
      </c>
      <c r="D269" s="8" t="str">
        <f>HYPERLINK("http://npthd.inbcu.com/ViewContent.aspx?filename=NPMR_FOX_2017-06-21_E.MP4$3549$3559","LOCAL")</f>
        <v>LOCAL</v>
      </c>
      <c r="E269" s="3" t="s">
        <v>197</v>
      </c>
      <c r="F269" s="3" t="s">
        <v>3070</v>
      </c>
      <c r="G269" s="3" t="s">
        <v>4794</v>
      </c>
    </row>
    <row r="270" spans="1:7">
      <c r="A270" s="6">
        <v>42907</v>
      </c>
      <c r="B270" s="3" t="s">
        <v>4621</v>
      </c>
      <c r="C270" s="3" t="s">
        <v>14</v>
      </c>
      <c r="D270" s="8" t="str">
        <f>HYPERLINK("http://npthd.inbcu.com/ViewContent.aspx?filename=NPMR_FOX_2017-06-21_E.MP4$3559$3580","Beat Shazam")</f>
        <v>Beat Shazam</v>
      </c>
      <c r="E270" s="3" t="s">
        <v>2067</v>
      </c>
      <c r="F270" s="3" t="s">
        <v>4794</v>
      </c>
      <c r="G270" s="3" t="s">
        <v>2765</v>
      </c>
    </row>
    <row r="271" spans="1:7">
      <c r="A271" s="6">
        <v>42907</v>
      </c>
      <c r="B271" s="3" t="s">
        <v>4621</v>
      </c>
      <c r="C271" s="3" t="s">
        <v>14</v>
      </c>
      <c r="D271" s="8" t="str">
        <f>HYPERLINK("http://npthd.inbcu.com/ViewContent.aspx?filename=NPMR_FOX_2017-06-21_E.MP4$3580$3597","F Word, The")</f>
        <v>F Word, The</v>
      </c>
      <c r="E271" s="3" t="s">
        <v>576</v>
      </c>
      <c r="F271" s="3" t="s">
        <v>2765</v>
      </c>
      <c r="G271" s="3" t="s">
        <v>446</v>
      </c>
    </row>
    <row r="272" spans="1:7">
      <c r="A272" s="6">
        <v>42907</v>
      </c>
      <c r="B272" s="3" t="s">
        <v>4621</v>
      </c>
      <c r="C272" s="3" t="s">
        <v>18</v>
      </c>
      <c r="D272" s="8" t="str">
        <f>HYPERLINK("http://npthd.inbcu.com/ViewContent.aspx?filename=NPMR_FOX_2017-06-21_E.MP4$3597$3828","MASTERCHEF: feeding the lifeguards")</f>
        <v>MASTERCHEF: feeding the lifeguards</v>
      </c>
      <c r="E272" s="3" t="s">
        <v>215</v>
      </c>
      <c r="F272" s="3" t="s">
        <v>446</v>
      </c>
      <c r="G272" s="3" t="s">
        <v>2079</v>
      </c>
    </row>
    <row r="273" spans="1:7">
      <c r="A273" s="6">
        <v>42907</v>
      </c>
      <c r="B273" s="3" t="s">
        <v>4621</v>
      </c>
      <c r="C273" s="3" t="s">
        <v>14</v>
      </c>
      <c r="D273" s="8" t="str">
        <f>HYPERLINK("http://npthd.inbcu.com/ViewContent.aspx?filename=NPMR_FOX_2017-06-21_E.MP4$3828$3860","MasterChef")</f>
        <v>MasterChef</v>
      </c>
      <c r="E273" s="3" t="s">
        <v>213</v>
      </c>
      <c r="F273" s="3" t="s">
        <v>2079</v>
      </c>
      <c r="G273" s="3" t="s">
        <v>3673</v>
      </c>
    </row>
    <row r="274" spans="1:7">
      <c r="A274" s="6">
        <v>42907</v>
      </c>
      <c r="B274" s="3" t="s">
        <v>4621</v>
      </c>
      <c r="C274" s="3" t="s">
        <v>18</v>
      </c>
      <c r="D274" s="8" t="str">
        <f>HYPERLINK("http://npthd.inbcu.com/ViewContent.aspx?filename=NPMR_FOX_2017-06-21_E.MP4$3860$3866","MASTERCHEF: feeding the lifeguards")</f>
        <v>MASTERCHEF: feeding the lifeguards</v>
      </c>
      <c r="E274" s="3" t="s">
        <v>15</v>
      </c>
      <c r="F274" s="3" t="s">
        <v>3673</v>
      </c>
      <c r="G274" s="3" t="s">
        <v>2283</v>
      </c>
    </row>
    <row r="275" spans="1:7">
      <c r="A275" s="6">
        <v>42907</v>
      </c>
      <c r="B275" s="3" t="s">
        <v>4621</v>
      </c>
      <c r="C275" s="3" t="s">
        <v>18</v>
      </c>
      <c r="D275" s="8" t="str">
        <f>HYPERLINK("http://npthd.inbcu.com/ViewContent.aspx?filename=NPMR_FOX_2017-06-21_E.MP4$3866$4318","THE F WORD WITH GORDAN RAMSEY: 104")</f>
        <v>THE F WORD WITH GORDAN RAMSEY: 104</v>
      </c>
      <c r="E275" s="3" t="s">
        <v>194</v>
      </c>
      <c r="F275" s="3" t="s">
        <v>2283</v>
      </c>
      <c r="G275" s="3" t="s">
        <v>4795</v>
      </c>
    </row>
    <row r="276" spans="1:7">
      <c r="A276" s="6">
        <v>42907</v>
      </c>
      <c r="B276" s="3" t="s">
        <v>4621</v>
      </c>
      <c r="C276" s="3" t="s">
        <v>21</v>
      </c>
      <c r="D276" s="8" t="str">
        <f>HYPERLINK("http://npthd.inbcu.com/ViewContent.aspx?filename=NPMR_FOX_2017-06-21_E.MP4$4318$4438","COMMERCIAL")</f>
        <v>COMMERCIAL</v>
      </c>
      <c r="E276" s="3" t="s">
        <v>43</v>
      </c>
      <c r="F276" s="3" t="s">
        <v>4795</v>
      </c>
      <c r="G276" s="3" t="s">
        <v>1338</v>
      </c>
    </row>
    <row r="277" spans="1:7">
      <c r="A277" s="6">
        <v>42907</v>
      </c>
      <c r="B277" s="3" t="s">
        <v>4621</v>
      </c>
      <c r="C277" s="3" t="s">
        <v>14</v>
      </c>
      <c r="D277" s="8" t="str">
        <f>HYPERLINK("http://npthd.inbcu.com/ViewContent.aspx?filename=NPMR_FOX_2017-06-21_E.MP4$4438$4467","Gifted")</f>
        <v>Gifted</v>
      </c>
      <c r="E277" s="3" t="s">
        <v>24</v>
      </c>
      <c r="F277" s="3" t="s">
        <v>1338</v>
      </c>
      <c r="G277" s="3" t="s">
        <v>1211</v>
      </c>
    </row>
    <row r="278" spans="1:7">
      <c r="A278" s="6">
        <v>42907</v>
      </c>
      <c r="B278" s="3" t="s">
        <v>4621</v>
      </c>
      <c r="C278" s="3" t="s">
        <v>18</v>
      </c>
      <c r="D278" s="8" t="str">
        <f>HYPERLINK("http://npthd.inbcu.com/ViewContent.aspx?filename=NPMR_FOX_2017-06-21_E.MP4$4467$4920","THE F WORD WITH GORDAN RAMSEY: 104")</f>
        <v>THE F WORD WITH GORDAN RAMSEY: 104</v>
      </c>
      <c r="E278" s="3" t="s">
        <v>1758</v>
      </c>
      <c r="F278" s="3" t="s">
        <v>1211</v>
      </c>
      <c r="G278" s="3" t="s">
        <v>4019</v>
      </c>
    </row>
    <row r="279" spans="1:7">
      <c r="A279" s="6">
        <v>42907</v>
      </c>
      <c r="B279" s="3" t="s">
        <v>4621</v>
      </c>
      <c r="C279" s="3" t="s">
        <v>21</v>
      </c>
      <c r="D279" s="8" t="str">
        <f>HYPERLINK("http://npthd.inbcu.com/ViewContent.aspx?filename=NPMR_FOX_2017-06-21_E.MP4$4920$5010","COMMERCIAL")</f>
        <v>COMMERCIAL</v>
      </c>
      <c r="E279" s="3" t="s">
        <v>46</v>
      </c>
      <c r="F279" s="3" t="s">
        <v>4019</v>
      </c>
      <c r="G279" s="3" t="s">
        <v>4705</v>
      </c>
    </row>
    <row r="280" spans="1:7">
      <c r="A280" s="6">
        <v>42907</v>
      </c>
      <c r="B280" s="3" t="s">
        <v>4621</v>
      </c>
      <c r="C280" s="3" t="s">
        <v>14</v>
      </c>
      <c r="D280" s="8" t="str">
        <f>HYPERLINK("http://npthd.inbcu.com/ViewContent.aspx?filename=NPMR_FOX_2017-06-21_E.MP4$5010$5025","Snowfall (FX)")</f>
        <v>Snowfall (FX)</v>
      </c>
      <c r="E280" s="3" t="s">
        <v>30</v>
      </c>
      <c r="F280" s="3" t="s">
        <v>4705</v>
      </c>
      <c r="G280" s="3" t="s">
        <v>4796</v>
      </c>
    </row>
    <row r="281" spans="1:7">
      <c r="A281" s="6">
        <v>42907</v>
      </c>
      <c r="B281" s="3" t="s">
        <v>4621</v>
      </c>
      <c r="C281" s="3" t="s">
        <v>32</v>
      </c>
      <c r="D281" s="8" t="str">
        <f>HYPERLINK("http://npthd.inbcu.com/ViewContent.aspx?filename=NPMR_FOX_2017-06-21_E.MP4$5025$5166","LOCAL")</f>
        <v>LOCAL</v>
      </c>
      <c r="E281" s="3" t="s">
        <v>1753</v>
      </c>
      <c r="F281" s="3" t="s">
        <v>4796</v>
      </c>
      <c r="G281" s="3" t="s">
        <v>4797</v>
      </c>
    </row>
    <row r="282" spans="1:7">
      <c r="A282" s="6">
        <v>42907</v>
      </c>
      <c r="B282" s="3" t="s">
        <v>4621</v>
      </c>
      <c r="C282" s="3" t="s">
        <v>18</v>
      </c>
      <c r="D282" s="8" t="str">
        <f>HYPERLINK("http://npthd.inbcu.com/ViewContent.aspx?filename=NPMR_FOX_2017-06-21_E.MP4$5166$5787","THE F WORD WITH GORDAN RAMSEY: 104")</f>
        <v>THE F WORD WITH GORDAN RAMSEY: 104</v>
      </c>
      <c r="E282" s="3" t="s">
        <v>3426</v>
      </c>
      <c r="F282" s="3" t="s">
        <v>4797</v>
      </c>
      <c r="G282" s="3" t="s">
        <v>4798</v>
      </c>
    </row>
    <row r="283" spans="1:7">
      <c r="A283" s="6">
        <v>42907</v>
      </c>
      <c r="B283" s="3" t="s">
        <v>4621</v>
      </c>
      <c r="C283" s="3" t="s">
        <v>21</v>
      </c>
      <c r="D283" s="8" t="str">
        <f>HYPERLINK("http://npthd.inbcu.com/ViewContent.aspx?filename=NPMR_FOX_2017-06-21_E.MP4$5787$5907","COMMERCIAL")</f>
        <v>COMMERCIAL</v>
      </c>
      <c r="E283" s="3" t="s">
        <v>43</v>
      </c>
      <c r="F283" s="3" t="s">
        <v>4798</v>
      </c>
      <c r="G283" s="3" t="s">
        <v>4799</v>
      </c>
    </row>
    <row r="284" spans="1:7">
      <c r="A284" s="6">
        <v>42907</v>
      </c>
      <c r="B284" s="3" t="s">
        <v>4621</v>
      </c>
      <c r="C284" s="3" t="s">
        <v>21</v>
      </c>
      <c r="D284" s="8" t="str">
        <f>HYPERLINK("http://npthd.inbcu.com/ViewContent.aspx?filename=NPMR_FOX_2017-06-21_E.MP4$5907$5967","COMMERCIAL")</f>
        <v>COMMERCIAL</v>
      </c>
      <c r="E284" s="3" t="s">
        <v>66</v>
      </c>
      <c r="F284" s="3" t="s">
        <v>4799</v>
      </c>
      <c r="G284" s="3" t="s">
        <v>4530</v>
      </c>
    </row>
    <row r="285" spans="1:7">
      <c r="A285" s="6">
        <v>42907</v>
      </c>
      <c r="B285" s="3" t="s">
        <v>4621</v>
      </c>
      <c r="C285" s="3" t="s">
        <v>14</v>
      </c>
      <c r="D285" s="8" t="str">
        <f>HYPERLINK("http://npthd.inbcu.com/ViewContent.aspx?filename=NPMR_FOX_2017-06-21_E.MP4$5967$5987","Love Connection")</f>
        <v>Love Connection</v>
      </c>
      <c r="E285" s="3" t="s">
        <v>1805</v>
      </c>
      <c r="F285" s="3" t="s">
        <v>4530</v>
      </c>
      <c r="G285" s="3" t="s">
        <v>4800</v>
      </c>
    </row>
    <row r="286" spans="1:7">
      <c r="A286" s="6">
        <v>42907</v>
      </c>
      <c r="B286" s="3" t="s">
        <v>4621</v>
      </c>
      <c r="C286" s="3" t="s">
        <v>18</v>
      </c>
      <c r="D286" s="8" t="str">
        <f>HYPERLINK("http://npthd.inbcu.com/ViewContent.aspx?filename=NPMR_FOX_2017-06-21_E.MP4$5987$6409","THE F WORD WITH GORDAN RAMSEY: 104")</f>
        <v>THE F WORD WITH GORDAN RAMSEY: 104</v>
      </c>
      <c r="E286" s="3" t="s">
        <v>1087</v>
      </c>
      <c r="F286" s="3" t="s">
        <v>4800</v>
      </c>
      <c r="G286" s="3" t="s">
        <v>1001</v>
      </c>
    </row>
    <row r="287" spans="1:7">
      <c r="A287" s="6">
        <v>42907</v>
      </c>
      <c r="B287" s="3" t="s">
        <v>4621</v>
      </c>
      <c r="C287" s="3" t="s">
        <v>21</v>
      </c>
      <c r="D287" s="8" t="str">
        <f>HYPERLINK("http://npthd.inbcu.com/ViewContent.aspx?filename=NPMR_FOX_2017-06-21_E.MP4$6409$6530","COMMERCIAL")</f>
        <v>COMMERCIAL</v>
      </c>
      <c r="E287" s="3" t="s">
        <v>175</v>
      </c>
      <c r="F287" s="3" t="s">
        <v>1001</v>
      </c>
      <c r="G287" s="3" t="s">
        <v>2782</v>
      </c>
    </row>
    <row r="288" spans="1:7">
      <c r="A288" s="6">
        <v>42907</v>
      </c>
      <c r="B288" s="3" t="s">
        <v>4621</v>
      </c>
      <c r="C288" s="3" t="s">
        <v>14</v>
      </c>
      <c r="D288" s="8" t="str">
        <f>HYPERLINK("http://npthd.inbcu.com/ViewContent.aspx?filename=NPMR_FOX_2017-06-21_E.MP4$6530$6545","MLB All Star Game")</f>
        <v>MLB All Star Game</v>
      </c>
      <c r="E288" s="3" t="s">
        <v>30</v>
      </c>
      <c r="F288" s="3" t="s">
        <v>2782</v>
      </c>
      <c r="G288" s="3" t="s">
        <v>2422</v>
      </c>
    </row>
    <row r="289" spans="1:7">
      <c r="A289" s="6">
        <v>42907</v>
      </c>
      <c r="B289" s="3" t="s">
        <v>4621</v>
      </c>
      <c r="C289" s="3" t="s">
        <v>32</v>
      </c>
      <c r="D289" s="8" t="str">
        <f>HYPERLINK("http://npthd.inbcu.com/ViewContent.aspx?filename=NPMR_FOX_2017-06-21_E.MP4$6545$6635","LOCAL")</f>
        <v>LOCAL</v>
      </c>
      <c r="E289" s="3" t="s">
        <v>46</v>
      </c>
      <c r="F289" s="3" t="s">
        <v>2422</v>
      </c>
      <c r="G289" s="3" t="s">
        <v>4801</v>
      </c>
    </row>
    <row r="290" spans="1:7">
      <c r="A290" s="6">
        <v>42907</v>
      </c>
      <c r="B290" s="3" t="s">
        <v>4621</v>
      </c>
      <c r="C290" s="3" t="s">
        <v>18</v>
      </c>
      <c r="D290" s="8" t="str">
        <f>HYPERLINK("http://npthd.inbcu.com/ViewContent.aspx?filename=NPMR_FOX_2017-06-21_E.MP4$6635$6995","THE F WORD WITH GORDAN RAMSEY: 104")</f>
        <v>THE F WORD WITH GORDAN RAMSEY: 104</v>
      </c>
      <c r="E290" s="3" t="s">
        <v>190</v>
      </c>
      <c r="F290" s="3" t="s">
        <v>4801</v>
      </c>
      <c r="G290" s="3" t="s">
        <v>4802</v>
      </c>
    </row>
    <row r="291" spans="1:7">
      <c r="A291" s="6">
        <v>42907</v>
      </c>
      <c r="B291" s="3" t="s">
        <v>4621</v>
      </c>
      <c r="C291" s="3" t="s">
        <v>21</v>
      </c>
      <c r="D291" s="8" t="str">
        <f>HYPERLINK("http://npthd.inbcu.com/ViewContent.aspx?filename=NPMR_FOX_2017-06-21_E.MP4$6995$7116","COMMERCIAL")</f>
        <v>COMMERCIAL</v>
      </c>
      <c r="E291" s="3" t="s">
        <v>175</v>
      </c>
      <c r="F291" s="3" t="s">
        <v>4802</v>
      </c>
      <c r="G291" s="3" t="s">
        <v>1914</v>
      </c>
    </row>
    <row r="292" spans="1:7">
      <c r="A292" s="6">
        <v>42907</v>
      </c>
      <c r="B292" s="3" t="s">
        <v>4621</v>
      </c>
      <c r="C292" s="3" t="s">
        <v>14</v>
      </c>
      <c r="D292" s="8" t="str">
        <f>HYPERLINK("http://npthd.inbcu.com/ViewContent.aspx?filename=NPMR_FOX_2017-06-21_E.MP4$7116$7136","American Grit")</f>
        <v>American Grit</v>
      </c>
      <c r="E292" s="3" t="s">
        <v>1805</v>
      </c>
      <c r="F292" s="3" t="s">
        <v>1914</v>
      </c>
      <c r="G292" s="3" t="s">
        <v>4645</v>
      </c>
    </row>
    <row r="293" spans="1:7">
      <c r="A293" s="6">
        <v>42907</v>
      </c>
      <c r="B293" s="3" t="s">
        <v>4621</v>
      </c>
      <c r="C293" s="3" t="s">
        <v>32</v>
      </c>
      <c r="D293" s="8" t="str">
        <f>HYPERLINK("http://npthd.inbcu.com/ViewContent.aspx?filename=NPMR_FOX_2017-06-21_E.MP4$7136$7156","LOCAL")</f>
        <v>LOCAL</v>
      </c>
      <c r="E293" s="3" t="s">
        <v>1805</v>
      </c>
      <c r="F293" s="3" t="s">
        <v>4645</v>
      </c>
      <c r="G293" s="3" t="s">
        <v>3092</v>
      </c>
    </row>
    <row r="294" spans="1:7">
      <c r="A294" s="6">
        <v>42907</v>
      </c>
      <c r="B294" s="3" t="s">
        <v>4621</v>
      </c>
      <c r="C294" s="3" t="s">
        <v>14</v>
      </c>
      <c r="D294" s="8" t="str">
        <f>HYPERLINK("http://npthd.inbcu.com/ViewContent.aspx?filename=NPMR_FOX_2017-06-21_E.MP4$7156$7177","Beat Shazam")</f>
        <v>Beat Shazam</v>
      </c>
      <c r="E294" s="3" t="s">
        <v>2067</v>
      </c>
      <c r="F294" s="3" t="s">
        <v>3092</v>
      </c>
      <c r="G294" s="3" t="s">
        <v>4803</v>
      </c>
    </row>
    <row r="295" spans="1:7">
      <c r="A295" s="6">
        <v>42907</v>
      </c>
      <c r="B295" s="3" t="s">
        <v>4621</v>
      </c>
      <c r="C295" s="3" t="s">
        <v>18</v>
      </c>
      <c r="D295" s="8" t="str">
        <f>HYPERLINK("http://npthd.inbcu.com/ViewContent.aspx?filename=NPMR_FOX_2017-06-21_E.MP4$7177$7431","THE F WORD WITH GORDAN RAMSEY: 104")</f>
        <v>THE F WORD WITH GORDAN RAMSEY: 104</v>
      </c>
      <c r="E295" s="3" t="s">
        <v>3528</v>
      </c>
      <c r="F295" s="3" t="s">
        <v>4803</v>
      </c>
      <c r="G295" s="3" t="s">
        <v>181</v>
      </c>
    </row>
    <row r="296" spans="1:7">
      <c r="A296" s="6">
        <v>42907</v>
      </c>
      <c r="B296" s="3" t="s">
        <v>4621</v>
      </c>
      <c r="C296" s="3" t="s">
        <v>14</v>
      </c>
      <c r="D296" s="8" t="str">
        <f>HYPERLINK("http://npthd.inbcu.com/ViewContent.aspx?filename=NPMR_FOX_2017-06-21_E.MP4$7431$7452","F Word, The")</f>
        <v>F Word, The</v>
      </c>
      <c r="E296" s="3" t="s">
        <v>2067</v>
      </c>
      <c r="F296" s="3" t="s">
        <v>181</v>
      </c>
      <c r="G296" s="3" t="s">
        <v>3885</v>
      </c>
    </row>
    <row r="297" spans="1:7">
      <c r="A297" s="6">
        <v>42907</v>
      </c>
      <c r="B297" s="3" t="s">
        <v>4621</v>
      </c>
      <c r="C297" s="3" t="s">
        <v>18</v>
      </c>
      <c r="D297" s="8" t="str">
        <f>HYPERLINK("http://npthd.inbcu.com/ViewContent.aspx?filename=NPMR_FOX_2017-06-21_E.MP4$7452$7457","THE F WORD WITH GORDAN RAMSEY: 104")</f>
        <v>THE F WORD WITH GORDAN RAMSEY: 104</v>
      </c>
      <c r="E297" s="3" t="s">
        <v>54</v>
      </c>
      <c r="F297" s="3" t="s">
        <v>3885</v>
      </c>
      <c r="G297" s="3" t="s">
        <v>3097</v>
      </c>
    </row>
    <row r="298" spans="1:7">
      <c r="A298" s="6">
        <v>42907</v>
      </c>
      <c r="B298" s="3" t="s">
        <v>4621</v>
      </c>
      <c r="C298" s="3" t="s">
        <v>32</v>
      </c>
      <c r="D298" s="8" t="str">
        <f>HYPERLINK("http://npthd.inbcu.com/ViewContent.aspx?filename=NPMR_FOX_2017-06-21_E.MP4$7457$7467","LOCAL")</f>
        <v>LOCAL</v>
      </c>
      <c r="E298" s="3" t="s">
        <v>197</v>
      </c>
      <c r="F298" s="3" t="s">
        <v>3097</v>
      </c>
      <c r="G298" s="3" t="s">
        <v>394</v>
      </c>
    </row>
    <row r="299" spans="1:7">
      <c r="A299" s="6">
        <v>42908</v>
      </c>
      <c r="B299" s="3" t="s">
        <v>4621</v>
      </c>
      <c r="C299" s="3" t="s">
        <v>18</v>
      </c>
      <c r="D299" s="8" t="str">
        <f>HYPERLINK("http://npthd.inbcu.com/ViewContent.aspx?filename=NPMR_FOX_2017-06-22_E.MP4$66$928","BEAT SHAZAM: 104")</f>
        <v>BEAT SHAZAM: 104</v>
      </c>
      <c r="E299" s="3" t="s">
        <v>4804</v>
      </c>
      <c r="F299" s="3" t="s">
        <v>16</v>
      </c>
      <c r="G299" s="3" t="s">
        <v>3408</v>
      </c>
    </row>
    <row r="300" spans="1:7">
      <c r="A300" s="6">
        <v>42908</v>
      </c>
      <c r="B300" s="3" t="s">
        <v>4621</v>
      </c>
      <c r="C300" s="3" t="s">
        <v>21</v>
      </c>
      <c r="D300" s="8" t="str">
        <f>HYPERLINK("http://npthd.inbcu.com/ViewContent.aspx?filename=NPMR_FOX_2017-06-22_E.MP4$928$1049","COMMERCIAL")</f>
        <v>COMMERCIAL</v>
      </c>
      <c r="E300" s="3" t="s">
        <v>175</v>
      </c>
      <c r="F300" s="3" t="s">
        <v>3408</v>
      </c>
      <c r="G300" s="3" t="s">
        <v>4805</v>
      </c>
    </row>
    <row r="301" spans="1:7">
      <c r="A301" s="6">
        <v>42908</v>
      </c>
      <c r="B301" s="3" t="s">
        <v>4621</v>
      </c>
      <c r="C301" s="3" t="s">
        <v>14</v>
      </c>
      <c r="D301" s="8" t="str">
        <f>HYPERLINK("http://npthd.inbcu.com/ViewContent.aspx?filename=NPMR_FOX_2017-06-22_E.MP4$1049$1079","Snowfall (FX)")</f>
        <v>Snowfall (FX)</v>
      </c>
      <c r="E301" s="3" t="s">
        <v>38</v>
      </c>
      <c r="F301" s="3" t="s">
        <v>4805</v>
      </c>
      <c r="G301" s="3" t="s">
        <v>2749</v>
      </c>
    </row>
    <row r="302" spans="1:7">
      <c r="A302" s="6">
        <v>42908</v>
      </c>
      <c r="B302" s="3" t="s">
        <v>4621</v>
      </c>
      <c r="C302" s="3" t="s">
        <v>14</v>
      </c>
      <c r="D302" s="8" t="str">
        <f>HYPERLINK("http://npthd.inbcu.com/ViewContent.aspx?filename=NPMR_FOX_2017-06-22_E.MP4$1079$1109","Gifted")</f>
        <v>Gifted</v>
      </c>
      <c r="E302" s="3" t="s">
        <v>38</v>
      </c>
      <c r="F302" s="3" t="s">
        <v>2749</v>
      </c>
      <c r="G302" s="3" t="s">
        <v>4806</v>
      </c>
    </row>
    <row r="303" spans="1:7">
      <c r="A303" s="6">
        <v>42908</v>
      </c>
      <c r="B303" s="3" t="s">
        <v>4621</v>
      </c>
      <c r="C303" s="3" t="s">
        <v>18</v>
      </c>
      <c r="D303" s="8" t="str">
        <f>HYPERLINK("http://npthd.inbcu.com/ViewContent.aspx?filename=NPMR_FOX_2017-06-22_E.MP4$1109$1490","BEAT SHAZAM: 104")</f>
        <v>BEAT SHAZAM: 104</v>
      </c>
      <c r="E303" s="3" t="s">
        <v>4735</v>
      </c>
      <c r="F303" s="3" t="s">
        <v>4806</v>
      </c>
      <c r="G303" s="3" t="s">
        <v>4807</v>
      </c>
    </row>
    <row r="304" spans="1:7">
      <c r="A304" s="6">
        <v>42908</v>
      </c>
      <c r="B304" s="3" t="s">
        <v>4621</v>
      </c>
      <c r="C304" s="3" t="s">
        <v>21</v>
      </c>
      <c r="D304" s="8" t="str">
        <f>HYPERLINK("http://npthd.inbcu.com/ViewContent.aspx?filename=NPMR_FOX_2017-06-22_E.MP4$1490$1581","COMMERCIAL")</f>
        <v>COMMERCIAL</v>
      </c>
      <c r="E304" s="3" t="s">
        <v>77</v>
      </c>
      <c r="F304" s="3" t="s">
        <v>4807</v>
      </c>
      <c r="G304" s="3" t="s">
        <v>4435</v>
      </c>
    </row>
    <row r="305" spans="1:7">
      <c r="A305" s="6">
        <v>42908</v>
      </c>
      <c r="B305" s="3" t="s">
        <v>4621</v>
      </c>
      <c r="C305" s="3" t="s">
        <v>14</v>
      </c>
      <c r="D305" s="8" t="str">
        <f>HYPERLINK("http://npthd.inbcu.com/ViewContent.aspx?filename=NPMR_FOX_2017-06-22_E.MP4$1581$1596","MLB All Star Game")</f>
        <v>MLB All Star Game</v>
      </c>
      <c r="E305" s="3" t="s">
        <v>30</v>
      </c>
      <c r="F305" s="3" t="s">
        <v>4435</v>
      </c>
      <c r="G305" s="3" t="s">
        <v>1478</v>
      </c>
    </row>
    <row r="306" spans="1:7">
      <c r="A306" s="6">
        <v>42908</v>
      </c>
      <c r="B306" s="3" t="s">
        <v>4621</v>
      </c>
      <c r="C306" s="3" t="s">
        <v>32</v>
      </c>
      <c r="D306" s="8" t="str">
        <f>HYPERLINK("http://npthd.inbcu.com/ViewContent.aspx?filename=NPMR_FOX_2017-06-22_E.MP4$1596$1717","LOCAL")</f>
        <v>LOCAL</v>
      </c>
      <c r="E306" s="3" t="s">
        <v>175</v>
      </c>
      <c r="F306" s="3" t="s">
        <v>1478</v>
      </c>
      <c r="G306" s="3" t="s">
        <v>3123</v>
      </c>
    </row>
    <row r="307" spans="1:7">
      <c r="A307" s="6">
        <v>42908</v>
      </c>
      <c r="B307" s="3" t="s">
        <v>4621</v>
      </c>
      <c r="C307" s="3" t="s">
        <v>18</v>
      </c>
      <c r="D307" s="8" t="str">
        <f>HYPERLINK("http://npthd.inbcu.com/ViewContent.aspx?filename=NPMR_FOX_2017-06-22_E.MP4$1717$1999","BEAT SHAZAM: 104")</f>
        <v>BEAT SHAZAM: 104</v>
      </c>
      <c r="E307" s="3" t="s">
        <v>3125</v>
      </c>
      <c r="F307" s="3" t="s">
        <v>3123</v>
      </c>
      <c r="G307" s="3" t="s">
        <v>4808</v>
      </c>
    </row>
    <row r="308" spans="1:7">
      <c r="A308" s="6">
        <v>42908</v>
      </c>
      <c r="B308" s="3" t="s">
        <v>4621</v>
      </c>
      <c r="C308" s="3" t="s">
        <v>21</v>
      </c>
      <c r="D308" s="8" t="str">
        <f>HYPERLINK("http://npthd.inbcu.com/ViewContent.aspx?filename=NPMR_FOX_2017-06-22_E.MP4$1999$2180","COMMERCIAL")</f>
        <v>COMMERCIAL</v>
      </c>
      <c r="E308" s="3" t="s">
        <v>108</v>
      </c>
      <c r="F308" s="3" t="s">
        <v>4808</v>
      </c>
      <c r="G308" s="3" t="s">
        <v>3174</v>
      </c>
    </row>
    <row r="309" spans="1:7">
      <c r="A309" s="6">
        <v>42908</v>
      </c>
      <c r="B309" s="3" t="s">
        <v>4621</v>
      </c>
      <c r="C309" s="3" t="s">
        <v>14</v>
      </c>
      <c r="D309" s="8" t="str">
        <f>HYPERLINK("http://npthd.inbcu.com/ViewContent.aspx?filename=NPMR_FOX_2017-06-22_E.MP4$2180$2195","American Grit")</f>
        <v>American Grit</v>
      </c>
      <c r="E309" s="3" t="s">
        <v>30</v>
      </c>
      <c r="F309" s="3" t="s">
        <v>3174</v>
      </c>
      <c r="G309" s="3" t="s">
        <v>4809</v>
      </c>
    </row>
    <row r="310" spans="1:7">
      <c r="A310" s="6">
        <v>42908</v>
      </c>
      <c r="B310" s="3" t="s">
        <v>4621</v>
      </c>
      <c r="C310" s="3" t="s">
        <v>14</v>
      </c>
      <c r="D310" s="8" t="str">
        <f>HYPERLINK("http://npthd.inbcu.com/ViewContent.aspx?filename=NPMR_FOX_2017-06-22_E.MP4$2195$2210","Super Human")</f>
        <v>Super Human</v>
      </c>
      <c r="E310" s="3" t="s">
        <v>30</v>
      </c>
      <c r="F310" s="3" t="s">
        <v>4809</v>
      </c>
      <c r="G310" s="3" t="s">
        <v>4810</v>
      </c>
    </row>
    <row r="311" spans="1:7">
      <c r="A311" s="6">
        <v>42908</v>
      </c>
      <c r="B311" s="3" t="s">
        <v>4621</v>
      </c>
      <c r="C311" s="3" t="s">
        <v>18</v>
      </c>
      <c r="D311" s="8" t="str">
        <f>HYPERLINK("http://npthd.inbcu.com/ViewContent.aspx?filename=NPMR_FOX_2017-06-22_E.MP4$2210$2577","BEAT SHAZAM: 104")</f>
        <v>BEAT SHAZAM: 104</v>
      </c>
      <c r="E311" s="3" t="s">
        <v>3590</v>
      </c>
      <c r="F311" s="3" t="s">
        <v>4810</v>
      </c>
      <c r="G311" s="3" t="s">
        <v>1270</v>
      </c>
    </row>
    <row r="312" spans="1:7">
      <c r="A312" s="6">
        <v>42908</v>
      </c>
      <c r="B312" s="3" t="s">
        <v>4621</v>
      </c>
      <c r="C312" s="3" t="s">
        <v>21</v>
      </c>
      <c r="D312" s="8" t="str">
        <f>HYPERLINK("http://npthd.inbcu.com/ViewContent.aspx?filename=NPMR_FOX_2017-06-22_E.MP4$2577$2698","COMMERCIAL")</f>
        <v>COMMERCIAL</v>
      </c>
      <c r="E312" s="3" t="s">
        <v>175</v>
      </c>
      <c r="F312" s="3" t="s">
        <v>1270</v>
      </c>
      <c r="G312" s="3" t="s">
        <v>1271</v>
      </c>
    </row>
    <row r="313" spans="1:7">
      <c r="A313" s="6">
        <v>42908</v>
      </c>
      <c r="B313" s="3" t="s">
        <v>4621</v>
      </c>
      <c r="C313" s="3" t="s">
        <v>14</v>
      </c>
      <c r="D313" s="8" t="str">
        <f>HYPERLINK("http://npthd.inbcu.com/ViewContent.aspx?filename=NPMR_FOX_2017-06-22_E.MP4$2698$2713","Earth Live (Nat Geo)")</f>
        <v>Earth Live (Nat Geo)</v>
      </c>
      <c r="E313" s="3" t="s">
        <v>30</v>
      </c>
      <c r="F313" s="3" t="s">
        <v>1271</v>
      </c>
      <c r="G313" s="3" t="s">
        <v>4201</v>
      </c>
    </row>
    <row r="314" spans="1:7">
      <c r="A314" s="6">
        <v>42908</v>
      </c>
      <c r="B314" s="3" t="s">
        <v>4621</v>
      </c>
      <c r="C314" s="3" t="s">
        <v>32</v>
      </c>
      <c r="D314" s="8" t="str">
        <f>HYPERLINK("http://npthd.inbcu.com/ViewContent.aspx?filename=NPMR_FOX_2017-06-22_E.MP4$2713$2825","LOCAL")</f>
        <v>LOCAL</v>
      </c>
      <c r="E314" s="3" t="s">
        <v>4791</v>
      </c>
      <c r="F314" s="3" t="s">
        <v>4201</v>
      </c>
      <c r="G314" s="3" t="s">
        <v>3717</v>
      </c>
    </row>
    <row r="315" spans="1:7">
      <c r="A315" s="6">
        <v>42908</v>
      </c>
      <c r="B315" s="3" t="s">
        <v>4621</v>
      </c>
      <c r="C315" s="3" t="s">
        <v>18</v>
      </c>
      <c r="D315" s="8" t="str">
        <f>HYPERLINK("http://npthd.inbcu.com/ViewContent.aspx?filename=NPMR_FOX_2017-06-22_E.MP4$2825$3310","BEAT SHAZAM: 104")</f>
        <v>BEAT SHAZAM: 104</v>
      </c>
      <c r="E315" s="3" t="s">
        <v>727</v>
      </c>
      <c r="F315" s="3" t="s">
        <v>3717</v>
      </c>
      <c r="G315" s="3" t="s">
        <v>4811</v>
      </c>
    </row>
    <row r="316" spans="1:7">
      <c r="A316" s="6">
        <v>42908</v>
      </c>
      <c r="B316" s="3" t="s">
        <v>4621</v>
      </c>
      <c r="C316" s="3" t="s">
        <v>21</v>
      </c>
      <c r="D316" s="8" t="str">
        <f>HYPERLINK("http://npthd.inbcu.com/ViewContent.aspx?filename=NPMR_FOX_2017-06-22_E.MP4$3310$3431","COMMERCIAL")</f>
        <v>COMMERCIAL</v>
      </c>
      <c r="E316" s="3" t="s">
        <v>175</v>
      </c>
      <c r="F316" s="3" t="s">
        <v>4811</v>
      </c>
      <c r="G316" s="3" t="s">
        <v>3572</v>
      </c>
    </row>
    <row r="317" spans="1:7">
      <c r="A317" s="6">
        <v>42908</v>
      </c>
      <c r="B317" s="3" t="s">
        <v>4621</v>
      </c>
      <c r="C317" s="3" t="s">
        <v>14</v>
      </c>
      <c r="D317" s="8" t="str">
        <f>HYPERLINK("http://npthd.inbcu.com/ViewContent.aspx?filename=NPMR_FOX_2017-06-22_E.MP4$3431$3446","So You Think You Can Dance?")</f>
        <v>So You Think You Can Dance?</v>
      </c>
      <c r="E317" s="3" t="s">
        <v>30</v>
      </c>
      <c r="F317" s="3" t="s">
        <v>3572</v>
      </c>
      <c r="G317" s="3" t="s">
        <v>3573</v>
      </c>
    </row>
    <row r="318" spans="1:7">
      <c r="A318" s="6">
        <v>42908</v>
      </c>
      <c r="B318" s="3" t="s">
        <v>4621</v>
      </c>
      <c r="C318" s="3" t="s">
        <v>32</v>
      </c>
      <c r="D318" s="8" t="str">
        <f>HYPERLINK("http://npthd.inbcu.com/ViewContent.aspx?filename=NPMR_FOX_2017-06-22_E.MP4$3446$3458","LOCAL")</f>
        <v>LOCAL</v>
      </c>
      <c r="E318" s="3" t="s">
        <v>2057</v>
      </c>
      <c r="F318" s="3" t="s">
        <v>3573</v>
      </c>
      <c r="G318" s="3" t="s">
        <v>4812</v>
      </c>
    </row>
    <row r="319" spans="1:7">
      <c r="A319" s="6">
        <v>42908</v>
      </c>
      <c r="B319" s="3" t="s">
        <v>4621</v>
      </c>
      <c r="C319" s="3" t="s">
        <v>14</v>
      </c>
      <c r="D319" s="8" t="str">
        <f>HYPERLINK("http://npthd.inbcu.com/ViewContent.aspx?filename=NPMR_FOX_2017-06-22_E.MP4$3458$3473","Love Connection")</f>
        <v>Love Connection</v>
      </c>
      <c r="E319" s="3" t="s">
        <v>30</v>
      </c>
      <c r="F319" s="3" t="s">
        <v>4812</v>
      </c>
      <c r="G319" s="3" t="s">
        <v>151</v>
      </c>
    </row>
    <row r="320" spans="1:7">
      <c r="A320" s="6">
        <v>42908</v>
      </c>
      <c r="B320" s="3" t="s">
        <v>4621</v>
      </c>
      <c r="C320" s="3" t="s">
        <v>18</v>
      </c>
      <c r="D320" s="8" t="str">
        <f>HYPERLINK("http://npthd.inbcu.com/ViewContent.aspx?filename=NPMR_FOX_2017-06-22_E.MP4$3473$3678","BEAT SHAZAM: 104")</f>
        <v>BEAT SHAZAM: 104</v>
      </c>
      <c r="E320" s="3" t="s">
        <v>4813</v>
      </c>
      <c r="F320" s="3" t="s">
        <v>151</v>
      </c>
      <c r="G320" s="3" t="s">
        <v>4814</v>
      </c>
    </row>
    <row r="321" spans="1:7">
      <c r="A321" s="6">
        <v>42908</v>
      </c>
      <c r="B321" s="3" t="s">
        <v>4621</v>
      </c>
      <c r="C321" s="3" t="s">
        <v>18</v>
      </c>
      <c r="D321" s="8" t="str">
        <f>HYPERLINK("http://npthd.inbcu.com/ViewContent.aspx?filename=NPMR_FOX_2017-06-22_E.MP4$3678$4256","LOVE CONNECTION: 104")</f>
        <v>LOVE CONNECTION: 104</v>
      </c>
      <c r="E321" s="3" t="s">
        <v>2171</v>
      </c>
      <c r="F321" s="3" t="s">
        <v>4814</v>
      </c>
      <c r="G321" s="3" t="s">
        <v>4815</v>
      </c>
    </row>
    <row r="322" spans="1:7">
      <c r="A322" s="6">
        <v>42908</v>
      </c>
      <c r="B322" s="3" t="s">
        <v>4621</v>
      </c>
      <c r="C322" s="3" t="s">
        <v>21</v>
      </c>
      <c r="D322" s="8" t="str">
        <f>HYPERLINK("http://npthd.inbcu.com/ViewContent.aspx?filename=NPMR_FOX_2017-06-22_E.MP4$4256$4407","COMMERCIAL")</f>
        <v>COMMERCIAL</v>
      </c>
      <c r="E322" s="3" t="s">
        <v>91</v>
      </c>
      <c r="F322" s="3" t="s">
        <v>4815</v>
      </c>
      <c r="G322" s="3" t="s">
        <v>4816</v>
      </c>
    </row>
    <row r="323" spans="1:7">
      <c r="A323" s="6">
        <v>42908</v>
      </c>
      <c r="B323" s="3" t="s">
        <v>4621</v>
      </c>
      <c r="C323" s="3" t="s">
        <v>14</v>
      </c>
      <c r="D323" s="8" t="str">
        <f>HYPERLINK("http://npthd.inbcu.com/ViewContent.aspx?filename=NPMR_FOX_2017-06-22_E.MP4$4407$4437","Gifted")</f>
        <v>Gifted</v>
      </c>
      <c r="E323" s="3" t="s">
        <v>38</v>
      </c>
      <c r="F323" s="3" t="s">
        <v>4816</v>
      </c>
      <c r="G323" s="3" t="s">
        <v>4817</v>
      </c>
    </row>
    <row r="324" spans="1:7">
      <c r="A324" s="6">
        <v>42908</v>
      </c>
      <c r="B324" s="3" t="s">
        <v>4621</v>
      </c>
      <c r="C324" s="3" t="s">
        <v>18</v>
      </c>
      <c r="D324" s="8" t="str">
        <f>HYPERLINK("http://npthd.inbcu.com/ViewContent.aspx?filename=NPMR_FOX_2017-06-22_E.MP4$4437$4918","LOVE CONNECTION: 104")</f>
        <v>LOVE CONNECTION: 104</v>
      </c>
      <c r="E324" s="3" t="s">
        <v>1963</v>
      </c>
      <c r="F324" s="3" t="s">
        <v>4817</v>
      </c>
      <c r="G324" s="3" t="s">
        <v>4818</v>
      </c>
    </row>
    <row r="325" spans="1:7">
      <c r="A325" s="6">
        <v>42908</v>
      </c>
      <c r="B325" s="3" t="s">
        <v>4621</v>
      </c>
      <c r="C325" s="3" t="s">
        <v>21</v>
      </c>
      <c r="D325" s="8" t="str">
        <f>HYPERLINK("http://npthd.inbcu.com/ViewContent.aspx?filename=NPMR_FOX_2017-06-22_E.MP4$4918$5008","COMMERCIAL")</f>
        <v>COMMERCIAL</v>
      </c>
      <c r="E325" s="3" t="s">
        <v>46</v>
      </c>
      <c r="F325" s="3" t="s">
        <v>4818</v>
      </c>
      <c r="G325" s="3" t="s">
        <v>4819</v>
      </c>
    </row>
    <row r="326" spans="1:7">
      <c r="A326" s="6">
        <v>42908</v>
      </c>
      <c r="B326" s="3" t="s">
        <v>4621</v>
      </c>
      <c r="C326" s="3" t="s">
        <v>14</v>
      </c>
      <c r="D326" s="8" t="str">
        <f>HYPERLINK("http://npthd.inbcu.com/ViewContent.aspx?filename=NPMR_FOX_2017-06-22_E.MP4$5008$5023","Incredible Dr. Pol (Nat Geo Wild)")</f>
        <v>Incredible Dr. Pol (Nat Geo Wild)</v>
      </c>
      <c r="E326" s="3" t="s">
        <v>30</v>
      </c>
      <c r="F326" s="3" t="s">
        <v>4819</v>
      </c>
      <c r="G326" s="3" t="s">
        <v>1790</v>
      </c>
    </row>
    <row r="327" spans="1:7">
      <c r="A327" s="6">
        <v>42908</v>
      </c>
      <c r="B327" s="3" t="s">
        <v>4621</v>
      </c>
      <c r="C327" s="3" t="s">
        <v>32</v>
      </c>
      <c r="D327" s="8" t="str">
        <f>HYPERLINK("http://npthd.inbcu.com/ViewContent.aspx?filename=NPMR_FOX_2017-06-22_E.MP4$5023$5164","LOCAL")</f>
        <v>LOCAL</v>
      </c>
      <c r="E327" s="3" t="s">
        <v>1753</v>
      </c>
      <c r="F327" s="3" t="s">
        <v>1790</v>
      </c>
      <c r="G327" s="3" t="s">
        <v>4820</v>
      </c>
    </row>
    <row r="328" spans="1:7">
      <c r="A328" s="6">
        <v>42908</v>
      </c>
      <c r="B328" s="3" t="s">
        <v>4621</v>
      </c>
      <c r="C328" s="3" t="s">
        <v>18</v>
      </c>
      <c r="D328" s="8" t="str">
        <f>HYPERLINK("http://npthd.inbcu.com/ViewContent.aspx?filename=NPMR_FOX_2017-06-22_E.MP4$5164$5422","LOVE CONNECTION: 104")</f>
        <v>LOVE CONNECTION: 104</v>
      </c>
      <c r="E328" s="3" t="s">
        <v>2125</v>
      </c>
      <c r="F328" s="3" t="s">
        <v>4820</v>
      </c>
      <c r="G328" s="3" t="s">
        <v>4821</v>
      </c>
    </row>
    <row r="329" spans="1:7">
      <c r="A329" s="6">
        <v>42908</v>
      </c>
      <c r="B329" s="3" t="s">
        <v>4621</v>
      </c>
      <c r="C329" s="3" t="s">
        <v>21</v>
      </c>
      <c r="D329" s="8" t="str">
        <f>HYPERLINK("http://npthd.inbcu.com/ViewContent.aspx?filename=NPMR_FOX_2017-06-22_E.MP4$5422$5602","COMMERCIAL")</f>
        <v>COMMERCIAL</v>
      </c>
      <c r="E329" s="3" t="s">
        <v>22</v>
      </c>
      <c r="F329" s="3" t="s">
        <v>4821</v>
      </c>
      <c r="G329" s="3" t="s">
        <v>4822</v>
      </c>
    </row>
    <row r="330" spans="1:7">
      <c r="A330" s="6">
        <v>42908</v>
      </c>
      <c r="B330" s="3" t="s">
        <v>4621</v>
      </c>
      <c r="C330" s="3" t="s">
        <v>14</v>
      </c>
      <c r="D330" s="8" t="str">
        <f>HYPERLINK("http://npthd.inbcu.com/ViewContent.aspx?filename=NPMR_FOX_2017-06-22_E.MP4$5602$5622","So You Think You Can Dance?")</f>
        <v>So You Think You Can Dance?</v>
      </c>
      <c r="E330" s="3" t="s">
        <v>1805</v>
      </c>
      <c r="F330" s="3" t="s">
        <v>4822</v>
      </c>
      <c r="G330" s="3" t="s">
        <v>4823</v>
      </c>
    </row>
    <row r="331" spans="1:7">
      <c r="A331" s="6">
        <v>42908</v>
      </c>
      <c r="B331" s="3" t="s">
        <v>4621</v>
      </c>
      <c r="C331" s="3" t="s">
        <v>18</v>
      </c>
      <c r="D331" s="8" t="str">
        <f>HYPERLINK("http://npthd.inbcu.com/ViewContent.aspx?filename=NPMR_FOX_2017-06-22_E.MP4$5622$6205","LOVE CONNECTION: 104")</f>
        <v>LOVE CONNECTION: 104</v>
      </c>
      <c r="E331" s="3" t="s">
        <v>3344</v>
      </c>
      <c r="F331" s="3" t="s">
        <v>4823</v>
      </c>
      <c r="G331" s="3" t="s">
        <v>2475</v>
      </c>
    </row>
    <row r="332" spans="1:7">
      <c r="A332" s="6">
        <v>42908</v>
      </c>
      <c r="B332" s="3" t="s">
        <v>4621</v>
      </c>
      <c r="C332" s="3" t="s">
        <v>21</v>
      </c>
      <c r="D332" s="8" t="str">
        <f>HYPERLINK("http://npthd.inbcu.com/ViewContent.aspx?filename=NPMR_FOX_2017-06-22_E.MP4$6205$6311","COMMERCIAL")</f>
        <v>COMMERCIAL</v>
      </c>
      <c r="E332" s="3" t="s">
        <v>293</v>
      </c>
      <c r="F332" s="3" t="s">
        <v>2475</v>
      </c>
      <c r="G332" s="3" t="s">
        <v>1508</v>
      </c>
    </row>
    <row r="333" spans="1:7">
      <c r="A333" s="6">
        <v>42908</v>
      </c>
      <c r="B333" s="3" t="s">
        <v>4621</v>
      </c>
      <c r="C333" s="3" t="s">
        <v>14</v>
      </c>
      <c r="D333" s="8" t="str">
        <f>HYPERLINK("http://npthd.inbcu.com/ViewContent.aspx?filename=NPMR_FOX_2017-06-22_E.MP4$6311$6331","Snowfall (FX)")</f>
        <v>Snowfall (FX)</v>
      </c>
      <c r="E333" s="3" t="s">
        <v>1805</v>
      </c>
      <c r="F333" s="3" t="s">
        <v>1508</v>
      </c>
      <c r="G333" s="3" t="s">
        <v>4824</v>
      </c>
    </row>
    <row r="334" spans="1:7">
      <c r="A334" s="6">
        <v>42908</v>
      </c>
      <c r="B334" s="3" t="s">
        <v>4621</v>
      </c>
      <c r="C334" s="3" t="s">
        <v>32</v>
      </c>
      <c r="D334" s="8" t="str">
        <f>HYPERLINK("http://npthd.inbcu.com/ViewContent.aspx?filename=NPMR_FOX_2017-06-22_E.MP4$6331$6423","LOCAL")</f>
        <v>LOCAL</v>
      </c>
      <c r="E334" s="3" t="s">
        <v>267</v>
      </c>
      <c r="F334" s="3" t="s">
        <v>4824</v>
      </c>
      <c r="G334" s="3" t="s">
        <v>3269</v>
      </c>
    </row>
    <row r="335" spans="1:7">
      <c r="A335" s="6">
        <v>42908</v>
      </c>
      <c r="B335" s="3" t="s">
        <v>4621</v>
      </c>
      <c r="C335" s="3" t="s">
        <v>18</v>
      </c>
      <c r="D335" s="8" t="str">
        <f>HYPERLINK("http://npthd.inbcu.com/ViewContent.aspx?filename=NPMR_FOX_2017-06-22_E.MP4$6423$6692","LOVE CONNECTION: 104")</f>
        <v>LOVE CONNECTION: 104</v>
      </c>
      <c r="E335" s="3" t="s">
        <v>2217</v>
      </c>
      <c r="F335" s="3" t="s">
        <v>3269</v>
      </c>
      <c r="G335" s="3" t="s">
        <v>4412</v>
      </c>
    </row>
    <row r="336" spans="1:7">
      <c r="A336" s="6">
        <v>42908</v>
      </c>
      <c r="B336" s="3" t="s">
        <v>4621</v>
      </c>
      <c r="C336" s="3" t="s">
        <v>21</v>
      </c>
      <c r="D336" s="8" t="str">
        <f>HYPERLINK("http://npthd.inbcu.com/ViewContent.aspx?filename=NPMR_FOX_2017-06-22_E.MP4$6692$6783","COMMERCIAL")</f>
        <v>COMMERCIAL</v>
      </c>
      <c r="E336" s="3" t="s">
        <v>77</v>
      </c>
      <c r="F336" s="3" t="s">
        <v>4412</v>
      </c>
      <c r="G336" s="3" t="s">
        <v>4778</v>
      </c>
    </row>
    <row r="337" spans="1:7">
      <c r="A337" s="6">
        <v>42908</v>
      </c>
      <c r="B337" s="3" t="s">
        <v>4621</v>
      </c>
      <c r="C337" s="3" t="s">
        <v>14</v>
      </c>
      <c r="D337" s="8" t="str">
        <f>HYPERLINK("http://npthd.inbcu.com/ViewContent.aspx?filename=NPMR_FOX_2017-06-22_E.MP4$6783$6798","American Grit")</f>
        <v>American Grit</v>
      </c>
      <c r="E337" s="3" t="s">
        <v>30</v>
      </c>
      <c r="F337" s="3" t="s">
        <v>4778</v>
      </c>
      <c r="G337" s="3" t="s">
        <v>4779</v>
      </c>
    </row>
    <row r="338" spans="1:7">
      <c r="A338" s="6">
        <v>42908</v>
      </c>
      <c r="B338" s="3" t="s">
        <v>4621</v>
      </c>
      <c r="C338" s="3" t="s">
        <v>32</v>
      </c>
      <c r="D338" s="8" t="str">
        <f>HYPERLINK("http://npthd.inbcu.com/ViewContent.aspx?filename=NPMR_FOX_2017-06-22_E.MP4$6798$6819","LOCAL")</f>
        <v>LOCAL</v>
      </c>
      <c r="E338" s="3" t="s">
        <v>2067</v>
      </c>
      <c r="F338" s="3" t="s">
        <v>4779</v>
      </c>
      <c r="G338" s="3" t="s">
        <v>664</v>
      </c>
    </row>
    <row r="339" spans="1:7">
      <c r="A339" s="6">
        <v>42908</v>
      </c>
      <c r="B339" s="3" t="s">
        <v>4621</v>
      </c>
      <c r="C339" s="3" t="s">
        <v>14</v>
      </c>
      <c r="D339" s="8" t="str">
        <f>HYPERLINK("http://npthd.inbcu.com/ViewContent.aspx?filename=NPMR_FOX_2017-06-22_E.MP4$6819$6839","Super Human")</f>
        <v>Super Human</v>
      </c>
      <c r="E339" s="3" t="s">
        <v>1805</v>
      </c>
      <c r="F339" s="3" t="s">
        <v>664</v>
      </c>
      <c r="G339" s="3" t="s">
        <v>2033</v>
      </c>
    </row>
    <row r="340" spans="1:7">
      <c r="A340" s="6">
        <v>42908</v>
      </c>
      <c r="B340" s="3" t="s">
        <v>4621</v>
      </c>
      <c r="C340" s="3" t="s">
        <v>18</v>
      </c>
      <c r="D340" s="8" t="str">
        <f>HYPERLINK("http://npthd.inbcu.com/ViewContent.aspx?filename=NPMR_FOX_2017-06-22_E.MP4$6839$7255","LOVE CONNECTION: 104")</f>
        <v>LOVE CONNECTION: 104</v>
      </c>
      <c r="E340" s="3" t="s">
        <v>3577</v>
      </c>
      <c r="F340" s="3" t="s">
        <v>2033</v>
      </c>
      <c r="G340" s="3" t="s">
        <v>3393</v>
      </c>
    </row>
    <row r="341" spans="1:7">
      <c r="A341" s="6">
        <v>42908</v>
      </c>
      <c r="B341" s="3" t="s">
        <v>4621</v>
      </c>
      <c r="C341" s="3" t="s">
        <v>32</v>
      </c>
      <c r="D341" s="8" t="str">
        <f>HYPERLINK("http://npthd.inbcu.com/ViewContent.aspx?filename=NPMR_FOX_2017-06-22_E.MP4$7255$7266","LOCAL")</f>
        <v>LOCAL</v>
      </c>
      <c r="E341" s="3" t="s">
        <v>1940</v>
      </c>
      <c r="F341" s="3" t="s">
        <v>3393</v>
      </c>
      <c r="G341" s="3" t="s">
        <v>394</v>
      </c>
    </row>
    <row r="342" spans="1:7">
      <c r="A342" s="6">
        <v>42909</v>
      </c>
      <c r="B342" s="3" t="s">
        <v>4621</v>
      </c>
      <c r="C342" s="3" t="s">
        <v>18</v>
      </c>
      <c r="D342" s="8" t="str">
        <f>HYPERLINK("http://npthd.inbcu.com/ViewContent.aspx?filename=NPMR_FOX_2017-06-23_E.MP4$65$682","MASTERCHEF: americas grocery bag")</f>
        <v>MASTERCHEF: americas grocery bag</v>
      </c>
      <c r="E342" s="3" t="s">
        <v>4825</v>
      </c>
      <c r="F342" s="3" t="s">
        <v>16</v>
      </c>
      <c r="G342" s="3" t="s">
        <v>4826</v>
      </c>
    </row>
    <row r="343" spans="1:7">
      <c r="A343" s="6">
        <v>42909</v>
      </c>
      <c r="B343" s="3" t="s">
        <v>4621</v>
      </c>
      <c r="C343" s="3" t="s">
        <v>21</v>
      </c>
      <c r="D343" s="8" t="str">
        <f>HYPERLINK("http://npthd.inbcu.com/ViewContent.aspx?filename=NPMR_FOX_2017-06-23_E.MP4$682$849","COMMERCIAL")</f>
        <v>COMMERCIAL</v>
      </c>
      <c r="E343" s="3" t="s">
        <v>1217</v>
      </c>
      <c r="F343" s="3" t="s">
        <v>4826</v>
      </c>
      <c r="G343" s="3" t="s">
        <v>4827</v>
      </c>
    </row>
    <row r="344" spans="1:7">
      <c r="A344" s="6">
        <v>42909</v>
      </c>
      <c r="B344" s="3" t="s">
        <v>4621</v>
      </c>
      <c r="C344" s="3" t="s">
        <v>1618</v>
      </c>
      <c r="D344" s="8" t="str">
        <f>HYPERLINK("http://npthd.inbcu.com/ViewContent.aspx?filename=NPMR_FOX_2017-06-23_E.MP4$849$869","PSA")</f>
        <v>PSA</v>
      </c>
      <c r="E344" s="3" t="s">
        <v>1805</v>
      </c>
      <c r="F344" s="3" t="s">
        <v>4827</v>
      </c>
      <c r="G344" s="3" t="s">
        <v>4828</v>
      </c>
    </row>
    <row r="345" spans="1:7">
      <c r="A345" s="6">
        <v>42909</v>
      </c>
      <c r="B345" s="3" t="s">
        <v>4621</v>
      </c>
      <c r="C345" s="3" t="s">
        <v>14</v>
      </c>
      <c r="D345" s="8" t="str">
        <f>HYPERLINK("http://npthd.inbcu.com/ViewContent.aspx?filename=NPMR_FOX_2017-06-23_E.MP4$869$889","F Word, The")</f>
        <v>F Word, The</v>
      </c>
      <c r="E345" s="3" t="s">
        <v>1805</v>
      </c>
      <c r="F345" s="3" t="s">
        <v>4828</v>
      </c>
      <c r="G345" s="3" t="s">
        <v>4829</v>
      </c>
    </row>
    <row r="346" spans="1:7">
      <c r="A346" s="6">
        <v>42909</v>
      </c>
      <c r="B346" s="3" t="s">
        <v>4621</v>
      </c>
      <c r="C346" s="3" t="s">
        <v>18</v>
      </c>
      <c r="D346" s="8" t="str">
        <f>HYPERLINK("http://npthd.inbcu.com/ViewContent.aspx?filename=NPMR_FOX_2017-06-23_E.MP4$889$1377","MASTERCHEF: americas grocery bag")</f>
        <v>MASTERCHEF: americas grocery bag</v>
      </c>
      <c r="E346" s="3" t="s">
        <v>1546</v>
      </c>
      <c r="F346" s="3" t="s">
        <v>4829</v>
      </c>
      <c r="G346" s="3" t="s">
        <v>3763</v>
      </c>
    </row>
    <row r="347" spans="1:7">
      <c r="A347" s="6">
        <v>42909</v>
      </c>
      <c r="B347" s="3" t="s">
        <v>4621</v>
      </c>
      <c r="C347" s="3" t="s">
        <v>21</v>
      </c>
      <c r="D347" s="8" t="str">
        <f>HYPERLINK("http://npthd.inbcu.com/ViewContent.aspx?filename=NPMR_FOX_2017-06-23_E.MP4$1377$1467","COMMERCIAL")</f>
        <v>COMMERCIAL</v>
      </c>
      <c r="E347" s="3" t="s">
        <v>46</v>
      </c>
      <c r="F347" s="3" t="s">
        <v>3763</v>
      </c>
      <c r="G347" s="3" t="s">
        <v>3764</v>
      </c>
    </row>
    <row r="348" spans="1:7">
      <c r="A348" s="6">
        <v>42909</v>
      </c>
      <c r="B348" s="3" t="s">
        <v>4621</v>
      </c>
      <c r="C348" s="3" t="s">
        <v>14</v>
      </c>
      <c r="D348" s="8" t="str">
        <f>HYPERLINK("http://npthd.inbcu.com/ViewContent.aspx?filename=NPMR_FOX_2017-06-23_E.MP4$1467$1483","Masterchef (Fox.com)")</f>
        <v>Masterchef (Fox.com)</v>
      </c>
      <c r="E348" s="3" t="s">
        <v>64</v>
      </c>
      <c r="F348" s="3" t="s">
        <v>3764</v>
      </c>
      <c r="G348" s="3" t="s">
        <v>2613</v>
      </c>
    </row>
    <row r="349" spans="1:7">
      <c r="A349" s="6">
        <v>42909</v>
      </c>
      <c r="B349" s="3" t="s">
        <v>4621</v>
      </c>
      <c r="C349" s="3" t="s">
        <v>32</v>
      </c>
      <c r="D349" s="8" t="str">
        <f>HYPERLINK("http://npthd.inbcu.com/ViewContent.aspx?filename=NPMR_FOX_2017-06-23_E.MP4$1483$1604","LOCAL")</f>
        <v>LOCAL</v>
      </c>
      <c r="E349" s="3" t="s">
        <v>175</v>
      </c>
      <c r="F349" s="3" t="s">
        <v>2613</v>
      </c>
      <c r="G349" s="3" t="s">
        <v>4830</v>
      </c>
    </row>
    <row r="350" spans="1:7">
      <c r="A350" s="6">
        <v>42909</v>
      </c>
      <c r="B350" s="3" t="s">
        <v>4621</v>
      </c>
      <c r="C350" s="3" t="s">
        <v>14</v>
      </c>
      <c r="D350" s="8" t="str">
        <f>HYPERLINK("http://npthd.inbcu.com/ViewContent.aspx?filename=NPMR_FOX_2017-06-23_E.MP4$1604$1620","Snowfall (FX)")</f>
        <v>Snowfall (FX)</v>
      </c>
      <c r="E350" s="3" t="s">
        <v>64</v>
      </c>
      <c r="F350" s="3" t="s">
        <v>4830</v>
      </c>
      <c r="G350" s="3" t="s">
        <v>134</v>
      </c>
    </row>
    <row r="351" spans="1:7">
      <c r="A351" s="6">
        <v>42909</v>
      </c>
      <c r="B351" s="3" t="s">
        <v>4621</v>
      </c>
      <c r="C351" s="3" t="s">
        <v>18</v>
      </c>
      <c r="D351" s="8" t="str">
        <f>HYPERLINK("http://npthd.inbcu.com/ViewContent.aspx?filename=NPMR_FOX_2017-06-23_E.MP4$1620$1985","MASTERCHEF: americas grocery bag")</f>
        <v>MASTERCHEF: americas grocery bag</v>
      </c>
      <c r="E351" s="3" t="s">
        <v>1100</v>
      </c>
      <c r="F351" s="3" t="s">
        <v>134</v>
      </c>
      <c r="G351" s="3" t="s">
        <v>4831</v>
      </c>
    </row>
    <row r="352" spans="1:7">
      <c r="A352" s="6">
        <v>42909</v>
      </c>
      <c r="B352" s="3" t="s">
        <v>4621</v>
      </c>
      <c r="C352" s="3" t="s">
        <v>21</v>
      </c>
      <c r="D352" s="8" t="str">
        <f>HYPERLINK("http://npthd.inbcu.com/ViewContent.aspx?filename=NPMR_FOX_2017-06-23_E.MP4$1985$2166","COMMERCIAL")</f>
        <v>COMMERCIAL</v>
      </c>
      <c r="E352" s="3" t="s">
        <v>108</v>
      </c>
      <c r="F352" s="3" t="s">
        <v>4831</v>
      </c>
      <c r="G352" s="3" t="s">
        <v>4832</v>
      </c>
    </row>
    <row r="353" spans="1:7">
      <c r="A353" s="6">
        <v>42909</v>
      </c>
      <c r="B353" s="3" t="s">
        <v>4621</v>
      </c>
      <c r="C353" s="3" t="s">
        <v>14</v>
      </c>
      <c r="D353" s="8" t="str">
        <f>HYPERLINK("http://npthd.inbcu.com/ViewContent.aspx?filename=NPMR_FOX_2017-06-23_E.MP4$2166$2186","American Grit")</f>
        <v>American Grit</v>
      </c>
      <c r="E353" s="3" t="s">
        <v>1805</v>
      </c>
      <c r="F353" s="3" t="s">
        <v>4832</v>
      </c>
      <c r="G353" s="3" t="s">
        <v>4833</v>
      </c>
    </row>
    <row r="354" spans="1:7">
      <c r="A354" s="6">
        <v>42909</v>
      </c>
      <c r="B354" s="3" t="s">
        <v>4621</v>
      </c>
      <c r="C354" s="3" t="s">
        <v>18</v>
      </c>
      <c r="D354" s="8" t="str">
        <f>HYPERLINK("http://npthd.inbcu.com/ViewContent.aspx?filename=NPMR_FOX_2017-06-23_E.MP4$2186$2523","MASTERCHEF: americas grocery bag")</f>
        <v>MASTERCHEF: americas grocery bag</v>
      </c>
      <c r="E354" s="3" t="s">
        <v>2045</v>
      </c>
      <c r="F354" s="3" t="s">
        <v>4833</v>
      </c>
      <c r="G354" s="3" t="s">
        <v>4834</v>
      </c>
    </row>
    <row r="355" spans="1:7">
      <c r="A355" s="6">
        <v>42909</v>
      </c>
      <c r="B355" s="3" t="s">
        <v>4621</v>
      </c>
      <c r="C355" s="3" t="s">
        <v>21</v>
      </c>
      <c r="D355" s="8" t="str">
        <f>HYPERLINK("http://npthd.inbcu.com/ViewContent.aspx?filename=NPMR_FOX_2017-06-23_E.MP4$2523$2644","COMMERCIAL")</f>
        <v>COMMERCIAL</v>
      </c>
      <c r="E355" s="3" t="s">
        <v>175</v>
      </c>
      <c r="F355" s="3" t="s">
        <v>4834</v>
      </c>
      <c r="G355" s="3" t="s">
        <v>4835</v>
      </c>
    </row>
    <row r="356" spans="1:7">
      <c r="A356" s="6">
        <v>42909</v>
      </c>
      <c r="B356" s="3" t="s">
        <v>4621</v>
      </c>
      <c r="C356" s="3" t="s">
        <v>14</v>
      </c>
      <c r="D356" s="8" t="str">
        <f>HYPERLINK("http://npthd.inbcu.com/ViewContent.aspx?filename=NPMR_FOX_2017-06-23_E.MP4$2644$2658","MLB All Star Game")</f>
        <v>MLB All Star Game</v>
      </c>
      <c r="E356" s="3" t="s">
        <v>342</v>
      </c>
      <c r="F356" s="3" t="s">
        <v>4835</v>
      </c>
      <c r="G356" s="3" t="s">
        <v>4836</v>
      </c>
    </row>
    <row r="357" spans="1:7">
      <c r="A357" s="6">
        <v>42909</v>
      </c>
      <c r="B357" s="3" t="s">
        <v>4621</v>
      </c>
      <c r="C357" s="3" t="s">
        <v>32</v>
      </c>
      <c r="D357" s="8" t="str">
        <f>HYPERLINK("http://npthd.inbcu.com/ViewContent.aspx?filename=NPMR_FOX_2017-06-23_E.MP4$2658$2769","LOCAL")</f>
        <v>LOCAL</v>
      </c>
      <c r="E357" s="3" t="s">
        <v>2656</v>
      </c>
      <c r="F357" s="3" t="s">
        <v>4836</v>
      </c>
      <c r="G357" s="3" t="s">
        <v>4837</v>
      </c>
    </row>
    <row r="358" spans="1:7">
      <c r="A358" s="6">
        <v>42909</v>
      </c>
      <c r="B358" s="3" t="s">
        <v>4621</v>
      </c>
      <c r="C358" s="3" t="s">
        <v>18</v>
      </c>
      <c r="D358" s="8" t="str">
        <f>HYPERLINK("http://npthd.inbcu.com/ViewContent.aspx?filename=NPMR_FOX_2017-06-23_E.MP4$2769$3161","MASTERCHEF: americas grocery bag")</f>
        <v>MASTERCHEF: americas grocery bag</v>
      </c>
      <c r="E358" s="3" t="s">
        <v>1222</v>
      </c>
      <c r="F358" s="3" t="s">
        <v>4837</v>
      </c>
      <c r="G358" s="3" t="s">
        <v>4150</v>
      </c>
    </row>
    <row r="359" spans="1:7">
      <c r="A359" s="6">
        <v>42909</v>
      </c>
      <c r="B359" s="3" t="s">
        <v>4621</v>
      </c>
      <c r="C359" s="3" t="s">
        <v>21</v>
      </c>
      <c r="D359" s="8" t="str">
        <f>HYPERLINK("http://npthd.inbcu.com/ViewContent.aspx?filename=NPMR_FOX_2017-06-23_E.MP4$3161$3312","COMMERCIAL")</f>
        <v>COMMERCIAL</v>
      </c>
      <c r="E359" s="3" t="s">
        <v>91</v>
      </c>
      <c r="F359" s="3" t="s">
        <v>4150</v>
      </c>
      <c r="G359" s="3" t="s">
        <v>4838</v>
      </c>
    </row>
    <row r="360" spans="1:7">
      <c r="A360" s="6">
        <v>42909</v>
      </c>
      <c r="B360" s="3" t="s">
        <v>4621</v>
      </c>
      <c r="C360" s="3" t="s">
        <v>14</v>
      </c>
      <c r="D360" s="8" t="str">
        <f>HYPERLINK("http://npthd.inbcu.com/ViewContent.aspx?filename=NPMR_FOX_2017-06-23_E.MP4$3312$3327","Super Human")</f>
        <v>Super Human</v>
      </c>
      <c r="E360" s="3" t="s">
        <v>30</v>
      </c>
      <c r="F360" s="3" t="s">
        <v>4838</v>
      </c>
      <c r="G360" s="3" t="s">
        <v>4839</v>
      </c>
    </row>
    <row r="361" spans="1:7">
      <c r="A361" s="6">
        <v>42909</v>
      </c>
      <c r="B361" s="3" t="s">
        <v>4621</v>
      </c>
      <c r="C361" s="3" t="s">
        <v>32</v>
      </c>
      <c r="D361" s="8" t="str">
        <f>HYPERLINK("http://npthd.inbcu.com/ViewContent.aspx?filename=NPMR_FOX_2017-06-23_E.MP4$3327$3338","LOCAL")</f>
        <v>LOCAL</v>
      </c>
      <c r="E361" s="3" t="s">
        <v>1940</v>
      </c>
      <c r="F361" s="3" t="s">
        <v>4839</v>
      </c>
      <c r="G361" s="3" t="s">
        <v>4840</v>
      </c>
    </row>
    <row r="362" spans="1:7">
      <c r="A362" s="6">
        <v>42909</v>
      </c>
      <c r="B362" s="3" t="s">
        <v>4621</v>
      </c>
      <c r="C362" s="3" t="s">
        <v>14</v>
      </c>
      <c r="D362" s="8" t="str">
        <f>HYPERLINK("http://npthd.inbcu.com/ViewContent.aspx?filename=NPMR_FOX_2017-06-23_E.MP4$3338$3359","So You Think You Can Dance?")</f>
        <v>So You Think You Can Dance?</v>
      </c>
      <c r="E362" s="3" t="s">
        <v>2067</v>
      </c>
      <c r="F362" s="3" t="s">
        <v>4840</v>
      </c>
      <c r="G362" s="3" t="s">
        <v>444</v>
      </c>
    </row>
    <row r="363" spans="1:7">
      <c r="A363" s="6">
        <v>42909</v>
      </c>
      <c r="B363" s="3" t="s">
        <v>4621</v>
      </c>
      <c r="C363" s="3" t="s">
        <v>18</v>
      </c>
      <c r="D363" s="8" t="str">
        <f>HYPERLINK("http://npthd.inbcu.com/ViewContent.aspx?filename=NPMR_FOX_2017-06-23_E.MP4$3359$3668","MASTERCHEF: americas grocery bag")</f>
        <v>MASTERCHEF: americas grocery bag</v>
      </c>
      <c r="E363" s="3" t="s">
        <v>480</v>
      </c>
      <c r="F363" s="3" t="s">
        <v>444</v>
      </c>
      <c r="G363" s="3" t="s">
        <v>4841</v>
      </c>
    </row>
    <row r="364" spans="1:7">
      <c r="A364" s="6">
        <v>42909</v>
      </c>
      <c r="B364" s="3" t="s">
        <v>4621</v>
      </c>
      <c r="C364" s="3" t="s">
        <v>18</v>
      </c>
      <c r="D364" s="8" t="str">
        <f>HYPERLINK("http://npthd.inbcu.com/ViewContent.aspx?filename=NPMR_FOX_2017-06-23_E.MP4$3668$4536","BEAT SHAZAM: 102")</f>
        <v>BEAT SHAZAM: 102</v>
      </c>
      <c r="E364" s="3" t="s">
        <v>4842</v>
      </c>
      <c r="F364" s="3" t="s">
        <v>4841</v>
      </c>
      <c r="G364" s="3" t="s">
        <v>4843</v>
      </c>
    </row>
    <row r="365" spans="1:7">
      <c r="A365" s="6">
        <v>42909</v>
      </c>
      <c r="B365" s="3" t="s">
        <v>4621</v>
      </c>
      <c r="C365" s="3" t="s">
        <v>21</v>
      </c>
      <c r="D365" s="8" t="str">
        <f>HYPERLINK("http://npthd.inbcu.com/ViewContent.aspx?filename=NPMR_FOX_2017-06-23_E.MP4$4536$4687","COMMERCIAL")</f>
        <v>COMMERCIAL</v>
      </c>
      <c r="E365" s="3" t="s">
        <v>91</v>
      </c>
      <c r="F365" s="3" t="s">
        <v>4843</v>
      </c>
      <c r="G365" s="3" t="s">
        <v>4844</v>
      </c>
    </row>
    <row r="366" spans="1:7">
      <c r="A366" s="6">
        <v>42909</v>
      </c>
      <c r="B366" s="3" t="s">
        <v>4621</v>
      </c>
      <c r="C366" s="3" t="s">
        <v>14</v>
      </c>
      <c r="D366" s="8" t="str">
        <f>HYPERLINK("http://npthd.inbcu.com/ViewContent.aspx?filename=NPMR_FOX_2017-06-23_E.MP4$4687$4707","So You Think You Can Dance?")</f>
        <v>So You Think You Can Dance?</v>
      </c>
      <c r="E366" s="3" t="s">
        <v>1805</v>
      </c>
      <c r="F366" s="3" t="s">
        <v>4844</v>
      </c>
      <c r="G366" s="3" t="s">
        <v>4845</v>
      </c>
    </row>
    <row r="367" spans="1:7">
      <c r="A367" s="6">
        <v>42909</v>
      </c>
      <c r="B367" s="3" t="s">
        <v>4621</v>
      </c>
      <c r="C367" s="3" t="s">
        <v>18</v>
      </c>
      <c r="D367" s="8" t="str">
        <f>HYPERLINK("http://npthd.inbcu.com/ViewContent.aspx?filename=NPMR_FOX_2017-06-23_E.MP4$4707$5107","BEAT SHAZAM: 102")</f>
        <v>BEAT SHAZAM: 102</v>
      </c>
      <c r="E367" s="3" t="s">
        <v>857</v>
      </c>
      <c r="F367" s="3" t="s">
        <v>4845</v>
      </c>
      <c r="G367" s="3" t="s">
        <v>3139</v>
      </c>
    </row>
    <row r="368" spans="1:7">
      <c r="A368" s="6">
        <v>42909</v>
      </c>
      <c r="B368" s="3" t="s">
        <v>4621</v>
      </c>
      <c r="C368" s="3" t="s">
        <v>21</v>
      </c>
      <c r="D368" s="8" t="str">
        <f>HYPERLINK("http://npthd.inbcu.com/ViewContent.aspx?filename=NPMR_FOX_2017-06-23_E.MP4$5107$5197","COMMERCIAL")</f>
        <v>COMMERCIAL</v>
      </c>
      <c r="E368" s="3" t="s">
        <v>46</v>
      </c>
      <c r="F368" s="3" t="s">
        <v>3139</v>
      </c>
      <c r="G368" s="3" t="s">
        <v>4846</v>
      </c>
    </row>
    <row r="369" spans="1:7">
      <c r="A369" s="6">
        <v>42909</v>
      </c>
      <c r="B369" s="3" t="s">
        <v>4621</v>
      </c>
      <c r="C369" s="3" t="s">
        <v>14</v>
      </c>
      <c r="D369" s="8" t="str">
        <f>HYPERLINK("http://npthd.inbcu.com/ViewContent.aspx?filename=NPMR_FOX_2017-06-23_E.MP4$5197$5212","Fox Sports 1")</f>
        <v>Fox Sports 1</v>
      </c>
      <c r="E369" s="3" t="s">
        <v>30</v>
      </c>
      <c r="F369" s="3" t="s">
        <v>4846</v>
      </c>
      <c r="G369" s="3" t="s">
        <v>4847</v>
      </c>
    </row>
    <row r="370" spans="1:7">
      <c r="A370" s="6">
        <v>42909</v>
      </c>
      <c r="B370" s="3" t="s">
        <v>4621</v>
      </c>
      <c r="C370" s="3" t="s">
        <v>32</v>
      </c>
      <c r="D370" s="8" t="str">
        <f>HYPERLINK("http://npthd.inbcu.com/ViewContent.aspx?filename=NPMR_FOX_2017-06-23_E.MP4$5212$5353","LOCAL")</f>
        <v>LOCAL</v>
      </c>
      <c r="E370" s="3" t="s">
        <v>1753</v>
      </c>
      <c r="F370" s="3" t="s">
        <v>4847</v>
      </c>
      <c r="G370" s="3" t="s">
        <v>3428</v>
      </c>
    </row>
    <row r="371" spans="1:7">
      <c r="A371" s="6">
        <v>42909</v>
      </c>
      <c r="B371" s="3" t="s">
        <v>4621</v>
      </c>
      <c r="C371" s="3" t="s">
        <v>18</v>
      </c>
      <c r="D371" s="8" t="str">
        <f>HYPERLINK("http://npthd.inbcu.com/ViewContent.aspx?filename=NPMR_FOX_2017-06-23_E.MP4$5353$5645","BEAT SHAZAM: 102")</f>
        <v>BEAT SHAZAM: 102</v>
      </c>
      <c r="E371" s="3" t="s">
        <v>4848</v>
      </c>
      <c r="F371" s="3" t="s">
        <v>3428</v>
      </c>
      <c r="G371" s="3" t="s">
        <v>2977</v>
      </c>
    </row>
    <row r="372" spans="1:7">
      <c r="A372" s="6">
        <v>42909</v>
      </c>
      <c r="B372" s="3" t="s">
        <v>4621</v>
      </c>
      <c r="C372" s="3" t="s">
        <v>21</v>
      </c>
      <c r="D372" s="8" t="str">
        <f>HYPERLINK("http://npthd.inbcu.com/ViewContent.aspx?filename=NPMR_FOX_2017-06-23_E.MP4$5645$5825","COMMERCIAL")</f>
        <v>COMMERCIAL</v>
      </c>
      <c r="E372" s="3" t="s">
        <v>22</v>
      </c>
      <c r="F372" s="3" t="s">
        <v>2977</v>
      </c>
      <c r="G372" s="3" t="s">
        <v>4849</v>
      </c>
    </row>
    <row r="373" spans="1:7">
      <c r="A373" s="6">
        <v>42909</v>
      </c>
      <c r="B373" s="3" t="s">
        <v>4621</v>
      </c>
      <c r="C373" s="3" t="s">
        <v>14</v>
      </c>
      <c r="D373" s="8" t="str">
        <f>HYPERLINK("http://npthd.inbcu.com/ViewContent.aspx?filename=NPMR_FOX_2017-06-23_E.MP4$5825$5841","National Geographic Channel")</f>
        <v>National Geographic Channel</v>
      </c>
      <c r="E373" s="3" t="s">
        <v>64</v>
      </c>
      <c r="F373" s="3" t="s">
        <v>4849</v>
      </c>
      <c r="G373" s="3" t="s">
        <v>3265</v>
      </c>
    </row>
    <row r="374" spans="1:7">
      <c r="A374" s="6">
        <v>42909</v>
      </c>
      <c r="B374" s="3" t="s">
        <v>4621</v>
      </c>
      <c r="C374" s="3" t="s">
        <v>14</v>
      </c>
      <c r="D374" s="8" t="str">
        <f>HYPERLINK("http://npthd.inbcu.com/ViewContent.aspx?filename=NPMR_FOX_2017-06-23_E.MP4$5841$5861","American Grit")</f>
        <v>American Grit</v>
      </c>
      <c r="E374" s="3" t="s">
        <v>1805</v>
      </c>
      <c r="F374" s="3" t="s">
        <v>3265</v>
      </c>
      <c r="G374" s="3" t="s">
        <v>2825</v>
      </c>
    </row>
    <row r="375" spans="1:7">
      <c r="A375" s="6">
        <v>42909</v>
      </c>
      <c r="B375" s="3" t="s">
        <v>4621</v>
      </c>
      <c r="C375" s="3" t="s">
        <v>18</v>
      </c>
      <c r="D375" s="8" t="str">
        <f>HYPERLINK("http://npthd.inbcu.com/ViewContent.aspx?filename=NPMR_FOX_2017-06-23_E.MP4$5861$6197","BEAT SHAZAM: 102")</f>
        <v>BEAT SHAZAM: 102</v>
      </c>
      <c r="E375" s="3" t="s">
        <v>2048</v>
      </c>
      <c r="F375" s="3" t="s">
        <v>2825</v>
      </c>
      <c r="G375" s="3" t="s">
        <v>4850</v>
      </c>
    </row>
    <row r="376" spans="1:7">
      <c r="A376" s="6">
        <v>42909</v>
      </c>
      <c r="B376" s="3" t="s">
        <v>4621</v>
      </c>
      <c r="C376" s="3" t="s">
        <v>21</v>
      </c>
      <c r="D376" s="8" t="str">
        <f>HYPERLINK("http://npthd.inbcu.com/ViewContent.aspx?filename=NPMR_FOX_2017-06-23_E.MP4$6197$6288","COMMERCIAL")</f>
        <v>COMMERCIAL</v>
      </c>
      <c r="E376" s="3" t="s">
        <v>77</v>
      </c>
      <c r="F376" s="3" t="s">
        <v>4850</v>
      </c>
      <c r="G376" s="3" t="s">
        <v>4851</v>
      </c>
    </row>
    <row r="377" spans="1:7">
      <c r="A377" s="6">
        <v>42909</v>
      </c>
      <c r="B377" s="3" t="s">
        <v>4621</v>
      </c>
      <c r="C377" s="3" t="s">
        <v>14</v>
      </c>
      <c r="D377" s="8" t="str">
        <f>HYPERLINK("http://npthd.inbcu.com/ViewContent.aspx?filename=NPMR_FOX_2017-06-23_E.MP4$6288$6303","Snowfall (FX)")</f>
        <v>Snowfall (FX)</v>
      </c>
      <c r="E377" s="3" t="s">
        <v>30</v>
      </c>
      <c r="F377" s="3" t="s">
        <v>4851</v>
      </c>
      <c r="G377" s="3" t="s">
        <v>4852</v>
      </c>
    </row>
    <row r="378" spans="1:7">
      <c r="A378" s="6">
        <v>42909</v>
      </c>
      <c r="B378" s="3" t="s">
        <v>4621</v>
      </c>
      <c r="C378" s="3" t="s">
        <v>32</v>
      </c>
      <c r="D378" s="8" t="str">
        <f>HYPERLINK("http://npthd.inbcu.com/ViewContent.aspx?filename=NPMR_FOX_2017-06-23_E.MP4$6303$6393","LOCAL")</f>
        <v>LOCAL</v>
      </c>
      <c r="E378" s="3" t="s">
        <v>46</v>
      </c>
      <c r="F378" s="3" t="s">
        <v>4852</v>
      </c>
      <c r="G378" s="3" t="s">
        <v>4853</v>
      </c>
    </row>
    <row r="379" spans="1:7">
      <c r="A379" s="6">
        <v>42909</v>
      </c>
      <c r="B379" s="3" t="s">
        <v>4621</v>
      </c>
      <c r="C379" s="3" t="s">
        <v>14</v>
      </c>
      <c r="D379" s="8" t="str">
        <f>HYPERLINK("http://npthd.inbcu.com/ViewContent.aspx?filename=NPMR_FOX_2017-06-23_E.MP4$6393$6415","Master Chef / F Word")</f>
        <v>Master Chef / F Word</v>
      </c>
      <c r="E379" s="3" t="s">
        <v>2124</v>
      </c>
      <c r="F379" s="3" t="s">
        <v>4853</v>
      </c>
      <c r="G379" s="3" t="s">
        <v>4854</v>
      </c>
    </row>
    <row r="380" spans="1:7">
      <c r="A380" s="6">
        <v>42909</v>
      </c>
      <c r="B380" s="3" t="s">
        <v>4621</v>
      </c>
      <c r="C380" s="3" t="s">
        <v>18</v>
      </c>
      <c r="D380" s="8" t="str">
        <f>HYPERLINK("http://npthd.inbcu.com/ViewContent.aspx?filename=NPMR_FOX_2017-06-23_E.MP4$6415$6910","BEAT SHAZAM: 102")</f>
        <v>BEAT SHAZAM: 102</v>
      </c>
      <c r="E380" s="3" t="s">
        <v>1312</v>
      </c>
      <c r="F380" s="3" t="s">
        <v>4854</v>
      </c>
      <c r="G380" s="3" t="s">
        <v>4855</v>
      </c>
    </row>
    <row r="381" spans="1:7">
      <c r="A381" s="6">
        <v>42909</v>
      </c>
      <c r="B381" s="3" t="s">
        <v>4621</v>
      </c>
      <c r="C381" s="3" t="s">
        <v>21</v>
      </c>
      <c r="D381" s="8" t="str">
        <f>HYPERLINK("http://npthd.inbcu.com/ViewContent.aspx?filename=NPMR_FOX_2017-06-23_E.MP4$6910$7001","COMMERCIAL")</f>
        <v>COMMERCIAL</v>
      </c>
      <c r="E381" s="3" t="s">
        <v>77</v>
      </c>
      <c r="F381" s="3" t="s">
        <v>4855</v>
      </c>
      <c r="G381" s="3" t="s">
        <v>4856</v>
      </c>
    </row>
    <row r="382" spans="1:7">
      <c r="A382" s="6">
        <v>42909</v>
      </c>
      <c r="B382" s="3" t="s">
        <v>4621</v>
      </c>
      <c r="C382" s="3" t="s">
        <v>14</v>
      </c>
      <c r="D382" s="8" t="str">
        <f>HYPERLINK("http://npthd.inbcu.com/ViewContent.aspx?filename=NPMR_FOX_2017-06-23_E.MP4$7001$7021","Super Human")</f>
        <v>Super Human</v>
      </c>
      <c r="E382" s="3" t="s">
        <v>1805</v>
      </c>
      <c r="F382" s="3" t="s">
        <v>4856</v>
      </c>
      <c r="G382" s="3" t="s">
        <v>4218</v>
      </c>
    </row>
    <row r="383" spans="1:7">
      <c r="A383" s="6">
        <v>42909</v>
      </c>
      <c r="B383" s="3" t="s">
        <v>4621</v>
      </c>
      <c r="C383" s="3" t="s">
        <v>32</v>
      </c>
      <c r="D383" s="8" t="str">
        <f>HYPERLINK("http://npthd.inbcu.com/ViewContent.aspx?filename=NPMR_FOX_2017-06-23_E.MP4$7021$7042","LOCAL")</f>
        <v>LOCAL</v>
      </c>
      <c r="E383" s="3" t="s">
        <v>2067</v>
      </c>
      <c r="F383" s="3" t="s">
        <v>4218</v>
      </c>
      <c r="G383" s="3" t="s">
        <v>4572</v>
      </c>
    </row>
    <row r="384" spans="1:7">
      <c r="A384" s="6">
        <v>42909</v>
      </c>
      <c r="B384" s="3" t="s">
        <v>4621</v>
      </c>
      <c r="C384" s="3" t="s">
        <v>14</v>
      </c>
      <c r="D384" s="8" t="str">
        <f>HYPERLINK("http://npthd.inbcu.com/ViewContent.aspx?filename=NPMR_FOX_2017-06-23_E.MP4$7042$7062","Beat Shazam / Love Connection")</f>
        <v>Beat Shazam / Love Connection</v>
      </c>
      <c r="E384" s="3" t="s">
        <v>1805</v>
      </c>
      <c r="F384" s="3" t="s">
        <v>4572</v>
      </c>
      <c r="G384" s="3" t="s">
        <v>563</v>
      </c>
    </row>
    <row r="385" spans="1:7">
      <c r="A385" s="6">
        <v>42909</v>
      </c>
      <c r="B385" s="3" t="s">
        <v>4621</v>
      </c>
      <c r="C385" s="3" t="s">
        <v>18</v>
      </c>
      <c r="D385" s="8" t="str">
        <f>HYPERLINK("http://npthd.inbcu.com/ViewContent.aspx?filename=NPMR_FOX_2017-06-23_E.MP4$7062$7255","BEAT SHAZAM: 102")</f>
        <v>BEAT SHAZAM: 102</v>
      </c>
      <c r="E385" s="3" t="s">
        <v>2899</v>
      </c>
      <c r="F385" s="3" t="s">
        <v>563</v>
      </c>
      <c r="G385" s="3" t="s">
        <v>3097</v>
      </c>
    </row>
    <row r="386" spans="1:7">
      <c r="A386" s="6">
        <v>42909</v>
      </c>
      <c r="B386" s="3" t="s">
        <v>4621</v>
      </c>
      <c r="C386" s="3" t="s">
        <v>32</v>
      </c>
      <c r="D386" s="8" t="str">
        <f>HYPERLINK("http://npthd.inbcu.com/ViewContent.aspx?filename=NPMR_FOX_2017-06-23_E.MP4$7255$7265","LOCAL")</f>
        <v>LOCAL</v>
      </c>
      <c r="E386" s="3" t="s">
        <v>197</v>
      </c>
      <c r="F386" s="3" t="s">
        <v>3097</v>
      </c>
      <c r="G386" s="3" t="s">
        <v>394</v>
      </c>
    </row>
    <row r="387" spans="1:7">
      <c r="A387" s="6">
        <v>42910</v>
      </c>
      <c r="B387" s="3" t="s">
        <v>4621</v>
      </c>
      <c r="C387" s="3" t="s">
        <v>18</v>
      </c>
      <c r="D387" s="8" t="str">
        <f>HYPERLINK("http://npthd.inbcu.com/ViewContent.aspx?filename=NPMR_FOX_2017-06-24_E.MP4$73$156","FOX SPORTS SPECIALS:")</f>
        <v>FOX SPORTS SPECIALS:</v>
      </c>
      <c r="E387" s="3" t="s">
        <v>4857</v>
      </c>
      <c r="F387" s="3" t="s">
        <v>16</v>
      </c>
      <c r="G387" s="3" t="s">
        <v>4858</v>
      </c>
    </row>
    <row r="388" spans="1:7">
      <c r="A388" s="6">
        <v>42910</v>
      </c>
      <c r="B388" s="3" t="s">
        <v>4621</v>
      </c>
      <c r="C388" s="3" t="s">
        <v>21</v>
      </c>
      <c r="D388" s="8" t="str">
        <f>HYPERLINK("http://npthd.inbcu.com/ViewContent.aspx?filename=NPMR_FOX_2017-06-24_E.MP4$156$278","COMMERCIAL")</f>
        <v>COMMERCIAL</v>
      </c>
      <c r="E388" s="3" t="s">
        <v>252</v>
      </c>
      <c r="F388" s="3" t="s">
        <v>4858</v>
      </c>
      <c r="G388" s="3" t="s">
        <v>4859</v>
      </c>
    </row>
    <row r="389" spans="1:7">
      <c r="A389" s="6">
        <v>42910</v>
      </c>
      <c r="B389" s="3" t="s">
        <v>4621</v>
      </c>
      <c r="C389" s="3" t="s">
        <v>18</v>
      </c>
      <c r="D389" s="8" t="str">
        <f>HYPERLINK("http://npthd.inbcu.com/ViewContent.aspx?filename=NPMR_FOX_2017-06-24_E.MP4$278$706","FOX SPORTS SPECIALS:")</f>
        <v>FOX SPORTS SPECIALS:</v>
      </c>
      <c r="E389" s="3" t="s">
        <v>61</v>
      </c>
      <c r="F389" s="3" t="s">
        <v>4859</v>
      </c>
      <c r="G389" s="3" t="s">
        <v>1766</v>
      </c>
    </row>
    <row r="390" spans="1:7">
      <c r="A390" s="6">
        <v>42910</v>
      </c>
      <c r="B390" s="3" t="s">
        <v>4621</v>
      </c>
      <c r="C390" s="3" t="s">
        <v>21</v>
      </c>
      <c r="D390" s="8" t="str">
        <f>HYPERLINK("http://npthd.inbcu.com/ViewContent.aspx?filename=NPMR_FOX_2017-06-24_E.MP4$706$842","COMMERCIAL")</f>
        <v>COMMERCIAL</v>
      </c>
      <c r="E390" s="3" t="s">
        <v>668</v>
      </c>
      <c r="F390" s="3" t="s">
        <v>1766</v>
      </c>
      <c r="G390" s="3" t="s">
        <v>1399</v>
      </c>
    </row>
    <row r="391" spans="1:7">
      <c r="A391" s="6">
        <v>42910</v>
      </c>
      <c r="B391" s="3" t="s">
        <v>4621</v>
      </c>
      <c r="C391" s="3" t="s">
        <v>18</v>
      </c>
      <c r="D391" s="8" t="str">
        <f>HYPERLINK("http://npthd.inbcu.com/ViewContent.aspx?filename=NPMR_FOX_2017-06-24_E.MP4$842$1523","FOX SPORTS SPECIALS:")</f>
        <v>FOX SPORTS SPECIALS:</v>
      </c>
      <c r="E391" s="3" t="s">
        <v>4860</v>
      </c>
      <c r="F391" s="3" t="s">
        <v>1399</v>
      </c>
      <c r="G391" s="3" t="s">
        <v>4861</v>
      </c>
    </row>
    <row r="392" spans="1:7">
      <c r="A392" s="6">
        <v>42910</v>
      </c>
      <c r="B392" s="3" t="s">
        <v>4621</v>
      </c>
      <c r="C392" s="3" t="s">
        <v>21</v>
      </c>
      <c r="D392" s="8" t="str">
        <f>HYPERLINK("http://npthd.inbcu.com/ViewContent.aspx?filename=NPMR_FOX_2017-06-24_E.MP4$1523$1659","COMMERCIAL")</f>
        <v>COMMERCIAL</v>
      </c>
      <c r="E392" s="3" t="s">
        <v>668</v>
      </c>
      <c r="F392" s="3" t="s">
        <v>4861</v>
      </c>
      <c r="G392" s="3" t="s">
        <v>4862</v>
      </c>
    </row>
    <row r="393" spans="1:7">
      <c r="A393" s="6">
        <v>42910</v>
      </c>
      <c r="B393" s="3" t="s">
        <v>4621</v>
      </c>
      <c r="C393" s="3" t="s">
        <v>18</v>
      </c>
      <c r="D393" s="8" t="str">
        <f>HYPERLINK("http://npthd.inbcu.com/ViewContent.aspx?filename=NPMR_FOX_2017-06-24_E.MP4$1659$1845","FOX SPORTS SPECIALS:")</f>
        <v>FOX SPORTS SPECIALS:</v>
      </c>
      <c r="E393" s="3" t="s">
        <v>3468</v>
      </c>
      <c r="F393" s="3" t="s">
        <v>4862</v>
      </c>
      <c r="G393" s="3" t="s">
        <v>4863</v>
      </c>
    </row>
    <row r="394" spans="1:7">
      <c r="A394" s="6">
        <v>42910</v>
      </c>
      <c r="B394" s="3" t="s">
        <v>4621</v>
      </c>
      <c r="C394" s="3" t="s">
        <v>21</v>
      </c>
      <c r="D394" s="8" t="str">
        <f>HYPERLINK("http://npthd.inbcu.com/ViewContent.aspx?filename=NPMR_FOX_2017-06-24_E.MP4$1845$1966","COMMERCIAL")</f>
        <v>COMMERCIAL</v>
      </c>
      <c r="E394" s="3" t="s">
        <v>175</v>
      </c>
      <c r="F394" s="3" t="s">
        <v>4863</v>
      </c>
      <c r="G394" s="3" t="s">
        <v>4864</v>
      </c>
    </row>
    <row r="395" spans="1:7">
      <c r="A395" s="6">
        <v>42910</v>
      </c>
      <c r="B395" s="3" t="s">
        <v>4621</v>
      </c>
      <c r="C395" s="3" t="s">
        <v>18</v>
      </c>
      <c r="D395" s="8" t="str">
        <f>HYPERLINK("http://npthd.inbcu.com/ViewContent.aspx?filename=NPMR_FOX_2017-06-24_E.MP4$1966$2171","FOX SPORTS SPECIALS:")</f>
        <v>FOX SPORTS SPECIALS:</v>
      </c>
      <c r="E395" s="3" t="s">
        <v>4813</v>
      </c>
      <c r="F395" s="3" t="s">
        <v>4864</v>
      </c>
      <c r="G395" s="3" t="s">
        <v>978</v>
      </c>
    </row>
    <row r="396" spans="1:7">
      <c r="A396" s="6">
        <v>42910</v>
      </c>
      <c r="B396" s="3" t="s">
        <v>4621</v>
      </c>
      <c r="C396" s="3" t="s">
        <v>21</v>
      </c>
      <c r="D396" s="8" t="str">
        <f>HYPERLINK("http://npthd.inbcu.com/ViewContent.aspx?filename=NPMR_FOX_2017-06-24_E.MP4$2171$2292","COMMERCIAL")</f>
        <v>COMMERCIAL</v>
      </c>
      <c r="E396" s="3" t="s">
        <v>175</v>
      </c>
      <c r="F396" s="3" t="s">
        <v>978</v>
      </c>
      <c r="G396" s="3" t="s">
        <v>4865</v>
      </c>
    </row>
    <row r="397" spans="1:7">
      <c r="A397" s="6">
        <v>42910</v>
      </c>
      <c r="B397" s="3" t="s">
        <v>4621</v>
      </c>
      <c r="C397" s="3" t="s">
        <v>18</v>
      </c>
      <c r="D397" s="8" t="str">
        <f>HYPERLINK("http://npthd.inbcu.com/ViewContent.aspx?filename=NPMR_FOX_2017-06-24_E.MP4$2292$2861","FOX SPORTS SPECIALS:")</f>
        <v>FOX SPORTS SPECIALS:</v>
      </c>
      <c r="E397" s="3" t="s">
        <v>673</v>
      </c>
      <c r="F397" s="3" t="s">
        <v>4865</v>
      </c>
      <c r="G397" s="3" t="s">
        <v>3772</v>
      </c>
    </row>
    <row r="398" spans="1:7">
      <c r="A398" s="6">
        <v>42910</v>
      </c>
      <c r="B398" s="3" t="s">
        <v>4621</v>
      </c>
      <c r="C398" s="3" t="s">
        <v>21</v>
      </c>
      <c r="D398" s="8" t="str">
        <f>HYPERLINK("http://npthd.inbcu.com/ViewContent.aspx?filename=NPMR_FOX_2017-06-24_E.MP4$2861$2966","COMMERCIAL")</f>
        <v>COMMERCIAL</v>
      </c>
      <c r="E398" s="3" t="s">
        <v>199</v>
      </c>
      <c r="F398" s="3" t="s">
        <v>3772</v>
      </c>
      <c r="G398" s="3" t="s">
        <v>4866</v>
      </c>
    </row>
    <row r="399" spans="1:7">
      <c r="A399" s="6">
        <v>42910</v>
      </c>
      <c r="B399" s="3" t="s">
        <v>4621</v>
      </c>
      <c r="C399" s="3" t="s">
        <v>14</v>
      </c>
      <c r="D399" s="8" t="str">
        <f>HYPERLINK("http://npthd.inbcu.com/ViewContent.aspx?filename=NPMR_FOX_2017-06-24_E.MP4$2966$2995","MLB All Star Game")</f>
        <v>MLB All Star Game</v>
      </c>
      <c r="E399" s="3" t="s">
        <v>24</v>
      </c>
      <c r="F399" s="3" t="s">
        <v>4866</v>
      </c>
      <c r="G399" s="3" t="s">
        <v>4867</v>
      </c>
    </row>
    <row r="400" spans="1:7">
      <c r="A400" s="6">
        <v>42910</v>
      </c>
      <c r="B400" s="3" t="s">
        <v>4621</v>
      </c>
      <c r="C400" s="3" t="s">
        <v>18</v>
      </c>
      <c r="D400" s="8" t="str">
        <f>HYPERLINK("http://npthd.inbcu.com/ViewContent.aspx?filename=NPMR_FOX_2017-06-24_E.MP4$2995$3527","FOX SPORTS SPECIALS:")</f>
        <v>FOX SPORTS SPECIALS:</v>
      </c>
      <c r="E400" s="3" t="s">
        <v>376</v>
      </c>
      <c r="F400" s="3" t="s">
        <v>4867</v>
      </c>
      <c r="G400" s="3" t="s">
        <v>4868</v>
      </c>
    </row>
    <row r="401" spans="1:7">
      <c r="A401" s="6">
        <v>42910</v>
      </c>
      <c r="B401" s="3" t="s">
        <v>4621</v>
      </c>
      <c r="C401" s="3" t="s">
        <v>14</v>
      </c>
      <c r="D401" s="8" t="str">
        <f>HYPERLINK("http://npthd.inbcu.com/ViewContent.aspx?filename=NPMR_FOX_2017-06-24_E.MP4$3527$3532","MLB on FOX")</f>
        <v>MLB on FOX</v>
      </c>
      <c r="E401" s="3" t="s">
        <v>54</v>
      </c>
      <c r="F401" s="3" t="s">
        <v>4868</v>
      </c>
      <c r="G401" s="3" t="s">
        <v>4869</v>
      </c>
    </row>
    <row r="402" spans="1:7">
      <c r="A402" s="6">
        <v>42910</v>
      </c>
      <c r="B402" s="3" t="s">
        <v>4621</v>
      </c>
      <c r="C402" s="3" t="s">
        <v>32</v>
      </c>
      <c r="D402" s="8" t="str">
        <f>HYPERLINK("http://npthd.inbcu.com/ViewContent.aspx?filename=NPMR_FOX_2017-06-24_E.MP4$3532$3661","LOCAL")</f>
        <v>LOCAL</v>
      </c>
      <c r="E402" s="3" t="s">
        <v>4870</v>
      </c>
      <c r="F402" s="3" t="s">
        <v>4869</v>
      </c>
      <c r="G402" s="3" t="s">
        <v>2145</v>
      </c>
    </row>
    <row r="403" spans="1:7">
      <c r="A403" s="6">
        <v>42910</v>
      </c>
      <c r="B403" s="3" t="s">
        <v>4621</v>
      </c>
      <c r="C403" s="3" t="s">
        <v>18</v>
      </c>
      <c r="D403" s="8" t="str">
        <f>HYPERLINK("http://npthd.inbcu.com/ViewContent.aspx?filename=NPMR_FOX_2017-06-24_E.MP4$3661$4079","FOX SPORTS SPECIALS:")</f>
        <v>FOX SPORTS SPECIALS:</v>
      </c>
      <c r="E403" s="3" t="s">
        <v>1743</v>
      </c>
      <c r="F403" s="3" t="s">
        <v>2145</v>
      </c>
      <c r="G403" s="3" t="s">
        <v>4871</v>
      </c>
    </row>
    <row r="404" spans="1:7">
      <c r="A404" s="6">
        <v>42910</v>
      </c>
      <c r="B404" s="3" t="s">
        <v>4621</v>
      </c>
      <c r="C404" s="3" t="s">
        <v>21</v>
      </c>
      <c r="D404" s="8" t="str">
        <f>HYPERLINK("http://npthd.inbcu.com/ViewContent.aspx?filename=NPMR_FOX_2017-06-24_E.MP4$4079$4199","COMMERCIAL")</f>
        <v>COMMERCIAL</v>
      </c>
      <c r="E404" s="3" t="s">
        <v>43</v>
      </c>
      <c r="F404" s="3" t="s">
        <v>4871</v>
      </c>
      <c r="G404" s="3" t="s">
        <v>3978</v>
      </c>
    </row>
    <row r="405" spans="1:7">
      <c r="A405" s="6">
        <v>42910</v>
      </c>
      <c r="B405" s="3" t="s">
        <v>4621</v>
      </c>
      <c r="C405" s="3" t="s">
        <v>18</v>
      </c>
      <c r="D405" s="8" t="str">
        <f>HYPERLINK("http://npthd.inbcu.com/ViewContent.aspx?filename=NPMR_FOX_2017-06-24_E.MP4$4199$4545","FOX SPORTS SPECIALS:")</f>
        <v>FOX SPORTS SPECIALS:</v>
      </c>
      <c r="E405" s="3" t="s">
        <v>578</v>
      </c>
      <c r="F405" s="3" t="s">
        <v>3978</v>
      </c>
      <c r="G405" s="3" t="s">
        <v>4872</v>
      </c>
    </row>
    <row r="406" spans="1:7">
      <c r="A406" s="6">
        <v>42910</v>
      </c>
      <c r="B406" s="3" t="s">
        <v>4621</v>
      </c>
      <c r="C406" s="3" t="s">
        <v>21</v>
      </c>
      <c r="D406" s="8" t="str">
        <f>HYPERLINK("http://npthd.inbcu.com/ViewContent.aspx?filename=NPMR_FOX_2017-06-24_E.MP4$4545$4681","COMMERCIAL")</f>
        <v>COMMERCIAL</v>
      </c>
      <c r="E406" s="3" t="s">
        <v>668</v>
      </c>
      <c r="F406" s="3" t="s">
        <v>4872</v>
      </c>
      <c r="G406" s="3" t="s">
        <v>162</v>
      </c>
    </row>
    <row r="407" spans="1:7">
      <c r="A407" s="6">
        <v>42910</v>
      </c>
      <c r="B407" s="3" t="s">
        <v>4621</v>
      </c>
      <c r="C407" s="3" t="s">
        <v>18</v>
      </c>
      <c r="D407" s="8" t="str">
        <f>HYPERLINK("http://npthd.inbcu.com/ViewContent.aspx?filename=NPMR_FOX_2017-06-24_E.MP4$4681$5157","FOX SPORTS SPECIALS:")</f>
        <v>FOX SPORTS SPECIALS:</v>
      </c>
      <c r="E407" s="3" t="s">
        <v>2308</v>
      </c>
      <c r="F407" s="3" t="s">
        <v>162</v>
      </c>
      <c r="G407" s="3" t="s">
        <v>4873</v>
      </c>
    </row>
    <row r="408" spans="1:7">
      <c r="A408" s="6">
        <v>42910</v>
      </c>
      <c r="B408" s="3" t="s">
        <v>4621</v>
      </c>
      <c r="C408" s="3" t="s">
        <v>21</v>
      </c>
      <c r="D408" s="8" t="str">
        <f>HYPERLINK("http://npthd.inbcu.com/ViewContent.aspx?filename=NPMR_FOX_2017-06-24_E.MP4$5157$5288","COMMERCIAL")</f>
        <v>COMMERCIAL</v>
      </c>
      <c r="E408" s="3" t="s">
        <v>4874</v>
      </c>
      <c r="F408" s="3" t="s">
        <v>4873</v>
      </c>
      <c r="G408" s="3" t="s">
        <v>4875</v>
      </c>
    </row>
    <row r="409" spans="1:7">
      <c r="A409" s="6">
        <v>42910</v>
      </c>
      <c r="B409" s="3" t="s">
        <v>4621</v>
      </c>
      <c r="C409" s="3" t="s">
        <v>18</v>
      </c>
      <c r="D409" s="8" t="str">
        <f>HYPERLINK("http://npthd.inbcu.com/ViewContent.aspx?filename=NPMR_FOX_2017-06-24_E.MP4$5288$5497","FOX SPORTS SPECIALS:")</f>
        <v>FOX SPORTS SPECIALS:</v>
      </c>
      <c r="E409" s="3" t="s">
        <v>2010</v>
      </c>
      <c r="F409" s="3" t="s">
        <v>4875</v>
      </c>
      <c r="G409" s="3" t="s">
        <v>4876</v>
      </c>
    </row>
    <row r="410" spans="1:7">
      <c r="A410" s="6">
        <v>42910</v>
      </c>
      <c r="B410" s="3" t="s">
        <v>4621</v>
      </c>
      <c r="C410" s="3" t="s">
        <v>21</v>
      </c>
      <c r="D410" s="8" t="str">
        <f>HYPERLINK("http://npthd.inbcu.com/ViewContent.aspx?filename=NPMR_FOX_2017-06-24_E.MP4$5497$5618","COMMERCIAL")</f>
        <v>COMMERCIAL</v>
      </c>
      <c r="E410" s="3" t="s">
        <v>175</v>
      </c>
      <c r="F410" s="3" t="s">
        <v>4876</v>
      </c>
      <c r="G410" s="3" t="s">
        <v>4877</v>
      </c>
    </row>
    <row r="411" spans="1:7">
      <c r="A411" s="6">
        <v>42910</v>
      </c>
      <c r="B411" s="3" t="s">
        <v>4621</v>
      </c>
      <c r="C411" s="3" t="s">
        <v>18</v>
      </c>
      <c r="D411" s="8" t="str">
        <f>HYPERLINK("http://npthd.inbcu.com/ViewContent.aspx?filename=NPMR_FOX_2017-06-24_E.MP4$5618$5836","FOX SPORTS SPECIALS:")</f>
        <v>FOX SPORTS SPECIALS:</v>
      </c>
      <c r="E411" s="3" t="s">
        <v>1817</v>
      </c>
      <c r="F411" s="3" t="s">
        <v>4877</v>
      </c>
      <c r="G411" s="3" t="s">
        <v>3352</v>
      </c>
    </row>
    <row r="412" spans="1:7">
      <c r="A412" s="6">
        <v>42910</v>
      </c>
      <c r="B412" s="3" t="s">
        <v>4621</v>
      </c>
      <c r="C412" s="3" t="s">
        <v>21</v>
      </c>
      <c r="D412" s="8" t="str">
        <f>HYPERLINK("http://npthd.inbcu.com/ViewContent.aspx?filename=NPMR_FOX_2017-06-24_E.MP4$5836$5957","COMMERCIAL")</f>
        <v>COMMERCIAL</v>
      </c>
      <c r="E412" s="3" t="s">
        <v>175</v>
      </c>
      <c r="F412" s="3" t="s">
        <v>3352</v>
      </c>
      <c r="G412" s="3" t="s">
        <v>4878</v>
      </c>
    </row>
    <row r="413" spans="1:7">
      <c r="A413" s="6">
        <v>42910</v>
      </c>
      <c r="B413" s="3" t="s">
        <v>4621</v>
      </c>
      <c r="C413" s="3" t="s">
        <v>18</v>
      </c>
      <c r="D413" s="8" t="str">
        <f>HYPERLINK("http://npthd.inbcu.com/ViewContent.aspx?filename=NPMR_FOX_2017-06-24_E.MP4$5957$6156","FOX SPORTS SPECIALS:")</f>
        <v>FOX SPORTS SPECIALS:</v>
      </c>
      <c r="E413" s="3" t="s">
        <v>4879</v>
      </c>
      <c r="F413" s="3" t="s">
        <v>4878</v>
      </c>
      <c r="G413" s="3" t="s">
        <v>4880</v>
      </c>
    </row>
    <row r="414" spans="1:7">
      <c r="A414" s="6">
        <v>42910</v>
      </c>
      <c r="B414" s="3" t="s">
        <v>4621</v>
      </c>
      <c r="C414" s="3" t="s">
        <v>21</v>
      </c>
      <c r="D414" s="8" t="str">
        <f>HYPERLINK("http://npthd.inbcu.com/ViewContent.aspx?filename=NPMR_FOX_2017-06-24_E.MP4$6156$6276","COMMERCIAL")</f>
        <v>COMMERCIAL</v>
      </c>
      <c r="E414" s="3" t="s">
        <v>43</v>
      </c>
      <c r="F414" s="3" t="s">
        <v>4880</v>
      </c>
      <c r="G414" s="3" t="s">
        <v>1002</v>
      </c>
    </row>
    <row r="415" spans="1:7">
      <c r="A415" s="6">
        <v>42910</v>
      </c>
      <c r="B415" s="3" t="s">
        <v>4621</v>
      </c>
      <c r="C415" s="3" t="s">
        <v>14</v>
      </c>
      <c r="D415" s="8" t="str">
        <f>HYPERLINK("http://npthd.inbcu.com/ViewContent.aspx?filename=NPMR_FOX_2017-06-24_E.MP4$6276$6291","Snowfall (FX)")</f>
        <v>Snowfall (FX)</v>
      </c>
      <c r="E415" s="3" t="s">
        <v>30</v>
      </c>
      <c r="F415" s="3" t="s">
        <v>1002</v>
      </c>
      <c r="G415" s="3" t="s">
        <v>2826</v>
      </c>
    </row>
    <row r="416" spans="1:7">
      <c r="A416" s="6">
        <v>42910</v>
      </c>
      <c r="B416" s="3" t="s">
        <v>4621</v>
      </c>
      <c r="C416" s="3" t="s">
        <v>18</v>
      </c>
      <c r="D416" s="8" t="str">
        <f>HYPERLINK("http://npthd.inbcu.com/ViewContent.aspx?filename=NPMR_FOX_2017-06-24_E.MP4$6291$7033","FOX SPORTS SPECIALS:")</f>
        <v>FOX SPORTS SPECIALS:</v>
      </c>
      <c r="E416" s="3" t="s">
        <v>4881</v>
      </c>
      <c r="F416" s="3" t="s">
        <v>2826</v>
      </c>
      <c r="G416" s="3" t="s">
        <v>2981</v>
      </c>
    </row>
    <row r="417" spans="1:7">
      <c r="A417" s="6">
        <v>42910</v>
      </c>
      <c r="B417" s="3" t="s">
        <v>4621</v>
      </c>
      <c r="C417" s="3" t="s">
        <v>21</v>
      </c>
      <c r="D417" s="8" t="str">
        <f>HYPERLINK("http://npthd.inbcu.com/ViewContent.aspx?filename=NPMR_FOX_2017-06-24_E.MP4$7033$7154","COMMERCIAL")</f>
        <v>COMMERCIAL</v>
      </c>
      <c r="E417" s="3" t="s">
        <v>175</v>
      </c>
      <c r="F417" s="3" t="s">
        <v>2981</v>
      </c>
      <c r="G417" s="3" t="s">
        <v>4882</v>
      </c>
    </row>
    <row r="418" spans="1:7">
      <c r="A418" s="6">
        <v>42910</v>
      </c>
      <c r="B418" s="3" t="s">
        <v>4621</v>
      </c>
      <c r="C418" s="3" t="s">
        <v>32</v>
      </c>
      <c r="D418" s="8" t="str">
        <f>HYPERLINK("http://npthd.inbcu.com/ViewContent.aspx?filename=NPMR_FOX_2017-06-24_E.MP4$7154$7273","LOCAL")</f>
        <v>LOCAL</v>
      </c>
      <c r="E418" s="3" t="s">
        <v>119</v>
      </c>
      <c r="F418" s="3" t="s">
        <v>4882</v>
      </c>
      <c r="G418" s="3" t="s">
        <v>394</v>
      </c>
    </row>
    <row r="419" spans="1:7">
      <c r="A419" s="6">
        <v>42911</v>
      </c>
      <c r="B419" s="3" t="s">
        <v>4621</v>
      </c>
      <c r="C419" s="3" t="s">
        <v>18</v>
      </c>
      <c r="D419" s="8" t="str">
        <f>HYPERLINK("http://npthd.inbcu.com/ViewContent.aspx?filename=NPMR_FOX_2017-06-25_E.MP4$90$398","BOBS BURGERS: thelma &amp; louise except thelma is linda")</f>
        <v>BOBS BURGERS: thelma &amp; louise except thelma is linda</v>
      </c>
      <c r="E419" s="3" t="s">
        <v>2115</v>
      </c>
      <c r="F419" s="3" t="s">
        <v>311</v>
      </c>
      <c r="G419" s="3" t="s">
        <v>4883</v>
      </c>
    </row>
    <row r="420" spans="1:7">
      <c r="A420" s="6">
        <v>42911</v>
      </c>
      <c r="B420" s="3" t="s">
        <v>4621</v>
      </c>
      <c r="C420" s="3" t="s">
        <v>21</v>
      </c>
      <c r="D420" s="8" t="str">
        <f>HYPERLINK("http://npthd.inbcu.com/ViewContent.aspx?filename=NPMR_FOX_2017-06-25_E.MP4$398$489","COMMERCIAL")</f>
        <v>COMMERCIAL</v>
      </c>
      <c r="E420" s="3" t="s">
        <v>77</v>
      </c>
      <c r="F420" s="3" t="s">
        <v>4883</v>
      </c>
      <c r="G420" s="3" t="s">
        <v>4884</v>
      </c>
    </row>
    <row r="421" spans="1:7">
      <c r="A421" s="6">
        <v>42911</v>
      </c>
      <c r="B421" s="3" t="s">
        <v>4621</v>
      </c>
      <c r="C421" s="3" t="s">
        <v>14</v>
      </c>
      <c r="D421" s="8" t="str">
        <f>HYPERLINK("http://npthd.inbcu.com/ViewContent.aspx?filename=NPMR_FOX_2017-06-25_E.MP4$489$509","Snowfall (FX)")</f>
        <v>Snowfall (FX)</v>
      </c>
      <c r="E421" s="3" t="s">
        <v>1805</v>
      </c>
      <c r="F421" s="3" t="s">
        <v>4884</v>
      </c>
      <c r="G421" s="3" t="s">
        <v>4885</v>
      </c>
    </row>
    <row r="422" spans="1:7">
      <c r="A422" s="6">
        <v>42911</v>
      </c>
      <c r="B422" s="3" t="s">
        <v>4621</v>
      </c>
      <c r="C422" s="3" t="s">
        <v>18</v>
      </c>
      <c r="D422" s="8" t="str">
        <f>HYPERLINK("http://npthd.inbcu.com/ViewContent.aspx?filename=NPMR_FOX_2017-06-25_E.MP4$509$903","BOBS BURGERS: thelma &amp; louise except thelma is linda")</f>
        <v>BOBS BURGERS: thelma &amp; louise except thelma is linda</v>
      </c>
      <c r="E422" s="3" t="s">
        <v>2662</v>
      </c>
      <c r="F422" s="3" t="s">
        <v>4885</v>
      </c>
      <c r="G422" s="3" t="s">
        <v>4886</v>
      </c>
    </row>
    <row r="423" spans="1:7">
      <c r="A423" s="6">
        <v>42911</v>
      </c>
      <c r="B423" s="3" t="s">
        <v>4621</v>
      </c>
      <c r="C423" s="3" t="s">
        <v>21</v>
      </c>
      <c r="D423" s="8" t="str">
        <f>HYPERLINK("http://npthd.inbcu.com/ViewContent.aspx?filename=NPMR_FOX_2017-06-25_E.MP4$903$994","COMMERCIAL")</f>
        <v>COMMERCIAL</v>
      </c>
      <c r="E423" s="3" t="s">
        <v>77</v>
      </c>
      <c r="F423" s="3" t="s">
        <v>4886</v>
      </c>
      <c r="G423" s="3" t="s">
        <v>4887</v>
      </c>
    </row>
    <row r="424" spans="1:7">
      <c r="A424" s="6">
        <v>42911</v>
      </c>
      <c r="B424" s="3" t="s">
        <v>4621</v>
      </c>
      <c r="C424" s="3" t="s">
        <v>14</v>
      </c>
      <c r="D424" s="8" t="str">
        <f>HYPERLINK("http://npthd.inbcu.com/ViewContent.aspx?filename=NPMR_FOX_2017-06-25_E.MP4$994$1004","Fox.com")</f>
        <v>Fox.com</v>
      </c>
      <c r="E424" s="3" t="s">
        <v>197</v>
      </c>
      <c r="F424" s="3" t="s">
        <v>4887</v>
      </c>
      <c r="G424" s="3" t="s">
        <v>4888</v>
      </c>
    </row>
    <row r="425" spans="1:7">
      <c r="A425" s="6">
        <v>42911</v>
      </c>
      <c r="B425" s="3" t="s">
        <v>4621</v>
      </c>
      <c r="C425" s="3" t="s">
        <v>32</v>
      </c>
      <c r="D425" s="8" t="str">
        <f>HYPERLINK("http://npthd.inbcu.com/ViewContent.aspx?filename=NPMR_FOX_2017-06-25_E.MP4$1004$1096","LOCAL")</f>
        <v>LOCAL</v>
      </c>
      <c r="E425" s="3" t="s">
        <v>267</v>
      </c>
      <c r="F425" s="3" t="s">
        <v>4888</v>
      </c>
      <c r="G425" s="3" t="s">
        <v>4889</v>
      </c>
    </row>
    <row r="426" spans="1:7">
      <c r="A426" s="6">
        <v>42911</v>
      </c>
      <c r="B426" s="3" t="s">
        <v>4621</v>
      </c>
      <c r="C426" s="3" t="s">
        <v>14</v>
      </c>
      <c r="D426" s="8" t="str">
        <f>HYPERLINK("http://npthd.inbcu.com/ViewContent.aspx?filename=NPMR_FOX_2017-06-25_E.MP4$1096$1111","Big3 (FS1)")</f>
        <v>Big3 (FS1)</v>
      </c>
      <c r="E426" s="3" t="s">
        <v>30</v>
      </c>
      <c r="F426" s="3" t="s">
        <v>4889</v>
      </c>
      <c r="G426" s="3" t="s">
        <v>4890</v>
      </c>
    </row>
    <row r="427" spans="1:7">
      <c r="A427" s="6">
        <v>42911</v>
      </c>
      <c r="B427" s="3" t="s">
        <v>4621</v>
      </c>
      <c r="C427" s="3" t="s">
        <v>18</v>
      </c>
      <c r="D427" s="8" t="str">
        <f>HYPERLINK("http://npthd.inbcu.com/ViewContent.aspx?filename=NPMR_FOX_2017-06-25_E.MP4$1111$1408","BOBS BURGERS: thelma &amp; louise except thelma is linda")</f>
        <v>BOBS BURGERS: thelma &amp; louise except thelma is linda</v>
      </c>
      <c r="E427" s="3" t="s">
        <v>974</v>
      </c>
      <c r="F427" s="3" t="s">
        <v>4890</v>
      </c>
      <c r="G427" s="3" t="s">
        <v>321</v>
      </c>
    </row>
    <row r="428" spans="1:7">
      <c r="A428" s="6">
        <v>42911</v>
      </c>
      <c r="B428" s="3" t="s">
        <v>4621</v>
      </c>
      <c r="C428" s="3" t="s">
        <v>21</v>
      </c>
      <c r="D428" s="8" t="str">
        <f>HYPERLINK("http://npthd.inbcu.com/ViewContent.aspx?filename=NPMR_FOX_2017-06-25_E.MP4$1408$1499","COMMERCIAL")</f>
        <v>COMMERCIAL</v>
      </c>
      <c r="E428" s="3" t="s">
        <v>77</v>
      </c>
      <c r="F428" s="3" t="s">
        <v>321</v>
      </c>
      <c r="G428" s="3" t="s">
        <v>4891</v>
      </c>
    </row>
    <row r="429" spans="1:7">
      <c r="A429" s="6">
        <v>42911</v>
      </c>
      <c r="B429" s="3" t="s">
        <v>4621</v>
      </c>
      <c r="C429" s="3" t="s">
        <v>14</v>
      </c>
      <c r="D429" s="8" t="str">
        <f>HYPERLINK("http://npthd.inbcu.com/ViewContent.aspx?filename=NPMR_FOX_2017-06-25_E.MP4$1499$1514","Incredible Dr. Pol (Nat Geo Wild)")</f>
        <v>Incredible Dr. Pol (Nat Geo Wild)</v>
      </c>
      <c r="E429" s="3" t="s">
        <v>30</v>
      </c>
      <c r="F429" s="3" t="s">
        <v>4891</v>
      </c>
      <c r="G429" s="3" t="s">
        <v>4892</v>
      </c>
    </row>
    <row r="430" spans="1:7">
      <c r="A430" s="6">
        <v>42911</v>
      </c>
      <c r="B430" s="3" t="s">
        <v>4621</v>
      </c>
      <c r="C430" s="3" t="s">
        <v>32</v>
      </c>
      <c r="D430" s="8" t="str">
        <f>HYPERLINK("http://npthd.inbcu.com/ViewContent.aspx?filename=NPMR_FOX_2017-06-25_E.MP4$1514$1525","LOCAL")</f>
        <v>LOCAL</v>
      </c>
      <c r="E430" s="3" t="s">
        <v>1940</v>
      </c>
      <c r="F430" s="3" t="s">
        <v>4892</v>
      </c>
      <c r="G430" s="3" t="s">
        <v>4893</v>
      </c>
    </row>
    <row r="431" spans="1:7">
      <c r="A431" s="6">
        <v>42911</v>
      </c>
      <c r="B431" s="3" t="s">
        <v>4621</v>
      </c>
      <c r="C431" s="3" t="s">
        <v>14</v>
      </c>
      <c r="D431" s="8" t="str">
        <f>HYPERLINK("http://npthd.inbcu.com/ViewContent.aspx?filename=NPMR_FOX_2017-06-25_E.MP4$1525$1545","American Grit")</f>
        <v>American Grit</v>
      </c>
      <c r="E431" s="3" t="s">
        <v>1805</v>
      </c>
      <c r="F431" s="3" t="s">
        <v>4893</v>
      </c>
      <c r="G431" s="3" t="s">
        <v>4894</v>
      </c>
    </row>
    <row r="432" spans="1:7">
      <c r="A432" s="6">
        <v>42911</v>
      </c>
      <c r="B432" s="3" t="s">
        <v>4621</v>
      </c>
      <c r="C432" s="3" t="s">
        <v>18</v>
      </c>
      <c r="D432" s="8" t="str">
        <f>HYPERLINK("http://npthd.inbcu.com/ViewContent.aspx?filename=NPMR_FOX_2017-06-25_E.MP4$1545$1837","BOBS BURGERS: thelma &amp; louise except thelma is linda")</f>
        <v>BOBS BURGERS: thelma &amp; louise except thelma is linda</v>
      </c>
      <c r="E432" s="3" t="s">
        <v>4848</v>
      </c>
      <c r="F432" s="3" t="s">
        <v>4894</v>
      </c>
      <c r="G432" s="3" t="s">
        <v>4895</v>
      </c>
    </row>
    <row r="433" spans="1:7">
      <c r="A433" s="6">
        <v>42911</v>
      </c>
      <c r="B433" s="3" t="s">
        <v>4621</v>
      </c>
      <c r="C433" s="3" t="s">
        <v>18</v>
      </c>
      <c r="D433" s="8" t="str">
        <f>HYPERLINK("http://npthd.inbcu.com/ViewContent.aspx?filename=NPMR_FOX_2017-06-25_E.MP4$1837$2291","THE LAST MAN ON EARTH: if youre happy and you know it")</f>
        <v>THE LAST MAN ON EARTH: if youre happy and you know it</v>
      </c>
      <c r="E433" s="3" t="s">
        <v>3558</v>
      </c>
      <c r="F433" s="3" t="s">
        <v>4895</v>
      </c>
      <c r="G433" s="3" t="s">
        <v>4896</v>
      </c>
    </row>
    <row r="434" spans="1:7">
      <c r="A434" s="6">
        <v>42911</v>
      </c>
      <c r="B434" s="3" t="s">
        <v>4621</v>
      </c>
      <c r="C434" s="3" t="s">
        <v>21</v>
      </c>
      <c r="D434" s="8" t="str">
        <f>HYPERLINK("http://npthd.inbcu.com/ViewContent.aspx?filename=NPMR_FOX_2017-06-25_E.MP4$2291$2382","COMMERCIAL")</f>
        <v>COMMERCIAL</v>
      </c>
      <c r="E434" s="3" t="s">
        <v>77</v>
      </c>
      <c r="F434" s="3" t="s">
        <v>4896</v>
      </c>
      <c r="G434" s="3" t="s">
        <v>4897</v>
      </c>
    </row>
    <row r="435" spans="1:7">
      <c r="A435" s="6">
        <v>42911</v>
      </c>
      <c r="B435" s="3" t="s">
        <v>4621</v>
      </c>
      <c r="C435" s="3" t="s">
        <v>14</v>
      </c>
      <c r="D435" s="8" t="str">
        <f>HYPERLINK("http://npthd.inbcu.com/ViewContent.aspx?filename=NPMR_FOX_2017-06-25_E.MP4$2382$2397","Snowfall (FX)")</f>
        <v>Snowfall (FX)</v>
      </c>
      <c r="E435" s="3" t="s">
        <v>30</v>
      </c>
      <c r="F435" s="3" t="s">
        <v>4897</v>
      </c>
      <c r="G435" s="3" t="s">
        <v>4898</v>
      </c>
    </row>
    <row r="436" spans="1:7">
      <c r="A436" s="6">
        <v>42911</v>
      </c>
      <c r="B436" s="3" t="s">
        <v>4621</v>
      </c>
      <c r="C436" s="3" t="s">
        <v>14</v>
      </c>
      <c r="D436" s="8" t="str">
        <f>HYPERLINK("http://npthd.inbcu.com/ViewContent.aspx?filename=NPMR_FOX_2017-06-25_E.MP4$2397$2416","So You Think You Can Dance?")</f>
        <v>So You Think You Can Dance?</v>
      </c>
      <c r="E436" s="3" t="s">
        <v>670</v>
      </c>
      <c r="F436" s="3" t="s">
        <v>4898</v>
      </c>
      <c r="G436" s="3" t="s">
        <v>4899</v>
      </c>
    </row>
    <row r="437" spans="1:7">
      <c r="A437" s="6">
        <v>42911</v>
      </c>
      <c r="B437" s="3" t="s">
        <v>4621</v>
      </c>
      <c r="C437" s="3" t="s">
        <v>18</v>
      </c>
      <c r="D437" s="8" t="str">
        <f>HYPERLINK("http://npthd.inbcu.com/ViewContent.aspx?filename=NPMR_FOX_2017-06-25_E.MP4$2416$2774","THE LAST MAN ON EARTH: if youre happy and you know it")</f>
        <v>THE LAST MAN ON EARTH: if youre happy and you know it</v>
      </c>
      <c r="E437" s="3" t="s">
        <v>4198</v>
      </c>
      <c r="F437" s="3" t="s">
        <v>4899</v>
      </c>
      <c r="G437" s="3" t="s">
        <v>4900</v>
      </c>
    </row>
    <row r="438" spans="1:7">
      <c r="A438" s="6">
        <v>42911</v>
      </c>
      <c r="B438" s="3" t="s">
        <v>4621</v>
      </c>
      <c r="C438" s="3" t="s">
        <v>21</v>
      </c>
      <c r="D438" s="8" t="str">
        <f>HYPERLINK("http://npthd.inbcu.com/ViewContent.aspx?filename=NPMR_FOX_2017-06-25_E.MP4$2774$2864","COMMERCIAL")</f>
        <v>COMMERCIAL</v>
      </c>
      <c r="E438" s="3" t="s">
        <v>46</v>
      </c>
      <c r="F438" s="3" t="s">
        <v>4900</v>
      </c>
      <c r="G438" s="3" t="s">
        <v>4901</v>
      </c>
    </row>
    <row r="439" spans="1:7">
      <c r="A439" s="6">
        <v>42911</v>
      </c>
      <c r="B439" s="3" t="s">
        <v>4621</v>
      </c>
      <c r="C439" s="3" t="s">
        <v>14</v>
      </c>
      <c r="D439" s="8" t="str">
        <f>HYPERLINK("http://npthd.inbcu.com/ViewContent.aspx?filename=NPMR_FOX_2017-06-25_E.MP4$2864$2880","Earth Live (Nat Geo)")</f>
        <v>Earth Live (Nat Geo)</v>
      </c>
      <c r="E439" s="3" t="s">
        <v>64</v>
      </c>
      <c r="F439" s="3" t="s">
        <v>4901</v>
      </c>
      <c r="G439" s="3" t="s">
        <v>4902</v>
      </c>
    </row>
    <row r="440" spans="1:7">
      <c r="A440" s="6">
        <v>42911</v>
      </c>
      <c r="B440" s="3" t="s">
        <v>4621</v>
      </c>
      <c r="C440" s="3" t="s">
        <v>21</v>
      </c>
      <c r="D440" s="8" t="str">
        <f>HYPERLINK("http://npthd.inbcu.com/ViewContent.aspx?filename=NPMR_FOX_2017-06-25_E.MP4$2880$2941","COMMERCIAL")</f>
        <v>COMMERCIAL</v>
      </c>
      <c r="E440" s="3" t="s">
        <v>33</v>
      </c>
      <c r="F440" s="3" t="s">
        <v>4902</v>
      </c>
      <c r="G440" s="3" t="s">
        <v>4903</v>
      </c>
    </row>
    <row r="441" spans="1:7">
      <c r="A441" s="6">
        <v>42911</v>
      </c>
      <c r="B441" s="3" t="s">
        <v>4621</v>
      </c>
      <c r="C441" s="3" t="s">
        <v>14</v>
      </c>
      <c r="D441" s="8" t="str">
        <f>HYPERLINK("http://npthd.inbcu.com/ViewContent.aspx?filename=NPMR_FOX_2017-06-25_E.MP4$2941$2957","Big3 (FS1)")</f>
        <v>Big3 (FS1)</v>
      </c>
      <c r="E441" s="3" t="s">
        <v>64</v>
      </c>
      <c r="F441" s="3" t="s">
        <v>4903</v>
      </c>
      <c r="G441" s="3" t="s">
        <v>4904</v>
      </c>
    </row>
    <row r="442" spans="1:7">
      <c r="A442" s="6">
        <v>42911</v>
      </c>
      <c r="B442" s="3" t="s">
        <v>4621</v>
      </c>
      <c r="C442" s="3" t="s">
        <v>18</v>
      </c>
      <c r="D442" s="8" t="str">
        <f>HYPERLINK("http://npthd.inbcu.com/ViewContent.aspx?filename=NPMR_FOX_2017-06-25_E.MP4$2957$3260","THE LAST MAN ON EARTH: if youre happy and you know it")</f>
        <v>THE LAST MAN ON EARTH: if youre happy and you know it</v>
      </c>
      <c r="E442" s="3" t="s">
        <v>1849</v>
      </c>
      <c r="F442" s="3" t="s">
        <v>4904</v>
      </c>
      <c r="G442" s="3" t="s">
        <v>4905</v>
      </c>
    </row>
    <row r="443" spans="1:7">
      <c r="A443" s="6">
        <v>42911</v>
      </c>
      <c r="B443" s="3" t="s">
        <v>4621</v>
      </c>
      <c r="C443" s="3" t="s">
        <v>21</v>
      </c>
      <c r="D443" s="8" t="str">
        <f>HYPERLINK("http://npthd.inbcu.com/ViewContent.aspx?filename=NPMR_FOX_2017-06-25_E.MP4$3260$3366","COMMERCIAL")</f>
        <v>COMMERCIAL</v>
      </c>
      <c r="E443" s="3" t="s">
        <v>293</v>
      </c>
      <c r="F443" s="3" t="s">
        <v>4905</v>
      </c>
      <c r="G443" s="3" t="s">
        <v>960</v>
      </c>
    </row>
    <row r="444" spans="1:7">
      <c r="A444" s="6">
        <v>42911</v>
      </c>
      <c r="B444" s="3" t="s">
        <v>4621</v>
      </c>
      <c r="C444" s="3" t="s">
        <v>14</v>
      </c>
      <c r="D444" s="8" t="str">
        <f>HYPERLINK("http://npthd.inbcu.com/ViewContent.aspx?filename=NPMR_FOX_2017-06-25_E.MP4$3366$3381","F Word, The")</f>
        <v>F Word, The</v>
      </c>
      <c r="E444" s="3" t="s">
        <v>30</v>
      </c>
      <c r="F444" s="3" t="s">
        <v>960</v>
      </c>
      <c r="G444" s="3" t="s">
        <v>4906</v>
      </c>
    </row>
    <row r="445" spans="1:7">
      <c r="A445" s="6">
        <v>42911</v>
      </c>
      <c r="B445" s="3" t="s">
        <v>4621</v>
      </c>
      <c r="C445" s="3" t="s">
        <v>14</v>
      </c>
      <c r="D445" s="8" t="str">
        <f>HYPERLINK("http://npthd.inbcu.com/ViewContent.aspx?filename=NPMR_FOX_2017-06-25_E.MP4$3381$3401","American Grit")</f>
        <v>American Grit</v>
      </c>
      <c r="E445" s="3" t="s">
        <v>1805</v>
      </c>
      <c r="F445" s="3" t="s">
        <v>4906</v>
      </c>
      <c r="G445" s="3" t="s">
        <v>4907</v>
      </c>
    </row>
    <row r="446" spans="1:7">
      <c r="A446" s="6">
        <v>42911</v>
      </c>
      <c r="B446" s="3" t="s">
        <v>4621</v>
      </c>
      <c r="C446" s="3" t="s">
        <v>18</v>
      </c>
      <c r="D446" s="8" t="str">
        <f>HYPERLINK("http://npthd.inbcu.com/ViewContent.aspx?filename=NPMR_FOX_2017-06-25_E.MP4$3401$3558","THE LAST MAN ON EARTH: if youre happy and you know it")</f>
        <v>THE LAST MAN ON EARTH: if youre happy and you know it</v>
      </c>
      <c r="E446" s="3" t="s">
        <v>1602</v>
      </c>
      <c r="F446" s="3" t="s">
        <v>4907</v>
      </c>
      <c r="G446" s="3" t="s">
        <v>4908</v>
      </c>
    </row>
    <row r="447" spans="1:7">
      <c r="A447" s="6">
        <v>42911</v>
      </c>
      <c r="B447" s="3" t="s">
        <v>4621</v>
      </c>
      <c r="C447" s="3" t="s">
        <v>14</v>
      </c>
      <c r="D447" s="8" t="str">
        <f>HYPERLINK("http://npthd.inbcu.com/ViewContent.aspx?filename=NPMR_FOX_2017-06-25_E.MP4$3558$3588","Ghosted")</f>
        <v>Ghosted</v>
      </c>
      <c r="E447" s="3" t="s">
        <v>38</v>
      </c>
      <c r="F447" s="3" t="s">
        <v>4908</v>
      </c>
      <c r="G447" s="3" t="s">
        <v>4909</v>
      </c>
    </row>
    <row r="448" spans="1:7">
      <c r="A448" s="6">
        <v>42911</v>
      </c>
      <c r="B448" s="3" t="s">
        <v>4621</v>
      </c>
      <c r="C448" s="3" t="s">
        <v>32</v>
      </c>
      <c r="D448" s="8" t="str">
        <f>HYPERLINK("http://npthd.inbcu.com/ViewContent.aspx?filename=NPMR_FOX_2017-06-25_E.MP4$3588$3600","LOCAL")</f>
        <v>LOCAL</v>
      </c>
      <c r="E448" s="3" t="s">
        <v>2057</v>
      </c>
      <c r="F448" s="3" t="s">
        <v>4909</v>
      </c>
      <c r="G448" s="3" t="s">
        <v>4910</v>
      </c>
    </row>
    <row r="449" spans="1:7">
      <c r="A449" s="6">
        <v>42911</v>
      </c>
      <c r="B449" s="3" t="s">
        <v>4621</v>
      </c>
      <c r="C449" s="3" t="s">
        <v>32</v>
      </c>
      <c r="D449" s="8" t="str">
        <f>HYPERLINK("http://npthd.inbcu.com/ViewContent.aspx?filename=NPMR_FOX_2017-06-25_E.MP4$3600$3660","LOCAL")</f>
        <v>LOCAL</v>
      </c>
      <c r="E449" s="3" t="s">
        <v>66</v>
      </c>
      <c r="F449" s="3" t="s">
        <v>4910</v>
      </c>
      <c r="G449" s="3" t="s">
        <v>4911</v>
      </c>
    </row>
    <row r="450" spans="1:7">
      <c r="A450" s="6">
        <v>42911</v>
      </c>
      <c r="B450" s="3" t="s">
        <v>4621</v>
      </c>
      <c r="C450" s="3" t="s">
        <v>18</v>
      </c>
      <c r="D450" s="8" t="str">
        <f>HYPERLINK("http://npthd.inbcu.com/ViewContent.aspx?filename=NPMR_FOX_2017-06-25_E.MP4$3660$4084","THE SIMPSONS: caper chase")</f>
        <v>THE SIMPSONS: caper chase</v>
      </c>
      <c r="E450" s="3" t="s">
        <v>1818</v>
      </c>
      <c r="F450" s="3" t="s">
        <v>4911</v>
      </c>
      <c r="G450" s="3" t="s">
        <v>4912</v>
      </c>
    </row>
    <row r="451" spans="1:7">
      <c r="A451" s="6">
        <v>42911</v>
      </c>
      <c r="B451" s="3" t="s">
        <v>4621</v>
      </c>
      <c r="C451" s="3" t="s">
        <v>21</v>
      </c>
      <c r="D451" s="8" t="str">
        <f>HYPERLINK("http://npthd.inbcu.com/ViewContent.aspx?filename=NPMR_FOX_2017-06-25_E.MP4$4084$4205","COMMERCIAL")</f>
        <v>COMMERCIAL</v>
      </c>
      <c r="E451" s="3" t="s">
        <v>175</v>
      </c>
      <c r="F451" s="3" t="s">
        <v>4912</v>
      </c>
      <c r="G451" s="3" t="s">
        <v>3333</v>
      </c>
    </row>
    <row r="452" spans="1:7">
      <c r="A452" s="6">
        <v>42911</v>
      </c>
      <c r="B452" s="3" t="s">
        <v>4621</v>
      </c>
      <c r="C452" s="3" t="s">
        <v>14</v>
      </c>
      <c r="D452" s="8" t="str">
        <f>HYPERLINK("http://npthd.inbcu.com/ViewContent.aspx?filename=NPMR_FOX_2017-06-25_E.MP4$4205$4225","Orville, The")</f>
        <v>Orville, The</v>
      </c>
      <c r="E452" s="3" t="s">
        <v>1805</v>
      </c>
      <c r="F452" s="3" t="s">
        <v>3333</v>
      </c>
      <c r="G452" s="3" t="s">
        <v>1820</v>
      </c>
    </row>
    <row r="453" spans="1:7">
      <c r="A453" s="6">
        <v>42911</v>
      </c>
      <c r="B453" s="3" t="s">
        <v>4621</v>
      </c>
      <c r="C453" s="3" t="s">
        <v>18</v>
      </c>
      <c r="D453" s="8" t="str">
        <f>HYPERLINK("http://npthd.inbcu.com/ViewContent.aspx?filename=NPMR_FOX_2017-06-25_E.MP4$4225$4733","THE SIMPSONS: caper chase")</f>
        <v>THE SIMPSONS: caper chase</v>
      </c>
      <c r="E453" s="3" t="s">
        <v>259</v>
      </c>
      <c r="F453" s="3" t="s">
        <v>1820</v>
      </c>
      <c r="G453" s="3" t="s">
        <v>4806</v>
      </c>
    </row>
    <row r="454" spans="1:7">
      <c r="A454" s="6">
        <v>42911</v>
      </c>
      <c r="B454" s="3" t="s">
        <v>4621</v>
      </c>
      <c r="C454" s="3" t="s">
        <v>21</v>
      </c>
      <c r="D454" s="8" t="str">
        <f>HYPERLINK("http://npthd.inbcu.com/ViewContent.aspx?filename=NPMR_FOX_2017-06-25_E.MP4$4733$4824","COMMERCIAL")</f>
        <v>COMMERCIAL</v>
      </c>
      <c r="E454" s="3" t="s">
        <v>77</v>
      </c>
      <c r="F454" s="3" t="s">
        <v>4806</v>
      </c>
      <c r="G454" s="3" t="s">
        <v>4913</v>
      </c>
    </row>
    <row r="455" spans="1:7">
      <c r="A455" s="6">
        <v>42911</v>
      </c>
      <c r="B455" s="3" t="s">
        <v>4621</v>
      </c>
      <c r="C455" s="3" t="s">
        <v>14</v>
      </c>
      <c r="D455" s="8" t="str">
        <f>HYPERLINK("http://npthd.inbcu.com/ViewContent.aspx?filename=NPMR_FOX_2017-06-25_E.MP4$4824$4833","Fox.com")</f>
        <v>Fox.com</v>
      </c>
      <c r="E455" s="3" t="s">
        <v>2074</v>
      </c>
      <c r="F455" s="3" t="s">
        <v>4913</v>
      </c>
      <c r="G455" s="3" t="s">
        <v>4914</v>
      </c>
    </row>
    <row r="456" spans="1:7">
      <c r="A456" s="6">
        <v>42911</v>
      </c>
      <c r="B456" s="3" t="s">
        <v>4621</v>
      </c>
      <c r="C456" s="3" t="s">
        <v>32</v>
      </c>
      <c r="D456" s="8" t="str">
        <f>HYPERLINK("http://npthd.inbcu.com/ViewContent.aspx?filename=NPMR_FOX_2017-06-25_E.MP4$4833$4944","LOCAL")</f>
        <v>LOCAL</v>
      </c>
      <c r="E456" s="3" t="s">
        <v>2656</v>
      </c>
      <c r="F456" s="3" t="s">
        <v>4914</v>
      </c>
      <c r="G456" s="3" t="s">
        <v>4915</v>
      </c>
    </row>
    <row r="457" spans="1:7">
      <c r="A457" s="6">
        <v>42911</v>
      </c>
      <c r="B457" s="3" t="s">
        <v>4621</v>
      </c>
      <c r="C457" s="3" t="s">
        <v>18</v>
      </c>
      <c r="D457" s="8" t="str">
        <f>HYPERLINK("http://npthd.inbcu.com/ViewContent.aspx?filename=NPMR_FOX_2017-06-25_E.MP4$4944$5235","THE SIMPSONS: caper chase")</f>
        <v>THE SIMPSONS: caper chase</v>
      </c>
      <c r="E457" s="3" t="s">
        <v>4916</v>
      </c>
      <c r="F457" s="3" t="s">
        <v>4915</v>
      </c>
      <c r="G457" s="3" t="s">
        <v>2893</v>
      </c>
    </row>
    <row r="458" spans="1:7">
      <c r="A458" s="6">
        <v>42911</v>
      </c>
      <c r="B458" s="3" t="s">
        <v>4621</v>
      </c>
      <c r="C458" s="3" t="s">
        <v>21</v>
      </c>
      <c r="D458" s="8" t="str">
        <f>HYPERLINK("http://npthd.inbcu.com/ViewContent.aspx?filename=NPMR_FOX_2017-06-25_E.MP4$5235$5356","COMMERCIAL")</f>
        <v>COMMERCIAL</v>
      </c>
      <c r="E458" s="3" t="s">
        <v>175</v>
      </c>
      <c r="F458" s="3" t="s">
        <v>2893</v>
      </c>
      <c r="G458" s="3" t="s">
        <v>4917</v>
      </c>
    </row>
    <row r="459" spans="1:7">
      <c r="A459" s="6">
        <v>42911</v>
      </c>
      <c r="B459" s="3" t="s">
        <v>4621</v>
      </c>
      <c r="C459" s="3" t="s">
        <v>14</v>
      </c>
      <c r="D459" s="8" t="str">
        <f>HYPERLINK("http://npthd.inbcu.com/ViewContent.aspx?filename=NPMR_FOX_2017-06-25_E.MP4$5356$5371","Big3 (FS1)")</f>
        <v>Big3 (FS1)</v>
      </c>
      <c r="E459" s="3" t="s">
        <v>30</v>
      </c>
      <c r="F459" s="3" t="s">
        <v>4917</v>
      </c>
      <c r="G459" s="3" t="s">
        <v>4918</v>
      </c>
    </row>
    <row r="460" spans="1:7">
      <c r="A460" s="6">
        <v>42911</v>
      </c>
      <c r="B460" s="3" t="s">
        <v>4621</v>
      </c>
      <c r="C460" s="3" t="s">
        <v>32</v>
      </c>
      <c r="D460" s="8" t="str">
        <f>HYPERLINK("http://npthd.inbcu.com/ViewContent.aspx?filename=NPMR_FOX_2017-06-25_E.MP4$5371$5377","LOCAL")</f>
        <v>LOCAL</v>
      </c>
      <c r="E460" s="3" t="s">
        <v>15</v>
      </c>
      <c r="F460" s="3" t="s">
        <v>4918</v>
      </c>
      <c r="G460" s="3" t="s">
        <v>4919</v>
      </c>
    </row>
    <row r="461" spans="1:7">
      <c r="A461" s="6">
        <v>42911</v>
      </c>
      <c r="B461" s="3" t="s">
        <v>4621</v>
      </c>
      <c r="C461" s="3" t="s">
        <v>14</v>
      </c>
      <c r="D461" s="8" t="str">
        <f>HYPERLINK("http://npthd.inbcu.com/ViewContent.aspx?filename=NPMR_FOX_2017-06-25_E.MP4$5377$5392","Ghosted")</f>
        <v>Ghosted</v>
      </c>
      <c r="E461" s="3" t="s">
        <v>30</v>
      </c>
      <c r="F461" s="3" t="s">
        <v>4919</v>
      </c>
      <c r="G461" s="3" t="s">
        <v>4920</v>
      </c>
    </row>
    <row r="462" spans="1:7">
      <c r="A462" s="6">
        <v>42911</v>
      </c>
      <c r="B462" s="3" t="s">
        <v>4621</v>
      </c>
      <c r="C462" s="3" t="s">
        <v>18</v>
      </c>
      <c r="D462" s="8" t="str">
        <f>HYPERLINK("http://npthd.inbcu.com/ViewContent.aspx?filename=NPMR_FOX_2017-06-25_E.MP4$5392$5464","THE SIMPSONS: caper chase")</f>
        <v>THE SIMPSONS: caper chase</v>
      </c>
      <c r="E462" s="3" t="s">
        <v>2493</v>
      </c>
      <c r="F462" s="3" t="s">
        <v>4920</v>
      </c>
      <c r="G462" s="3" t="s">
        <v>2064</v>
      </c>
    </row>
    <row r="463" spans="1:7">
      <c r="A463" s="6">
        <v>42911</v>
      </c>
      <c r="B463" s="3" t="s">
        <v>4621</v>
      </c>
      <c r="C463" s="3" t="s">
        <v>18</v>
      </c>
      <c r="D463" s="8" t="str">
        <f>HYPERLINK("http://npthd.inbcu.com/ViewContent.aspx?filename=NPMR_FOX_2017-06-25_E.MP4$5464$5949","FAMILY GUY: gronkowskbees")</f>
        <v>FAMILY GUY: gronkowskbees</v>
      </c>
      <c r="E463" s="3" t="s">
        <v>727</v>
      </c>
      <c r="F463" s="3" t="s">
        <v>2064</v>
      </c>
      <c r="G463" s="3" t="s">
        <v>2758</v>
      </c>
    </row>
    <row r="464" spans="1:7">
      <c r="A464" s="6">
        <v>42911</v>
      </c>
      <c r="B464" s="3" t="s">
        <v>4621</v>
      </c>
      <c r="C464" s="3" t="s">
        <v>21</v>
      </c>
      <c r="D464" s="8" t="str">
        <f>HYPERLINK("http://npthd.inbcu.com/ViewContent.aspx?filename=NPMR_FOX_2017-06-25_E.MP4$5949$6069","COMMERCIAL")</f>
        <v>COMMERCIAL</v>
      </c>
      <c r="E464" s="3" t="s">
        <v>43</v>
      </c>
      <c r="F464" s="3" t="s">
        <v>2758</v>
      </c>
      <c r="G464" s="3" t="s">
        <v>4921</v>
      </c>
    </row>
    <row r="465" spans="1:7">
      <c r="A465" s="6">
        <v>42911</v>
      </c>
      <c r="B465" s="3" t="s">
        <v>4621</v>
      </c>
      <c r="C465" s="3" t="s">
        <v>14</v>
      </c>
      <c r="D465" s="8" t="str">
        <f>HYPERLINK("http://npthd.inbcu.com/ViewContent.aspx?filename=NPMR_FOX_2017-06-25_E.MP4$6069$6084","Ghosted")</f>
        <v>Ghosted</v>
      </c>
      <c r="E465" s="3" t="s">
        <v>30</v>
      </c>
      <c r="F465" s="3" t="s">
        <v>4921</v>
      </c>
      <c r="G465" s="3" t="s">
        <v>4922</v>
      </c>
    </row>
    <row r="466" spans="1:7">
      <c r="A466" s="6">
        <v>42911</v>
      </c>
      <c r="B466" s="3" t="s">
        <v>4621</v>
      </c>
      <c r="C466" s="3" t="s">
        <v>18</v>
      </c>
      <c r="D466" s="8" t="str">
        <f>HYPERLINK("http://npthd.inbcu.com/ViewContent.aspx?filename=NPMR_FOX_2017-06-25_E.MP4$6084$6537","FAMILY GUY: gronkowskbees")</f>
        <v>FAMILY GUY: gronkowskbees</v>
      </c>
      <c r="E466" s="3" t="s">
        <v>1758</v>
      </c>
      <c r="F466" s="3" t="s">
        <v>4922</v>
      </c>
      <c r="G466" s="3" t="s">
        <v>1057</v>
      </c>
    </row>
    <row r="467" spans="1:7">
      <c r="A467" s="6">
        <v>42911</v>
      </c>
      <c r="B467" s="3" t="s">
        <v>4621</v>
      </c>
      <c r="C467" s="3" t="s">
        <v>21</v>
      </c>
      <c r="D467" s="8" t="str">
        <f>HYPERLINK("http://npthd.inbcu.com/ViewContent.aspx?filename=NPMR_FOX_2017-06-25_E.MP4$6537$6719","COMMERCIAL")</f>
        <v>COMMERCIAL</v>
      </c>
      <c r="E467" s="3" t="s">
        <v>275</v>
      </c>
      <c r="F467" s="3" t="s">
        <v>1057</v>
      </c>
      <c r="G467" s="3" t="s">
        <v>4630</v>
      </c>
    </row>
    <row r="468" spans="1:7">
      <c r="A468" s="6">
        <v>42911</v>
      </c>
      <c r="B468" s="3" t="s">
        <v>4621</v>
      </c>
      <c r="C468" s="3" t="s">
        <v>18</v>
      </c>
      <c r="D468" s="8" t="str">
        <f>HYPERLINK("http://npthd.inbcu.com/ViewContent.aspx?filename=NPMR_FOX_2017-06-25_E.MP4$6719$7044","FAMILY GUY: gronkowskbees")</f>
        <v>FAMILY GUY: gronkowskbees</v>
      </c>
      <c r="E468" s="3" t="s">
        <v>609</v>
      </c>
      <c r="F468" s="3" t="s">
        <v>4630</v>
      </c>
      <c r="G468" s="3" t="s">
        <v>4923</v>
      </c>
    </row>
    <row r="469" spans="1:7">
      <c r="A469" s="6">
        <v>42911</v>
      </c>
      <c r="B469" s="3" t="s">
        <v>4621</v>
      </c>
      <c r="C469" s="3" t="s">
        <v>21</v>
      </c>
      <c r="D469" s="8" t="str">
        <f>HYPERLINK("http://npthd.inbcu.com/ViewContent.aspx?filename=NPMR_FOX_2017-06-25_E.MP4$7044$7165","COMMERCIAL")</f>
        <v>COMMERCIAL</v>
      </c>
      <c r="E469" s="3" t="s">
        <v>175</v>
      </c>
      <c r="F469" s="3" t="s">
        <v>4923</v>
      </c>
      <c r="G469" s="3" t="s">
        <v>4924</v>
      </c>
    </row>
    <row r="470" spans="1:7">
      <c r="A470" s="6">
        <v>42911</v>
      </c>
      <c r="B470" s="3" t="s">
        <v>4621</v>
      </c>
      <c r="C470" s="3" t="s">
        <v>14</v>
      </c>
      <c r="D470" s="8" t="str">
        <f>HYPERLINK("http://npthd.inbcu.com/ViewContent.aspx?filename=NPMR_FOX_2017-06-25_E.MP4$7165$7175","American Grit")</f>
        <v>American Grit</v>
      </c>
      <c r="E470" s="3" t="s">
        <v>197</v>
      </c>
      <c r="F470" s="3" t="s">
        <v>4924</v>
      </c>
      <c r="G470" s="3" t="s">
        <v>4925</v>
      </c>
    </row>
    <row r="471" spans="1:7">
      <c r="A471" s="6">
        <v>42911</v>
      </c>
      <c r="B471" s="3" t="s">
        <v>4621</v>
      </c>
      <c r="C471" s="3" t="s">
        <v>18</v>
      </c>
      <c r="D471" s="8" t="str">
        <f>HYPERLINK("http://npthd.inbcu.com/ViewContent.aspx?filename=NPMR_FOX_2017-06-25_E.MP4$7175$7181","FAMILY GUY: gronkowskbees")</f>
        <v>FAMILY GUY: gronkowskbees</v>
      </c>
      <c r="E471" s="3" t="s">
        <v>15</v>
      </c>
      <c r="F471" s="3" t="s">
        <v>4925</v>
      </c>
      <c r="G471" s="3" t="s">
        <v>4631</v>
      </c>
    </row>
    <row r="472" spans="1:7">
      <c r="A472" s="6">
        <v>42911</v>
      </c>
      <c r="B472" s="3" t="s">
        <v>4621</v>
      </c>
      <c r="C472" s="3" t="s">
        <v>14</v>
      </c>
      <c r="D472" s="8" t="str">
        <f>HYPERLINK("http://npthd.inbcu.com/ViewContent.aspx?filename=NPMR_FOX_2017-06-25_E.MP4$7181$7211","Orville, The")</f>
        <v>Orville, The</v>
      </c>
      <c r="E472" s="3" t="s">
        <v>38</v>
      </c>
      <c r="F472" s="3" t="s">
        <v>4631</v>
      </c>
      <c r="G472" s="3" t="s">
        <v>1336</v>
      </c>
    </row>
    <row r="473" spans="1:7">
      <c r="A473" s="6">
        <v>42911</v>
      </c>
      <c r="B473" s="3" t="s">
        <v>4621</v>
      </c>
      <c r="C473" s="3" t="s">
        <v>32</v>
      </c>
      <c r="D473" s="8" t="str">
        <f>HYPERLINK("http://npthd.inbcu.com/ViewContent.aspx?filename=NPMR_FOX_2017-06-25_E.MP4$7211$7281","LOCAL")</f>
        <v>LOCAL</v>
      </c>
      <c r="E473" s="3" t="s">
        <v>4926</v>
      </c>
      <c r="F473" s="3" t="s">
        <v>1336</v>
      </c>
      <c r="G473" s="3" t="s">
        <v>3977</v>
      </c>
    </row>
    <row r="474" spans="1:7">
      <c r="A474" s="6">
        <v>42911</v>
      </c>
      <c r="B474" s="3" t="s">
        <v>4621</v>
      </c>
      <c r="C474" s="3" t="s">
        <v>18</v>
      </c>
      <c r="D474" s="8" t="str">
        <f>HYPERLINK("http://npthd.inbcu.com/ViewContent.aspx?filename=NPMR_FOX_2017-06-25_E.MP4$7281$7998","AMERICAN GRIT: liar liar")</f>
        <v>AMERICAN GRIT: liar liar</v>
      </c>
      <c r="E474" s="3" t="s">
        <v>3705</v>
      </c>
      <c r="F474" s="3" t="s">
        <v>3977</v>
      </c>
      <c r="G474" s="3" t="s">
        <v>3515</v>
      </c>
    </row>
    <row r="475" spans="1:7">
      <c r="A475" s="6">
        <v>42911</v>
      </c>
      <c r="B475" s="3" t="s">
        <v>4621</v>
      </c>
      <c r="C475" s="3" t="s">
        <v>21</v>
      </c>
      <c r="D475" s="8" t="str">
        <f>HYPERLINK("http://npthd.inbcu.com/ViewContent.aspx?filename=NPMR_FOX_2017-06-25_E.MP4$7998$8149","COMMERCIAL")</f>
        <v>COMMERCIAL</v>
      </c>
      <c r="E475" s="3" t="s">
        <v>91</v>
      </c>
      <c r="F475" s="3" t="s">
        <v>3515</v>
      </c>
      <c r="G475" s="3" t="s">
        <v>1719</v>
      </c>
    </row>
    <row r="476" spans="1:7">
      <c r="A476" s="6">
        <v>42911</v>
      </c>
      <c r="B476" s="3" t="s">
        <v>4621</v>
      </c>
      <c r="C476" s="3" t="s">
        <v>14</v>
      </c>
      <c r="D476" s="8" t="str">
        <f>HYPERLINK("http://npthd.inbcu.com/ViewContent.aspx?filename=NPMR_FOX_2017-06-25_E.MP4$8149$8179","Gifted")</f>
        <v>Gifted</v>
      </c>
      <c r="E476" s="3" t="s">
        <v>38</v>
      </c>
      <c r="F476" s="3" t="s">
        <v>1719</v>
      </c>
      <c r="G476" s="3" t="s">
        <v>4927</v>
      </c>
    </row>
    <row r="477" spans="1:7">
      <c r="A477" s="6">
        <v>42911</v>
      </c>
      <c r="B477" s="3" t="s">
        <v>4621</v>
      </c>
      <c r="C477" s="3" t="s">
        <v>18</v>
      </c>
      <c r="D477" s="8" t="str">
        <f>HYPERLINK("http://npthd.inbcu.com/ViewContent.aspx?filename=NPMR_FOX_2017-06-25_E.MP4$8179$8652","AMERICAN GRIT: liar liar")</f>
        <v>AMERICAN GRIT: liar liar</v>
      </c>
      <c r="E477" s="3" t="s">
        <v>3954</v>
      </c>
      <c r="F477" s="3" t="s">
        <v>4927</v>
      </c>
      <c r="G477" s="3" t="s">
        <v>1723</v>
      </c>
    </row>
    <row r="478" spans="1:7">
      <c r="A478" s="6">
        <v>42911</v>
      </c>
      <c r="B478" s="3" t="s">
        <v>4621</v>
      </c>
      <c r="C478" s="3" t="s">
        <v>21</v>
      </c>
      <c r="D478" s="8" t="str">
        <f>HYPERLINK("http://npthd.inbcu.com/ViewContent.aspx?filename=NPMR_FOX_2017-06-25_E.MP4$8652$8743","COMMERCIAL")</f>
        <v>COMMERCIAL</v>
      </c>
      <c r="E478" s="3" t="s">
        <v>77</v>
      </c>
      <c r="F478" s="3" t="s">
        <v>1723</v>
      </c>
      <c r="G478" s="3" t="s">
        <v>4928</v>
      </c>
    </row>
    <row r="479" spans="1:7">
      <c r="A479" s="6">
        <v>42911</v>
      </c>
      <c r="B479" s="3" t="s">
        <v>4621</v>
      </c>
      <c r="C479" s="3" t="s">
        <v>14</v>
      </c>
      <c r="D479" s="8" t="str">
        <f>HYPERLINK("http://npthd.inbcu.com/ViewContent.aspx?filename=NPMR_FOX_2017-06-25_E.MP4$8743$8757","Big3 (FS1)")</f>
        <v>Big3 (FS1)</v>
      </c>
      <c r="E479" s="3" t="s">
        <v>342</v>
      </c>
      <c r="F479" s="3" t="s">
        <v>4928</v>
      </c>
      <c r="G479" s="3" t="s">
        <v>1066</v>
      </c>
    </row>
    <row r="480" spans="1:7">
      <c r="A480" s="6">
        <v>42911</v>
      </c>
      <c r="B480" s="3" t="s">
        <v>4621</v>
      </c>
      <c r="C480" s="3" t="s">
        <v>32</v>
      </c>
      <c r="D480" s="8" t="str">
        <f>HYPERLINK("http://npthd.inbcu.com/ViewContent.aspx?filename=NPMR_FOX_2017-06-25_E.MP4$8757$8899","LOCAL")</f>
        <v>LOCAL</v>
      </c>
      <c r="E480" s="3" t="s">
        <v>2082</v>
      </c>
      <c r="F480" s="3" t="s">
        <v>1066</v>
      </c>
      <c r="G480" s="3" t="s">
        <v>813</v>
      </c>
    </row>
    <row r="481" spans="1:7">
      <c r="A481" s="6">
        <v>42911</v>
      </c>
      <c r="B481" s="3" t="s">
        <v>4621</v>
      </c>
      <c r="C481" s="3" t="s">
        <v>18</v>
      </c>
      <c r="D481" s="8" t="str">
        <f>HYPERLINK("http://npthd.inbcu.com/ViewContent.aspx?filename=NPMR_FOX_2017-06-25_E.MP4$8899$9443","AMERICAN GRIT: liar liar")</f>
        <v>AMERICAN GRIT: liar liar</v>
      </c>
      <c r="E481" s="3" t="s">
        <v>295</v>
      </c>
      <c r="F481" s="3" t="s">
        <v>813</v>
      </c>
      <c r="G481" s="3" t="s">
        <v>1505</v>
      </c>
    </row>
    <row r="482" spans="1:7">
      <c r="A482" s="6">
        <v>42911</v>
      </c>
      <c r="B482" s="3" t="s">
        <v>4621</v>
      </c>
      <c r="C482" s="3" t="s">
        <v>21</v>
      </c>
      <c r="D482" s="8" t="str">
        <f>HYPERLINK("http://npthd.inbcu.com/ViewContent.aspx?filename=NPMR_FOX_2017-06-25_E.MP4$9443$9639","COMMERCIAL")</f>
        <v>COMMERCIAL</v>
      </c>
      <c r="E482" s="3" t="s">
        <v>812</v>
      </c>
      <c r="F482" s="3" t="s">
        <v>1505</v>
      </c>
      <c r="G482" s="3" t="s">
        <v>818</v>
      </c>
    </row>
    <row r="483" spans="1:7">
      <c r="A483" s="6">
        <v>42911</v>
      </c>
      <c r="B483" s="3" t="s">
        <v>4621</v>
      </c>
      <c r="C483" s="3" t="s">
        <v>14</v>
      </c>
      <c r="D483" s="8" t="str">
        <f>HYPERLINK("http://npthd.inbcu.com/ViewContent.aspx?filename=NPMR_FOX_2017-06-25_E.MP4$9639$9654","F Word, The")</f>
        <v>F Word, The</v>
      </c>
      <c r="E483" s="3" t="s">
        <v>30</v>
      </c>
      <c r="F483" s="3" t="s">
        <v>818</v>
      </c>
      <c r="G483" s="3" t="s">
        <v>4929</v>
      </c>
    </row>
    <row r="484" spans="1:7">
      <c r="A484" s="6">
        <v>42911</v>
      </c>
      <c r="B484" s="3" t="s">
        <v>4621</v>
      </c>
      <c r="C484" s="3" t="s">
        <v>18</v>
      </c>
      <c r="D484" s="8" t="str">
        <f>HYPERLINK("http://npthd.inbcu.com/ViewContent.aspx?filename=NPMR_FOX_2017-06-25_E.MP4$9654$9975","AMERICAN GRIT: liar liar")</f>
        <v>AMERICAN GRIT: liar liar</v>
      </c>
      <c r="E484" s="3" t="s">
        <v>760</v>
      </c>
      <c r="F484" s="3" t="s">
        <v>4929</v>
      </c>
      <c r="G484" s="3" t="s">
        <v>4930</v>
      </c>
    </row>
    <row r="485" spans="1:7">
      <c r="A485" s="6">
        <v>42911</v>
      </c>
      <c r="B485" s="3" t="s">
        <v>4621</v>
      </c>
      <c r="C485" s="3" t="s">
        <v>21</v>
      </c>
      <c r="D485" s="8" t="str">
        <f>HYPERLINK("http://npthd.inbcu.com/ViewContent.aspx?filename=NPMR_FOX_2017-06-25_E.MP4$9975$10096","COMMERCIAL")</f>
        <v>COMMERCIAL</v>
      </c>
      <c r="E485" s="3" t="s">
        <v>175</v>
      </c>
      <c r="F485" s="3" t="s">
        <v>4930</v>
      </c>
      <c r="G485" s="3" t="s">
        <v>4931</v>
      </c>
    </row>
    <row r="486" spans="1:7">
      <c r="A486" s="6">
        <v>42911</v>
      </c>
      <c r="B486" s="3" t="s">
        <v>4621</v>
      </c>
      <c r="C486" s="3" t="s">
        <v>14</v>
      </c>
      <c r="D486" s="8" t="str">
        <f>HYPERLINK("http://npthd.inbcu.com/ViewContent.aspx?filename=NPMR_FOX_2017-06-25_E.MP4$10096$10111","Incredible Dr. Pol (Nat Geo Wild)")</f>
        <v>Incredible Dr. Pol (Nat Geo Wild)</v>
      </c>
      <c r="E486" s="3" t="s">
        <v>30</v>
      </c>
      <c r="F486" s="3" t="s">
        <v>4931</v>
      </c>
      <c r="G486" s="3" t="s">
        <v>4932</v>
      </c>
    </row>
    <row r="487" spans="1:7">
      <c r="A487" s="6">
        <v>42911</v>
      </c>
      <c r="B487" s="3" t="s">
        <v>4621</v>
      </c>
      <c r="C487" s="3" t="s">
        <v>32</v>
      </c>
      <c r="D487" s="8" t="str">
        <f>HYPERLINK("http://npthd.inbcu.com/ViewContent.aspx?filename=NPMR_FOX_2017-06-25_E.MP4$10111$10202","LOCAL")</f>
        <v>LOCAL</v>
      </c>
      <c r="E487" s="3" t="s">
        <v>77</v>
      </c>
      <c r="F487" s="3" t="s">
        <v>4932</v>
      </c>
      <c r="G487" s="3" t="s">
        <v>270</v>
      </c>
    </row>
    <row r="488" spans="1:7">
      <c r="A488" s="6">
        <v>42911</v>
      </c>
      <c r="B488" s="3" t="s">
        <v>4621</v>
      </c>
      <c r="C488" s="3" t="s">
        <v>18</v>
      </c>
      <c r="D488" s="8" t="str">
        <f>HYPERLINK("http://npthd.inbcu.com/ViewContent.aspx?filename=NPMR_FOX_2017-06-25_E.MP4$10202$10551","AMERICAN GRIT: liar liar")</f>
        <v>AMERICAN GRIT: liar liar</v>
      </c>
      <c r="E488" s="3" t="s">
        <v>4933</v>
      </c>
      <c r="F488" s="3" t="s">
        <v>270</v>
      </c>
      <c r="G488" s="3" t="s">
        <v>4934</v>
      </c>
    </row>
    <row r="489" spans="1:7">
      <c r="A489" s="6">
        <v>42911</v>
      </c>
      <c r="B489" s="3" t="s">
        <v>4621</v>
      </c>
      <c r="C489" s="3" t="s">
        <v>21</v>
      </c>
      <c r="D489" s="8" t="str">
        <f>HYPERLINK("http://npthd.inbcu.com/ViewContent.aspx?filename=NPMR_FOX_2017-06-25_E.MP4$10551$10642","COMMERCIAL")</f>
        <v>COMMERCIAL</v>
      </c>
      <c r="E489" s="3" t="s">
        <v>77</v>
      </c>
      <c r="F489" s="3" t="s">
        <v>4934</v>
      </c>
      <c r="G489" s="3" t="s">
        <v>4935</v>
      </c>
    </row>
    <row r="490" spans="1:7">
      <c r="A490" s="6">
        <v>42911</v>
      </c>
      <c r="B490" s="3" t="s">
        <v>4621</v>
      </c>
      <c r="C490" s="3" t="s">
        <v>14</v>
      </c>
      <c r="D490" s="8" t="str">
        <f>HYPERLINK("http://npthd.inbcu.com/ViewContent.aspx?filename=NPMR_FOX_2017-06-25_E.MP4$10642$10656","Snowfall (FX)")</f>
        <v>Snowfall (FX)</v>
      </c>
      <c r="E490" s="3" t="s">
        <v>342</v>
      </c>
      <c r="F490" s="3" t="s">
        <v>4935</v>
      </c>
      <c r="G490" s="3" t="s">
        <v>4936</v>
      </c>
    </row>
    <row r="491" spans="1:7">
      <c r="A491" s="6">
        <v>42911</v>
      </c>
      <c r="B491" s="3" t="s">
        <v>4621</v>
      </c>
      <c r="C491" s="3" t="s">
        <v>32</v>
      </c>
      <c r="D491" s="8" t="str">
        <f>HYPERLINK("http://npthd.inbcu.com/ViewContent.aspx?filename=NPMR_FOX_2017-06-25_E.MP4$10656$10677","LOCAL")</f>
        <v>LOCAL</v>
      </c>
      <c r="E491" s="3" t="s">
        <v>2067</v>
      </c>
      <c r="F491" s="3" t="s">
        <v>4936</v>
      </c>
      <c r="G491" s="3" t="s">
        <v>4937</v>
      </c>
    </row>
    <row r="492" spans="1:7">
      <c r="A492" s="6">
        <v>42911</v>
      </c>
      <c r="B492" s="3" t="s">
        <v>4621</v>
      </c>
      <c r="C492" s="3" t="s">
        <v>14</v>
      </c>
      <c r="D492" s="8" t="str">
        <f>HYPERLINK("http://npthd.inbcu.com/ViewContent.aspx?filename=NPMR_FOX_2017-06-25_E.MP4$10677$10698","So You Think You Can Dance?")</f>
        <v>So You Think You Can Dance?</v>
      </c>
      <c r="E492" s="3" t="s">
        <v>2067</v>
      </c>
      <c r="F492" s="3" t="s">
        <v>4937</v>
      </c>
      <c r="G492" s="3" t="s">
        <v>3477</v>
      </c>
    </row>
    <row r="493" spans="1:7">
      <c r="A493" s="6">
        <v>42911</v>
      </c>
      <c r="B493" s="3" t="s">
        <v>4621</v>
      </c>
      <c r="C493" s="3" t="s">
        <v>18</v>
      </c>
      <c r="D493" s="8" t="str">
        <f>HYPERLINK("http://npthd.inbcu.com/ViewContent.aspx?filename=NPMR_FOX_2017-06-25_E.MP4$10698$10838","AMERICAN GRIT: liar liar")</f>
        <v>AMERICAN GRIT: liar liar</v>
      </c>
      <c r="E493" s="3" t="s">
        <v>623</v>
      </c>
      <c r="F493" s="3" t="s">
        <v>3477</v>
      </c>
      <c r="G493" s="3" t="s">
        <v>4938</v>
      </c>
    </row>
    <row r="494" spans="1:7">
      <c r="A494" s="6">
        <v>42911</v>
      </c>
      <c r="B494" s="3" t="s">
        <v>4621</v>
      </c>
      <c r="C494" s="3" t="s">
        <v>14</v>
      </c>
      <c r="D494" s="8" t="str">
        <f>HYPERLINK("http://npthd.inbcu.com/ViewContent.aspx?filename=NPMR_FOX_2017-06-25_E.MP4$10838$10868","American Grit")</f>
        <v>American Grit</v>
      </c>
      <c r="E494" s="3" t="s">
        <v>38</v>
      </c>
      <c r="F494" s="3" t="s">
        <v>4938</v>
      </c>
      <c r="G494" s="3" t="s">
        <v>3989</v>
      </c>
    </row>
    <row r="495" spans="1:7">
      <c r="A495" s="6">
        <v>42911</v>
      </c>
      <c r="B495" s="3" t="s">
        <v>4621</v>
      </c>
      <c r="C495" s="3" t="s">
        <v>18</v>
      </c>
      <c r="D495" s="8" t="str">
        <f>HYPERLINK("http://npthd.inbcu.com/ViewContent.aspx?filename=NPMR_FOX_2017-06-25_E.MP4$10868$10879","AMERICAN GRIT: liar liar")</f>
        <v>AMERICAN GRIT: liar liar</v>
      </c>
      <c r="E495" s="3" t="s">
        <v>1940</v>
      </c>
      <c r="F495" s="3" t="s">
        <v>3989</v>
      </c>
      <c r="G495" s="3" t="s">
        <v>3393</v>
      </c>
    </row>
    <row r="496" spans="1:7">
      <c r="A496" s="6">
        <v>42911</v>
      </c>
      <c r="B496" s="3" t="s">
        <v>4621</v>
      </c>
      <c r="C496" s="3" t="s">
        <v>32</v>
      </c>
      <c r="D496" s="8" t="str">
        <f>HYPERLINK("http://npthd.inbcu.com/ViewContent.aspx?filename=NPMR_FOX_2017-06-25_E.MP4$10879$10890","LOCAL")</f>
        <v>LOCAL</v>
      </c>
      <c r="E496" s="3" t="s">
        <v>1940</v>
      </c>
      <c r="F496" s="3" t="s">
        <v>3393</v>
      </c>
      <c r="G496" s="3" t="s">
        <v>394</v>
      </c>
    </row>
    <row r="497" spans="1:7">
      <c r="A497" s="6">
        <v>42912</v>
      </c>
      <c r="B497" s="3" t="s">
        <v>4621</v>
      </c>
      <c r="C497" s="3" t="s">
        <v>18</v>
      </c>
      <c r="D497" s="8" t="str">
        <f>HYPERLINK("http://npthd.inbcu.com/ViewContent.aspx?filename=NPMR_FOX_2017-06-26_E.MP4$49$601","SO YOU THINK YOU CAN DANCE? : new york auditions #1")</f>
        <v>SO YOU THINK YOU CAN DANCE? : new york auditions #1</v>
      </c>
      <c r="E497" s="3" t="s">
        <v>4939</v>
      </c>
      <c r="F497" s="3" t="s">
        <v>16</v>
      </c>
      <c r="G497" s="3" t="s">
        <v>4940</v>
      </c>
    </row>
    <row r="498" spans="1:7">
      <c r="A498" s="6">
        <v>42912</v>
      </c>
      <c r="B498" s="3" t="s">
        <v>4621</v>
      </c>
      <c r="C498" s="3" t="s">
        <v>21</v>
      </c>
      <c r="D498" s="8" t="str">
        <f>HYPERLINK("http://npthd.inbcu.com/ViewContent.aspx?filename=NPMR_FOX_2017-06-26_E.MP4$601$752","COMMERCIAL")</f>
        <v>COMMERCIAL</v>
      </c>
      <c r="E498" s="3" t="s">
        <v>91</v>
      </c>
      <c r="F498" s="3" t="s">
        <v>4940</v>
      </c>
      <c r="G498" s="3" t="s">
        <v>4941</v>
      </c>
    </row>
    <row r="499" spans="1:7">
      <c r="A499" s="6">
        <v>42912</v>
      </c>
      <c r="B499" s="3" t="s">
        <v>4621</v>
      </c>
      <c r="C499" s="3" t="s">
        <v>14</v>
      </c>
      <c r="D499" s="8" t="str">
        <f>HYPERLINK("http://npthd.inbcu.com/ViewContent.aspx?filename=NPMR_FOX_2017-06-26_E.MP4$752$782","Gifted")</f>
        <v>Gifted</v>
      </c>
      <c r="E499" s="3" t="s">
        <v>38</v>
      </c>
      <c r="F499" s="3" t="s">
        <v>4941</v>
      </c>
      <c r="G499" s="3" t="s">
        <v>4942</v>
      </c>
    </row>
    <row r="500" spans="1:7">
      <c r="A500" s="6">
        <v>42912</v>
      </c>
      <c r="B500" s="3" t="s">
        <v>4621</v>
      </c>
      <c r="C500" s="3" t="s">
        <v>18</v>
      </c>
      <c r="D500" s="8" t="str">
        <f>HYPERLINK("http://npthd.inbcu.com/ViewContent.aspx?filename=NPMR_FOX_2017-06-26_E.MP4$782$1136","SO YOU THINK YOU CAN DANCE? : new york auditions #1")</f>
        <v>SO YOU THINK YOU CAN DANCE? : new york auditions #1</v>
      </c>
      <c r="E500" s="3" t="s">
        <v>437</v>
      </c>
      <c r="F500" s="3" t="s">
        <v>4942</v>
      </c>
      <c r="G500" s="3" t="s">
        <v>1768</v>
      </c>
    </row>
    <row r="501" spans="1:7">
      <c r="A501" s="6">
        <v>42912</v>
      </c>
      <c r="B501" s="3" t="s">
        <v>4621</v>
      </c>
      <c r="C501" s="3" t="s">
        <v>21</v>
      </c>
      <c r="D501" s="8" t="str">
        <f>HYPERLINK("http://npthd.inbcu.com/ViewContent.aspx?filename=NPMR_FOX_2017-06-26_E.MP4$1136$1272","COMMERCIAL")</f>
        <v>COMMERCIAL</v>
      </c>
      <c r="E501" s="3" t="s">
        <v>668</v>
      </c>
      <c r="F501" s="3" t="s">
        <v>1768</v>
      </c>
      <c r="G501" s="3" t="s">
        <v>4943</v>
      </c>
    </row>
    <row r="502" spans="1:7">
      <c r="A502" s="6">
        <v>42912</v>
      </c>
      <c r="B502" s="3" t="s">
        <v>4621</v>
      </c>
      <c r="C502" s="3" t="s">
        <v>14</v>
      </c>
      <c r="D502" s="8" t="str">
        <f>HYPERLINK("http://npthd.inbcu.com/ViewContent.aspx?filename=NPMR_FOX_2017-06-26_E.MP4$1272$1287","Earth Live (Nat Geo)")</f>
        <v>Earth Live (Nat Geo)</v>
      </c>
      <c r="E502" s="3" t="s">
        <v>30</v>
      </c>
      <c r="F502" s="3" t="s">
        <v>4943</v>
      </c>
      <c r="G502" s="3" t="s">
        <v>2809</v>
      </c>
    </row>
    <row r="503" spans="1:7">
      <c r="A503" s="6">
        <v>42912</v>
      </c>
      <c r="B503" s="3" t="s">
        <v>4621</v>
      </c>
      <c r="C503" s="3" t="s">
        <v>32</v>
      </c>
      <c r="D503" s="8" t="str">
        <f>HYPERLINK("http://npthd.inbcu.com/ViewContent.aspx?filename=NPMR_FOX_2017-06-26_E.MP4$1287$1378","LOCAL")</f>
        <v>LOCAL</v>
      </c>
      <c r="E503" s="3" t="s">
        <v>77</v>
      </c>
      <c r="F503" s="3" t="s">
        <v>2809</v>
      </c>
      <c r="G503" s="3" t="s">
        <v>4944</v>
      </c>
    </row>
    <row r="504" spans="1:7">
      <c r="A504" s="6">
        <v>42912</v>
      </c>
      <c r="B504" s="3" t="s">
        <v>4621</v>
      </c>
      <c r="C504" s="3" t="s">
        <v>18</v>
      </c>
      <c r="D504" s="8" t="str">
        <f>HYPERLINK("http://npthd.inbcu.com/ViewContent.aspx?filename=NPMR_FOX_2017-06-26_E.MP4$1378$2047","SO YOU THINK YOU CAN DANCE? : new york auditions #1")</f>
        <v>SO YOU THINK YOU CAN DANCE? : new york auditions #1</v>
      </c>
      <c r="E504" s="3" t="s">
        <v>4945</v>
      </c>
      <c r="F504" s="3" t="s">
        <v>4944</v>
      </c>
      <c r="G504" s="3" t="s">
        <v>139</v>
      </c>
    </row>
    <row r="505" spans="1:7">
      <c r="A505" s="6">
        <v>42912</v>
      </c>
      <c r="B505" s="3" t="s">
        <v>4621</v>
      </c>
      <c r="C505" s="3" t="s">
        <v>21</v>
      </c>
      <c r="D505" s="8" t="str">
        <f>HYPERLINK("http://npthd.inbcu.com/ViewContent.aspx?filename=NPMR_FOX_2017-06-26_E.MP4$2047$2228","COMMERCIAL")</f>
        <v>COMMERCIAL</v>
      </c>
      <c r="E505" s="3" t="s">
        <v>108</v>
      </c>
      <c r="F505" s="3" t="s">
        <v>139</v>
      </c>
      <c r="G505" s="3" t="s">
        <v>4946</v>
      </c>
    </row>
    <row r="506" spans="1:7">
      <c r="A506" s="6">
        <v>42912</v>
      </c>
      <c r="B506" s="3" t="s">
        <v>4621</v>
      </c>
      <c r="C506" s="3" t="s">
        <v>14</v>
      </c>
      <c r="D506" s="8" t="str">
        <f>HYPERLINK("http://npthd.inbcu.com/ViewContent.aspx?filename=NPMR_FOX_2017-06-26_E.MP4$2228$2248","Beat Shazam / Love Connection")</f>
        <v>Beat Shazam / Love Connection</v>
      </c>
      <c r="E506" s="3" t="s">
        <v>1805</v>
      </c>
      <c r="F506" s="3" t="s">
        <v>4946</v>
      </c>
      <c r="G506" s="3" t="s">
        <v>4947</v>
      </c>
    </row>
    <row r="507" spans="1:7">
      <c r="A507" s="6">
        <v>42912</v>
      </c>
      <c r="B507" s="3" t="s">
        <v>4621</v>
      </c>
      <c r="C507" s="3" t="s">
        <v>18</v>
      </c>
      <c r="D507" s="8" t="str">
        <f>HYPERLINK("http://npthd.inbcu.com/ViewContent.aspx?filename=NPMR_FOX_2017-06-26_E.MP4$2248$2549","SO YOU THINK YOU CAN DANCE? : new york auditions #1")</f>
        <v>SO YOU THINK YOU CAN DANCE? : new york auditions #1</v>
      </c>
      <c r="E507" s="3" t="s">
        <v>3722</v>
      </c>
      <c r="F507" s="3" t="s">
        <v>4947</v>
      </c>
      <c r="G507" s="3" t="s">
        <v>2141</v>
      </c>
    </row>
    <row r="508" spans="1:7">
      <c r="A508" s="6">
        <v>42912</v>
      </c>
      <c r="B508" s="3" t="s">
        <v>4621</v>
      </c>
      <c r="C508" s="3" t="s">
        <v>21</v>
      </c>
      <c r="D508" s="8" t="str">
        <f>HYPERLINK("http://npthd.inbcu.com/ViewContent.aspx?filename=NPMR_FOX_2017-06-26_E.MP4$2549$2640","COMMERCIAL")</f>
        <v>COMMERCIAL</v>
      </c>
      <c r="E508" s="3" t="s">
        <v>77</v>
      </c>
      <c r="F508" s="3" t="s">
        <v>2141</v>
      </c>
      <c r="G508" s="3" t="s">
        <v>4948</v>
      </c>
    </row>
    <row r="509" spans="1:7">
      <c r="A509" s="6">
        <v>42912</v>
      </c>
      <c r="B509" s="3" t="s">
        <v>4621</v>
      </c>
      <c r="C509" s="3" t="s">
        <v>14</v>
      </c>
      <c r="D509" s="8" t="str">
        <f>HYPERLINK("http://npthd.inbcu.com/ViewContent.aspx?filename=NPMR_FOX_2017-06-26_E.MP4$2640$2650","Snowfall (FX)")</f>
        <v>Snowfall (FX)</v>
      </c>
      <c r="E509" s="3" t="s">
        <v>197</v>
      </c>
      <c r="F509" s="3" t="s">
        <v>4948</v>
      </c>
      <c r="G509" s="3" t="s">
        <v>4949</v>
      </c>
    </row>
    <row r="510" spans="1:7">
      <c r="A510" s="6">
        <v>42912</v>
      </c>
      <c r="B510" s="3" t="s">
        <v>4621</v>
      </c>
      <c r="C510" s="3" t="s">
        <v>32</v>
      </c>
      <c r="D510" s="8" t="str">
        <f>HYPERLINK("http://npthd.inbcu.com/ViewContent.aspx?filename=NPMR_FOX_2017-06-26_E.MP4$2650$2790","LOCAL")</f>
        <v>LOCAL</v>
      </c>
      <c r="E510" s="3" t="s">
        <v>623</v>
      </c>
      <c r="F510" s="3" t="s">
        <v>4949</v>
      </c>
      <c r="G510" s="3" t="s">
        <v>4950</v>
      </c>
    </row>
    <row r="511" spans="1:7">
      <c r="A511" s="6">
        <v>42912</v>
      </c>
      <c r="B511" s="3" t="s">
        <v>4621</v>
      </c>
      <c r="C511" s="3" t="s">
        <v>18</v>
      </c>
      <c r="D511" s="8" t="str">
        <f>HYPERLINK("http://npthd.inbcu.com/ViewContent.aspx?filename=NPMR_FOX_2017-06-26_E.MP4$2790$3102","SO YOU THINK YOU CAN DANCE? : new york auditions #1")</f>
        <v>SO YOU THINK YOU CAN DANCE? : new york auditions #1</v>
      </c>
      <c r="E511" s="3" t="s">
        <v>1493</v>
      </c>
      <c r="F511" s="3" t="s">
        <v>4950</v>
      </c>
      <c r="G511" s="3" t="s">
        <v>3670</v>
      </c>
    </row>
    <row r="512" spans="1:7">
      <c r="A512" s="6">
        <v>42912</v>
      </c>
      <c r="B512" s="3" t="s">
        <v>4621</v>
      </c>
      <c r="C512" s="3" t="s">
        <v>21</v>
      </c>
      <c r="D512" s="8" t="str">
        <f>HYPERLINK("http://npthd.inbcu.com/ViewContent.aspx?filename=NPMR_FOX_2017-06-26_E.MP4$3102$3253","COMMERCIAL")</f>
        <v>COMMERCIAL</v>
      </c>
      <c r="E512" s="3" t="s">
        <v>91</v>
      </c>
      <c r="F512" s="3" t="s">
        <v>3670</v>
      </c>
      <c r="G512" s="3" t="s">
        <v>4951</v>
      </c>
    </row>
    <row r="513" spans="1:7">
      <c r="A513" s="6">
        <v>42912</v>
      </c>
      <c r="B513" s="3" t="s">
        <v>4621</v>
      </c>
      <c r="C513" s="3" t="s">
        <v>14</v>
      </c>
      <c r="D513" s="8" t="str">
        <f>HYPERLINK("http://npthd.inbcu.com/ViewContent.aspx?filename=NPMR_FOX_2017-06-26_E.MP4$3253$3273","Master Chef / F Word")</f>
        <v>Master Chef / F Word</v>
      </c>
      <c r="E513" s="3" t="s">
        <v>1805</v>
      </c>
      <c r="F513" s="3" t="s">
        <v>4951</v>
      </c>
      <c r="G513" s="3" t="s">
        <v>1273</v>
      </c>
    </row>
    <row r="514" spans="1:7">
      <c r="A514" s="6">
        <v>42912</v>
      </c>
      <c r="B514" s="3" t="s">
        <v>4621</v>
      </c>
      <c r="C514" s="3" t="s">
        <v>32</v>
      </c>
      <c r="D514" s="8" t="str">
        <f>HYPERLINK("http://npthd.inbcu.com/ViewContent.aspx?filename=NPMR_FOX_2017-06-26_E.MP4$3273$3285","LOCAL")</f>
        <v>LOCAL</v>
      </c>
      <c r="E514" s="3" t="s">
        <v>2057</v>
      </c>
      <c r="F514" s="3" t="s">
        <v>1273</v>
      </c>
      <c r="G514" s="3" t="s">
        <v>4952</v>
      </c>
    </row>
    <row r="515" spans="1:7">
      <c r="A515" s="6">
        <v>42912</v>
      </c>
      <c r="B515" s="3" t="s">
        <v>4621</v>
      </c>
      <c r="C515" s="3" t="s">
        <v>14</v>
      </c>
      <c r="D515" s="8" t="str">
        <f>HYPERLINK("http://npthd.inbcu.com/ViewContent.aspx?filename=NPMR_FOX_2017-06-26_E.MP4$3285$3300","Super Human")</f>
        <v>Super Human</v>
      </c>
      <c r="E515" s="3" t="s">
        <v>30</v>
      </c>
      <c r="F515" s="3" t="s">
        <v>4952</v>
      </c>
      <c r="G515" s="3" t="s">
        <v>4953</v>
      </c>
    </row>
    <row r="516" spans="1:7">
      <c r="A516" s="6">
        <v>42912</v>
      </c>
      <c r="B516" s="3" t="s">
        <v>4621</v>
      </c>
      <c r="C516" s="3" t="s">
        <v>18</v>
      </c>
      <c r="D516" s="8" t="str">
        <f>HYPERLINK("http://npthd.inbcu.com/ViewContent.aspx?filename=NPMR_FOX_2017-06-26_E.MP4$3300$3660","SO YOU THINK YOU CAN DANCE? : new york auditions #1")</f>
        <v>SO YOU THINK YOU CAN DANCE? : new york auditions #1</v>
      </c>
      <c r="E516" s="3" t="s">
        <v>190</v>
      </c>
      <c r="F516" s="3" t="s">
        <v>4953</v>
      </c>
      <c r="G516" s="3" t="s">
        <v>4954</v>
      </c>
    </row>
    <row r="517" spans="1:7">
      <c r="A517" s="6">
        <v>42912</v>
      </c>
      <c r="B517" s="3" t="s">
        <v>4621</v>
      </c>
      <c r="C517" s="3" t="s">
        <v>14</v>
      </c>
      <c r="D517" s="8" t="str">
        <f>HYPERLINK("http://npthd.inbcu.com/ViewContent.aspx?filename=NPMR_FOX_2017-06-26_E.MP4$3660$3690","So You Think You Can Dance?")</f>
        <v>So You Think You Can Dance?</v>
      </c>
      <c r="E517" s="3" t="s">
        <v>38</v>
      </c>
      <c r="F517" s="3" t="s">
        <v>4954</v>
      </c>
      <c r="G517" s="3" t="s">
        <v>4955</v>
      </c>
    </row>
    <row r="518" spans="1:7">
      <c r="A518" s="6">
        <v>42912</v>
      </c>
      <c r="B518" s="3" t="s">
        <v>4621</v>
      </c>
      <c r="C518" s="3" t="s">
        <v>18</v>
      </c>
      <c r="D518" s="8" t="str">
        <f>HYPERLINK("http://npthd.inbcu.com/ViewContent.aspx?filename=NPMR_FOX_2017-06-26_E.MP4$3690$3696","SO YOU THINK YOU CAN DANCE? : new york auditions #1")</f>
        <v>SO YOU THINK YOU CAN DANCE? : new york auditions #1</v>
      </c>
      <c r="E518" s="3" t="s">
        <v>15</v>
      </c>
      <c r="F518" s="3" t="s">
        <v>4955</v>
      </c>
      <c r="G518" s="3" t="s">
        <v>4956</v>
      </c>
    </row>
    <row r="519" spans="1:7">
      <c r="A519" s="6">
        <v>42912</v>
      </c>
      <c r="B519" s="3" t="s">
        <v>4621</v>
      </c>
      <c r="C519" s="3" t="s">
        <v>18</v>
      </c>
      <c r="D519" s="8" t="str">
        <f>HYPERLINK("http://npthd.inbcu.com/ViewContent.aspx?filename=NPMR_FOX_2017-06-26_E.MP4$3696$4344","SUPERHUMAN: believe the unbelievable")</f>
        <v>SUPERHUMAN: believe the unbelievable</v>
      </c>
      <c r="E519" s="3" t="s">
        <v>4957</v>
      </c>
      <c r="F519" s="3" t="s">
        <v>4956</v>
      </c>
      <c r="G519" s="3" t="s">
        <v>4958</v>
      </c>
    </row>
    <row r="520" spans="1:7">
      <c r="A520" s="6">
        <v>42912</v>
      </c>
      <c r="B520" s="3" t="s">
        <v>4621</v>
      </c>
      <c r="C520" s="3" t="s">
        <v>21</v>
      </c>
      <c r="D520" s="8" t="str">
        <f>HYPERLINK("http://npthd.inbcu.com/ViewContent.aspx?filename=NPMR_FOX_2017-06-26_E.MP4$4344$4495","COMMERCIAL")</f>
        <v>COMMERCIAL</v>
      </c>
      <c r="E520" s="3" t="s">
        <v>91</v>
      </c>
      <c r="F520" s="3" t="s">
        <v>4958</v>
      </c>
      <c r="G520" s="3" t="s">
        <v>4959</v>
      </c>
    </row>
    <row r="521" spans="1:7">
      <c r="A521" s="6">
        <v>42912</v>
      </c>
      <c r="B521" s="3" t="s">
        <v>4621</v>
      </c>
      <c r="C521" s="3" t="s">
        <v>14</v>
      </c>
      <c r="D521" s="8" t="str">
        <f>HYPERLINK("http://npthd.inbcu.com/ViewContent.aspx?filename=NPMR_FOX_2017-06-26_E.MP4$4495$4525","Gifted")</f>
        <v>Gifted</v>
      </c>
      <c r="E521" s="3" t="s">
        <v>38</v>
      </c>
      <c r="F521" s="3" t="s">
        <v>4959</v>
      </c>
      <c r="G521" s="3" t="s">
        <v>4960</v>
      </c>
    </row>
    <row r="522" spans="1:7">
      <c r="A522" s="6">
        <v>42912</v>
      </c>
      <c r="B522" s="3" t="s">
        <v>4621</v>
      </c>
      <c r="C522" s="3" t="s">
        <v>18</v>
      </c>
      <c r="D522" s="8" t="str">
        <f>HYPERLINK("http://npthd.inbcu.com/ViewContent.aspx?filename=NPMR_FOX_2017-06-26_E.MP4$4525$4894","SUPERHUMAN: believe the unbelievable")</f>
        <v>SUPERHUMAN: believe the unbelievable</v>
      </c>
      <c r="E522" s="3" t="s">
        <v>4961</v>
      </c>
      <c r="F522" s="3" t="s">
        <v>4960</v>
      </c>
      <c r="G522" s="3" t="s">
        <v>4962</v>
      </c>
    </row>
    <row r="523" spans="1:7">
      <c r="A523" s="6">
        <v>42912</v>
      </c>
      <c r="B523" s="3" t="s">
        <v>4621</v>
      </c>
      <c r="C523" s="3" t="s">
        <v>21</v>
      </c>
      <c r="D523" s="8" t="str">
        <f>HYPERLINK("http://npthd.inbcu.com/ViewContent.aspx?filename=NPMR_FOX_2017-06-26_E.MP4$4894$4984","COMMERCIAL")</f>
        <v>COMMERCIAL</v>
      </c>
      <c r="E523" s="3" t="s">
        <v>46</v>
      </c>
      <c r="F523" s="3" t="s">
        <v>4962</v>
      </c>
      <c r="G523" s="3" t="s">
        <v>4963</v>
      </c>
    </row>
    <row r="524" spans="1:7">
      <c r="A524" s="6">
        <v>42912</v>
      </c>
      <c r="B524" s="3" t="s">
        <v>4621</v>
      </c>
      <c r="C524" s="3" t="s">
        <v>14</v>
      </c>
      <c r="D524" s="8" t="str">
        <f>HYPERLINK("http://npthd.inbcu.com/ViewContent.aspx?filename=NPMR_FOX_2017-06-26_E.MP4$4984$4999","Dr. Pole (Nat Geo Wild)")</f>
        <v>Dr. Pole (Nat Geo Wild)</v>
      </c>
      <c r="E524" s="3" t="s">
        <v>30</v>
      </c>
      <c r="F524" s="3" t="s">
        <v>4963</v>
      </c>
      <c r="G524" s="3" t="s">
        <v>647</v>
      </c>
    </row>
    <row r="525" spans="1:7">
      <c r="A525" s="6">
        <v>42912</v>
      </c>
      <c r="B525" s="3" t="s">
        <v>4621</v>
      </c>
      <c r="C525" s="3" t="s">
        <v>32</v>
      </c>
      <c r="D525" s="8" t="str">
        <f>HYPERLINK("http://npthd.inbcu.com/ViewContent.aspx?filename=NPMR_FOX_2017-06-26_E.MP4$4999$5141","LOCAL")</f>
        <v>LOCAL</v>
      </c>
      <c r="E525" s="3" t="s">
        <v>2082</v>
      </c>
      <c r="F525" s="3" t="s">
        <v>647</v>
      </c>
      <c r="G525" s="3" t="s">
        <v>4964</v>
      </c>
    </row>
    <row r="526" spans="1:7">
      <c r="A526" s="6">
        <v>42912</v>
      </c>
      <c r="B526" s="3" t="s">
        <v>4621</v>
      </c>
      <c r="C526" s="3" t="s">
        <v>18</v>
      </c>
      <c r="D526" s="8" t="str">
        <f>HYPERLINK("http://npthd.inbcu.com/ViewContent.aspx?filename=NPMR_FOX_2017-06-26_E.MP4$5141$5706","SUPERHUMAN: believe the unbelievable")</f>
        <v>SUPERHUMAN: believe the unbelievable</v>
      </c>
      <c r="E526" s="3" t="s">
        <v>4965</v>
      </c>
      <c r="F526" s="3" t="s">
        <v>4964</v>
      </c>
      <c r="G526" s="3" t="s">
        <v>4966</v>
      </c>
    </row>
    <row r="527" spans="1:7">
      <c r="A527" s="6">
        <v>42912</v>
      </c>
      <c r="B527" s="3" t="s">
        <v>4621</v>
      </c>
      <c r="C527" s="3" t="s">
        <v>21</v>
      </c>
      <c r="D527" s="8" t="str">
        <f>HYPERLINK("http://npthd.inbcu.com/ViewContent.aspx?filename=NPMR_FOX_2017-06-26_E.MP4$5706$5887","COMMERCIAL")</f>
        <v>COMMERCIAL</v>
      </c>
      <c r="E527" s="3" t="s">
        <v>108</v>
      </c>
      <c r="F527" s="3" t="s">
        <v>4966</v>
      </c>
      <c r="G527" s="3" t="s">
        <v>4967</v>
      </c>
    </row>
    <row r="528" spans="1:7">
      <c r="A528" s="6">
        <v>42912</v>
      </c>
      <c r="B528" s="3" t="s">
        <v>4621</v>
      </c>
      <c r="C528" s="3" t="s">
        <v>18</v>
      </c>
      <c r="D528" s="8" t="str">
        <f>HYPERLINK("http://npthd.inbcu.com/ViewContent.aspx?filename=NPMR_FOX_2017-06-26_E.MP4$5887$6151","SO YOU THINK YOU CAN DANCE? : new york auditions #1")</f>
        <v>SO YOU THINK YOU CAN DANCE? : new york auditions #1</v>
      </c>
      <c r="E528" s="3" t="s">
        <v>4968</v>
      </c>
      <c r="F528" s="3" t="s">
        <v>4967</v>
      </c>
      <c r="G528" s="3" t="s">
        <v>4969</v>
      </c>
    </row>
    <row r="529" spans="1:7">
      <c r="A529" s="6">
        <v>42912</v>
      </c>
      <c r="B529" s="3" t="s">
        <v>4621</v>
      </c>
      <c r="C529" s="3" t="s">
        <v>21</v>
      </c>
      <c r="D529" s="8" t="str">
        <f>HYPERLINK("http://npthd.inbcu.com/ViewContent.aspx?filename=NPMR_FOX_2017-06-26_E.MP4$6151$6242","COMMERCIAL")</f>
        <v>COMMERCIAL</v>
      </c>
      <c r="E529" s="3" t="s">
        <v>77</v>
      </c>
      <c r="F529" s="3" t="s">
        <v>4969</v>
      </c>
      <c r="G529" s="3" t="s">
        <v>3088</v>
      </c>
    </row>
    <row r="530" spans="1:7">
      <c r="A530" s="6">
        <v>42912</v>
      </c>
      <c r="B530" s="3" t="s">
        <v>4621</v>
      </c>
      <c r="C530" s="3" t="s">
        <v>14</v>
      </c>
      <c r="D530" s="8" t="str">
        <f>HYPERLINK("http://npthd.inbcu.com/ViewContent.aspx?filename=NPMR_FOX_2017-06-26_E.MP4$6242$6257","Snowfall (FX)")</f>
        <v>Snowfall (FX)</v>
      </c>
      <c r="E530" s="3" t="s">
        <v>30</v>
      </c>
      <c r="F530" s="3" t="s">
        <v>3088</v>
      </c>
      <c r="G530" s="3" t="s">
        <v>4970</v>
      </c>
    </row>
    <row r="531" spans="1:7">
      <c r="A531" s="6">
        <v>42912</v>
      </c>
      <c r="B531" s="3" t="s">
        <v>4621</v>
      </c>
      <c r="C531" s="3" t="s">
        <v>32</v>
      </c>
      <c r="D531" s="8" t="str">
        <f>HYPERLINK("http://npthd.inbcu.com/ViewContent.aspx?filename=NPMR_FOX_2017-06-26_E.MP4$6257$6348","LOCAL")</f>
        <v>LOCAL</v>
      </c>
      <c r="E531" s="3" t="s">
        <v>77</v>
      </c>
      <c r="F531" s="3" t="s">
        <v>4970</v>
      </c>
      <c r="G531" s="3" t="s">
        <v>4971</v>
      </c>
    </row>
    <row r="532" spans="1:7">
      <c r="A532" s="6">
        <v>42912</v>
      </c>
      <c r="B532" s="3" t="s">
        <v>4621</v>
      </c>
      <c r="C532" s="3" t="s">
        <v>18</v>
      </c>
      <c r="D532" s="8" t="str">
        <f>HYPERLINK("http://npthd.inbcu.com/ViewContent.aspx?filename=NPMR_FOX_2017-06-26_E.MP4$6348$6749","SUPERHUMAN: believe the unbelievable")</f>
        <v>SUPERHUMAN: believe the unbelievable</v>
      </c>
      <c r="E532" s="3" t="s">
        <v>421</v>
      </c>
      <c r="F532" s="3" t="s">
        <v>4971</v>
      </c>
      <c r="G532" s="3" t="s">
        <v>4972</v>
      </c>
    </row>
    <row r="533" spans="1:7">
      <c r="A533" s="6">
        <v>42912</v>
      </c>
      <c r="B533" s="3" t="s">
        <v>4621</v>
      </c>
      <c r="C533" s="3" t="s">
        <v>21</v>
      </c>
      <c r="D533" s="8" t="str">
        <f>HYPERLINK("http://npthd.inbcu.com/ViewContent.aspx?filename=NPMR_FOX_2017-06-26_E.MP4$6749$6840","COMMERCIAL")</f>
        <v>COMMERCIAL</v>
      </c>
      <c r="E533" s="3" t="s">
        <v>77</v>
      </c>
      <c r="F533" s="3" t="s">
        <v>4972</v>
      </c>
      <c r="G533" s="3" t="s">
        <v>80</v>
      </c>
    </row>
    <row r="534" spans="1:7">
      <c r="A534" s="6">
        <v>42912</v>
      </c>
      <c r="B534" s="3" t="s">
        <v>4621</v>
      </c>
      <c r="C534" s="3" t="s">
        <v>14</v>
      </c>
      <c r="D534" s="8" t="str">
        <f>HYPERLINK("http://npthd.inbcu.com/ViewContent.aspx?filename=NPMR_FOX_2017-06-26_E.MP4$6840$6860","Beat Shazam / Love Connection")</f>
        <v>Beat Shazam / Love Connection</v>
      </c>
      <c r="E534" s="3" t="s">
        <v>1805</v>
      </c>
      <c r="F534" s="3" t="s">
        <v>80</v>
      </c>
      <c r="G534" s="3" t="s">
        <v>4973</v>
      </c>
    </row>
    <row r="535" spans="1:7">
      <c r="A535" s="6">
        <v>42912</v>
      </c>
      <c r="B535" s="3" t="s">
        <v>4621</v>
      </c>
      <c r="C535" s="3" t="s">
        <v>32</v>
      </c>
      <c r="D535" s="8" t="str">
        <f>HYPERLINK("http://npthd.inbcu.com/ViewContent.aspx?filename=NPMR_FOX_2017-06-26_E.MP4$6860$6881","LOCAL")</f>
        <v>LOCAL</v>
      </c>
      <c r="E535" s="3" t="s">
        <v>2067</v>
      </c>
      <c r="F535" s="3" t="s">
        <v>4973</v>
      </c>
      <c r="G535" s="3" t="s">
        <v>4974</v>
      </c>
    </row>
    <row r="536" spans="1:7">
      <c r="A536" s="6">
        <v>42912</v>
      </c>
      <c r="B536" s="3" t="s">
        <v>4621</v>
      </c>
      <c r="C536" s="3" t="s">
        <v>14</v>
      </c>
      <c r="D536" s="8" t="str">
        <f>HYPERLINK("http://npthd.inbcu.com/ViewContent.aspx?filename=NPMR_FOX_2017-06-26_E.MP4$6881$6901","Master Chef / F Word")</f>
        <v>Master Chef / F Word</v>
      </c>
      <c r="E536" s="3" t="s">
        <v>1805</v>
      </c>
      <c r="F536" s="3" t="s">
        <v>4974</v>
      </c>
      <c r="G536" s="3" t="s">
        <v>4975</v>
      </c>
    </row>
    <row r="537" spans="1:7">
      <c r="A537" s="6">
        <v>42912</v>
      </c>
      <c r="B537" s="3" t="s">
        <v>4621</v>
      </c>
      <c r="C537" s="3" t="s">
        <v>18</v>
      </c>
      <c r="D537" s="8" t="str">
        <f>HYPERLINK("http://npthd.inbcu.com/ViewContent.aspx?filename=NPMR_FOX_2017-06-26_E.MP4$6901$7205","SUPERHUMAN: believe the unbelievable")</f>
        <v>SUPERHUMAN: believe the unbelievable</v>
      </c>
      <c r="E537" s="3" t="s">
        <v>1425</v>
      </c>
      <c r="F537" s="3" t="s">
        <v>4975</v>
      </c>
      <c r="G537" s="3" t="s">
        <v>4976</v>
      </c>
    </row>
    <row r="538" spans="1:7">
      <c r="A538" s="6">
        <v>42912</v>
      </c>
      <c r="B538" s="3" t="s">
        <v>4621</v>
      </c>
      <c r="C538" s="3" t="s">
        <v>14</v>
      </c>
      <c r="D538" s="8" t="str">
        <f>HYPERLINK("http://npthd.inbcu.com/ViewContent.aspx?filename=NPMR_FOX_2017-06-26_E.MP4$7205$7235","Super Human")</f>
        <v>Super Human</v>
      </c>
      <c r="E538" s="3" t="s">
        <v>38</v>
      </c>
      <c r="F538" s="3" t="s">
        <v>4976</v>
      </c>
      <c r="G538" s="3" t="s">
        <v>4977</v>
      </c>
    </row>
    <row r="539" spans="1:7">
      <c r="A539" s="6">
        <v>42912</v>
      </c>
      <c r="B539" s="3" t="s">
        <v>4621</v>
      </c>
      <c r="C539" s="3" t="s">
        <v>18</v>
      </c>
      <c r="D539" s="8" t="str">
        <f>HYPERLINK("http://npthd.inbcu.com/ViewContent.aspx?filename=NPMR_FOX_2017-06-26_E.MP4$7235$7238","SUPERHUMAN: believe the unbelievable")</f>
        <v>SUPERHUMAN: believe the unbelievable</v>
      </c>
      <c r="E539" s="3" t="s">
        <v>393</v>
      </c>
      <c r="F539" s="3" t="s">
        <v>4977</v>
      </c>
      <c r="G539" s="3" t="s">
        <v>3393</v>
      </c>
    </row>
    <row r="540" spans="1:7">
      <c r="A540" s="6">
        <v>42912</v>
      </c>
      <c r="B540" s="3" t="s">
        <v>4621</v>
      </c>
      <c r="C540" s="3" t="s">
        <v>32</v>
      </c>
      <c r="D540" s="8" t="str">
        <f>HYPERLINK("http://npthd.inbcu.com/ViewContent.aspx?filename=NPMR_FOX_2017-06-26_E.MP4$7238$7249","LOCAL")</f>
        <v>LOCAL</v>
      </c>
      <c r="E540" s="3" t="s">
        <v>1940</v>
      </c>
      <c r="F540" s="3" t="s">
        <v>3393</v>
      </c>
      <c r="G540" s="3" t="s">
        <v>394</v>
      </c>
    </row>
    <row r="541" spans="1:7">
      <c r="A541" s="6">
        <v>42913</v>
      </c>
      <c r="B541" s="3" t="s">
        <v>4621</v>
      </c>
      <c r="C541" s="3" t="s">
        <v>18</v>
      </c>
      <c r="D541" s="8" t="str">
        <f>HYPERLINK("http://npthd.inbcu.com/ViewContent.aspx?filename=NPMR_FOX_2017-06-27_E.MP4$66$769","LETHAL WEAPON: pilot")</f>
        <v>LETHAL WEAPON: pilot</v>
      </c>
      <c r="E541" s="3" t="s">
        <v>4978</v>
      </c>
      <c r="F541" s="3" t="s">
        <v>16</v>
      </c>
      <c r="G541" s="3" t="s">
        <v>4941</v>
      </c>
    </row>
    <row r="542" spans="1:7">
      <c r="A542" s="6">
        <v>42913</v>
      </c>
      <c r="B542" s="3" t="s">
        <v>4621</v>
      </c>
      <c r="C542" s="3" t="s">
        <v>21</v>
      </c>
      <c r="D542" s="8" t="str">
        <f>HYPERLINK("http://npthd.inbcu.com/ViewContent.aspx?filename=NPMR_FOX_2017-06-27_E.MP4$769$904","COMMERCIAL")</f>
        <v>COMMERCIAL</v>
      </c>
      <c r="E542" s="3" t="s">
        <v>459</v>
      </c>
      <c r="F542" s="3" t="s">
        <v>4941</v>
      </c>
      <c r="G542" s="3" t="s">
        <v>4979</v>
      </c>
    </row>
    <row r="543" spans="1:7">
      <c r="A543" s="6">
        <v>42913</v>
      </c>
      <c r="B543" s="3" t="s">
        <v>4621</v>
      </c>
      <c r="C543" s="3" t="s">
        <v>14</v>
      </c>
      <c r="D543" s="8" t="str">
        <f>HYPERLINK("http://npthd.inbcu.com/ViewContent.aspx?filename=NPMR_FOX_2017-06-27_E.MP4$904$924","Beat Shazam / Love Connection")</f>
        <v>Beat Shazam / Love Connection</v>
      </c>
      <c r="E543" s="3" t="s">
        <v>1805</v>
      </c>
      <c r="F543" s="3" t="s">
        <v>4979</v>
      </c>
      <c r="G543" s="3" t="s">
        <v>2562</v>
      </c>
    </row>
    <row r="544" spans="1:7">
      <c r="A544" s="6">
        <v>42913</v>
      </c>
      <c r="B544" s="3" t="s">
        <v>4621</v>
      </c>
      <c r="C544" s="3" t="s">
        <v>18</v>
      </c>
      <c r="D544" s="8" t="str">
        <f>HYPERLINK("http://npthd.inbcu.com/ViewContent.aspx?filename=NPMR_FOX_2017-06-27_E.MP4$924$1562","LETHAL WEAPON: pilot")</f>
        <v>LETHAL WEAPON: pilot</v>
      </c>
      <c r="E544" s="3" t="s">
        <v>2692</v>
      </c>
      <c r="F544" s="3" t="s">
        <v>2562</v>
      </c>
      <c r="G544" s="3" t="s">
        <v>4668</v>
      </c>
    </row>
    <row r="545" spans="1:7">
      <c r="A545" s="6">
        <v>42913</v>
      </c>
      <c r="B545" s="3" t="s">
        <v>4621</v>
      </c>
      <c r="C545" s="3" t="s">
        <v>21</v>
      </c>
      <c r="D545" s="8" t="str">
        <f>HYPERLINK("http://npthd.inbcu.com/ViewContent.aspx?filename=NPMR_FOX_2017-06-27_E.MP4$1562$1683","COMMERCIAL")</f>
        <v>COMMERCIAL</v>
      </c>
      <c r="E545" s="3" t="s">
        <v>175</v>
      </c>
      <c r="F545" s="3" t="s">
        <v>4668</v>
      </c>
      <c r="G545" s="3" t="s">
        <v>4980</v>
      </c>
    </row>
    <row r="546" spans="1:7">
      <c r="A546" s="6">
        <v>42913</v>
      </c>
      <c r="B546" s="3" t="s">
        <v>4621</v>
      </c>
      <c r="C546" s="3" t="s">
        <v>14</v>
      </c>
      <c r="D546" s="8" t="str">
        <f>HYPERLINK("http://npthd.inbcu.com/ViewContent.aspx?filename=NPMR_FOX_2017-06-27_E.MP4$1683$1698","Earth Live (Nat Geo)")</f>
        <v>Earth Live (Nat Geo)</v>
      </c>
      <c r="E546" s="3" t="s">
        <v>30</v>
      </c>
      <c r="F546" s="3" t="s">
        <v>4980</v>
      </c>
      <c r="G546" s="3" t="s">
        <v>4981</v>
      </c>
    </row>
    <row r="547" spans="1:7">
      <c r="A547" s="6">
        <v>42913</v>
      </c>
      <c r="B547" s="3" t="s">
        <v>4621</v>
      </c>
      <c r="C547" s="3" t="s">
        <v>32</v>
      </c>
      <c r="D547" s="8" t="str">
        <f>HYPERLINK("http://npthd.inbcu.com/ViewContent.aspx?filename=NPMR_FOX_2017-06-27_E.MP4$1698$1789","LOCAL")</f>
        <v>LOCAL</v>
      </c>
      <c r="E547" s="3" t="s">
        <v>77</v>
      </c>
      <c r="F547" s="3" t="s">
        <v>4981</v>
      </c>
      <c r="G547" s="3" t="s">
        <v>4982</v>
      </c>
    </row>
    <row r="548" spans="1:7">
      <c r="A548" s="6">
        <v>42913</v>
      </c>
      <c r="B548" s="3" t="s">
        <v>4621</v>
      </c>
      <c r="C548" s="3" t="s">
        <v>18</v>
      </c>
      <c r="D548" s="8" t="str">
        <f>HYPERLINK("http://npthd.inbcu.com/ViewContent.aspx?filename=NPMR_FOX_2017-06-27_E.MP4$1789$2296","LETHAL WEAPON: pilot")</f>
        <v>LETHAL WEAPON: pilot</v>
      </c>
      <c r="E548" s="3" t="s">
        <v>1581</v>
      </c>
      <c r="F548" s="3" t="s">
        <v>4982</v>
      </c>
      <c r="G548" s="3" t="s">
        <v>622</v>
      </c>
    </row>
    <row r="549" spans="1:7">
      <c r="A549" s="6">
        <v>42913</v>
      </c>
      <c r="B549" s="3" t="s">
        <v>4621</v>
      </c>
      <c r="C549" s="3" t="s">
        <v>21</v>
      </c>
      <c r="D549" s="8" t="str">
        <f>HYPERLINK("http://npthd.inbcu.com/ViewContent.aspx?filename=NPMR_FOX_2017-06-27_E.MP4$2296$2447","COMMERCIAL")</f>
        <v>COMMERCIAL</v>
      </c>
      <c r="E549" s="3" t="s">
        <v>91</v>
      </c>
      <c r="F549" s="3" t="s">
        <v>622</v>
      </c>
      <c r="G549" s="3" t="s">
        <v>4983</v>
      </c>
    </row>
    <row r="550" spans="1:7">
      <c r="A550" s="6">
        <v>42913</v>
      </c>
      <c r="B550" s="3" t="s">
        <v>4621</v>
      </c>
      <c r="C550" s="3" t="s">
        <v>32</v>
      </c>
      <c r="D550" s="8" t="str">
        <f>HYPERLINK("http://npthd.inbcu.com/ViewContent.aspx?filename=NPMR_FOX_2017-06-27_E.MP4$2447$2492","LOCAL")</f>
        <v>LOCAL</v>
      </c>
      <c r="E550" s="3" t="s">
        <v>1143</v>
      </c>
      <c r="F550" s="3" t="s">
        <v>4983</v>
      </c>
      <c r="G550" s="3" t="s">
        <v>4984</v>
      </c>
    </row>
    <row r="551" spans="1:7">
      <c r="A551" s="6">
        <v>42913</v>
      </c>
      <c r="B551" s="3" t="s">
        <v>4621</v>
      </c>
      <c r="C551" s="3" t="s">
        <v>18</v>
      </c>
      <c r="D551" s="8" t="str">
        <f>HYPERLINK("http://npthd.inbcu.com/ViewContent.aspx?filename=NPMR_FOX_2017-06-27_E.MP4$2492$2798","LETHAL WEAPON: pilot")</f>
        <v>LETHAL WEAPON: pilot</v>
      </c>
      <c r="E551" s="3" t="s">
        <v>3086</v>
      </c>
      <c r="F551" s="3" t="s">
        <v>4984</v>
      </c>
      <c r="G551" s="3" t="s">
        <v>2279</v>
      </c>
    </row>
    <row r="552" spans="1:7">
      <c r="A552" s="6">
        <v>42913</v>
      </c>
      <c r="B552" s="3" t="s">
        <v>4621</v>
      </c>
      <c r="C552" s="3" t="s">
        <v>21</v>
      </c>
      <c r="D552" s="8" t="str">
        <f>HYPERLINK("http://npthd.inbcu.com/ViewContent.aspx?filename=NPMR_FOX_2017-06-27_E.MP4$2798$2888","COMMERCIAL")</f>
        <v>COMMERCIAL</v>
      </c>
      <c r="E552" s="3" t="s">
        <v>46</v>
      </c>
      <c r="F552" s="3" t="s">
        <v>2279</v>
      </c>
      <c r="G552" s="3" t="s">
        <v>4985</v>
      </c>
    </row>
    <row r="553" spans="1:7">
      <c r="A553" s="6">
        <v>42913</v>
      </c>
      <c r="B553" s="3" t="s">
        <v>4621</v>
      </c>
      <c r="C553" s="3" t="s">
        <v>14</v>
      </c>
      <c r="D553" s="8" t="str">
        <f>HYPERLINK("http://npthd.inbcu.com/ViewContent.aspx?filename=NPMR_FOX_2017-06-27_E.MP4$2888$2902","Snowfall (FX)")</f>
        <v>Snowfall (FX)</v>
      </c>
      <c r="E553" s="3" t="s">
        <v>342</v>
      </c>
      <c r="F553" s="3" t="s">
        <v>4985</v>
      </c>
      <c r="G553" s="3" t="s">
        <v>4651</v>
      </c>
    </row>
    <row r="554" spans="1:7">
      <c r="A554" s="6">
        <v>42913</v>
      </c>
      <c r="B554" s="3" t="s">
        <v>4621</v>
      </c>
      <c r="C554" s="3" t="s">
        <v>32</v>
      </c>
      <c r="D554" s="8" t="str">
        <f>HYPERLINK("http://npthd.inbcu.com/ViewContent.aspx?filename=NPMR_FOX_2017-06-27_E.MP4$2902$2983","LOCAL")</f>
        <v>LOCAL</v>
      </c>
      <c r="E554" s="3" t="s">
        <v>4184</v>
      </c>
      <c r="F554" s="3" t="s">
        <v>4651</v>
      </c>
      <c r="G554" s="3" t="s">
        <v>4986</v>
      </c>
    </row>
    <row r="555" spans="1:7">
      <c r="A555" s="6">
        <v>42913</v>
      </c>
      <c r="B555" s="3" t="s">
        <v>4621</v>
      </c>
      <c r="C555" s="3" t="s">
        <v>32</v>
      </c>
      <c r="D555" s="8" t="str">
        <f>HYPERLINK("http://npthd.inbcu.com/ViewContent.aspx?filename=NPMR_FOX_2017-06-27_E.MP4$2983$3043","LOCAL")</f>
        <v>LOCAL</v>
      </c>
      <c r="E555" s="3" t="s">
        <v>66</v>
      </c>
      <c r="F555" s="3" t="s">
        <v>4986</v>
      </c>
      <c r="G555" s="3" t="s">
        <v>4518</v>
      </c>
    </row>
    <row r="556" spans="1:7">
      <c r="A556" s="6">
        <v>42913</v>
      </c>
      <c r="B556" s="3" t="s">
        <v>4621</v>
      </c>
      <c r="C556" s="3" t="s">
        <v>18</v>
      </c>
      <c r="D556" s="8" t="str">
        <f>HYPERLINK("http://npthd.inbcu.com/ViewContent.aspx?filename=NPMR_FOX_2017-06-27_E.MP4$3043$3488","LETHAL WEAPON: pilot")</f>
        <v>LETHAL WEAPON: pilot</v>
      </c>
      <c r="E556" s="3" t="s">
        <v>426</v>
      </c>
      <c r="F556" s="3" t="s">
        <v>4518</v>
      </c>
      <c r="G556" s="3" t="s">
        <v>2282</v>
      </c>
    </row>
    <row r="557" spans="1:7">
      <c r="A557" s="6">
        <v>42913</v>
      </c>
      <c r="B557" s="3" t="s">
        <v>4621</v>
      </c>
      <c r="C557" s="3" t="s">
        <v>21</v>
      </c>
      <c r="D557" s="8" t="str">
        <f>HYPERLINK("http://npthd.inbcu.com/ViewContent.aspx?filename=NPMR_FOX_2017-06-27_E.MP4$3488$3608","COMMERCIAL")</f>
        <v>COMMERCIAL</v>
      </c>
      <c r="E557" s="3" t="s">
        <v>43</v>
      </c>
      <c r="F557" s="3" t="s">
        <v>2282</v>
      </c>
      <c r="G557" s="3" t="s">
        <v>4987</v>
      </c>
    </row>
    <row r="558" spans="1:7">
      <c r="A558" s="6">
        <v>42913</v>
      </c>
      <c r="B558" s="3" t="s">
        <v>4621</v>
      </c>
      <c r="C558" s="3" t="s">
        <v>32</v>
      </c>
      <c r="D558" s="8" t="str">
        <f>HYPERLINK("http://npthd.inbcu.com/ViewContent.aspx?filename=NPMR_FOX_2017-06-27_E.MP4$3608$3619","LOCAL")</f>
        <v>LOCAL</v>
      </c>
      <c r="E558" s="3" t="s">
        <v>1940</v>
      </c>
      <c r="F558" s="3" t="s">
        <v>4987</v>
      </c>
      <c r="G558" s="3" t="s">
        <v>4988</v>
      </c>
    </row>
    <row r="559" spans="1:7">
      <c r="A559" s="6">
        <v>42913</v>
      </c>
      <c r="B559" s="3" t="s">
        <v>4621</v>
      </c>
      <c r="C559" s="3" t="s">
        <v>14</v>
      </c>
      <c r="D559" s="8" t="str">
        <f>HYPERLINK("http://npthd.inbcu.com/ViewContent.aspx?filename=NPMR_FOX_2017-06-27_E.MP4$3619$3640","F Word, The")</f>
        <v>F Word, The</v>
      </c>
      <c r="E559" s="3" t="s">
        <v>2067</v>
      </c>
      <c r="F559" s="3" t="s">
        <v>4988</v>
      </c>
      <c r="G559" s="3" t="s">
        <v>2407</v>
      </c>
    </row>
    <row r="560" spans="1:7">
      <c r="A560" s="6">
        <v>42913</v>
      </c>
      <c r="B560" s="3" t="s">
        <v>4621</v>
      </c>
      <c r="C560" s="3" t="s">
        <v>18</v>
      </c>
      <c r="D560" s="8" t="str">
        <f>HYPERLINK("http://npthd.inbcu.com/ViewContent.aspx?filename=NPMR_FOX_2017-06-27_E.MP4$3640$3646","LETHAL WEAPON: pilot")</f>
        <v>LETHAL WEAPON: pilot</v>
      </c>
      <c r="E560" s="3" t="s">
        <v>15</v>
      </c>
      <c r="F560" s="3" t="s">
        <v>2407</v>
      </c>
      <c r="G560" s="3" t="s">
        <v>4989</v>
      </c>
    </row>
    <row r="561" spans="1:7">
      <c r="A561" s="6">
        <v>42913</v>
      </c>
      <c r="B561" s="3" t="s">
        <v>4621</v>
      </c>
      <c r="C561" s="3" t="s">
        <v>14</v>
      </c>
      <c r="D561" s="8" t="str">
        <f>HYPERLINK("http://npthd.inbcu.com/ViewContent.aspx?filename=NPMR_FOX_2017-06-27_E.MP4$3646$3676","Gifted")</f>
        <v>Gifted</v>
      </c>
      <c r="E561" s="3" t="s">
        <v>38</v>
      </c>
      <c r="F561" s="3" t="s">
        <v>4989</v>
      </c>
      <c r="G561" s="3" t="s">
        <v>4990</v>
      </c>
    </row>
    <row r="562" spans="1:7">
      <c r="A562" s="6">
        <v>42913</v>
      </c>
      <c r="B562" s="3" t="s">
        <v>4621</v>
      </c>
      <c r="C562" s="3" t="s">
        <v>18</v>
      </c>
      <c r="D562" s="8" t="str">
        <f>HYPERLINK("http://npthd.inbcu.com/ViewContent.aspx?filename=NPMR_FOX_2017-06-27_E.MP4$3676$3987","THE MICK: the new girl")</f>
        <v>THE MICK: the new girl</v>
      </c>
      <c r="E562" s="3" t="s">
        <v>2726</v>
      </c>
      <c r="F562" s="3" t="s">
        <v>4990</v>
      </c>
      <c r="G562" s="3" t="s">
        <v>4991</v>
      </c>
    </row>
    <row r="563" spans="1:7">
      <c r="A563" s="6">
        <v>42913</v>
      </c>
      <c r="B563" s="3" t="s">
        <v>4621</v>
      </c>
      <c r="C563" s="3" t="s">
        <v>21</v>
      </c>
      <c r="D563" s="8" t="str">
        <f>HYPERLINK("http://npthd.inbcu.com/ViewContent.aspx?filename=NPMR_FOX_2017-06-27_E.MP4$3987$4093","COMMERCIAL")</f>
        <v>COMMERCIAL</v>
      </c>
      <c r="E563" s="3" t="s">
        <v>293</v>
      </c>
      <c r="F563" s="3" t="s">
        <v>4991</v>
      </c>
      <c r="G563" s="3" t="s">
        <v>4992</v>
      </c>
    </row>
    <row r="564" spans="1:7">
      <c r="A564" s="6">
        <v>42913</v>
      </c>
      <c r="B564" s="3" t="s">
        <v>4621</v>
      </c>
      <c r="C564" s="3" t="s">
        <v>14</v>
      </c>
      <c r="D564" s="8" t="str">
        <f>HYPERLINK("http://npthd.inbcu.com/ViewContent.aspx?filename=NPMR_FOX_2017-06-27_E.MP4$4093$4113","Orville, The")</f>
        <v>Orville, The</v>
      </c>
      <c r="E564" s="3" t="s">
        <v>1805</v>
      </c>
      <c r="F564" s="3" t="s">
        <v>4992</v>
      </c>
      <c r="G564" s="3" t="s">
        <v>4287</v>
      </c>
    </row>
    <row r="565" spans="1:7">
      <c r="A565" s="6">
        <v>42913</v>
      </c>
      <c r="B565" s="3" t="s">
        <v>4621</v>
      </c>
      <c r="C565" s="3" t="s">
        <v>18</v>
      </c>
      <c r="D565" s="8" t="str">
        <f>HYPERLINK("http://npthd.inbcu.com/ViewContent.aspx?filename=NPMR_FOX_2017-06-27_E.MP4$4113$4516","THE MICK: the new girl")</f>
        <v>THE MICK: the new girl</v>
      </c>
      <c r="E565" s="3" t="s">
        <v>737</v>
      </c>
      <c r="F565" s="3" t="s">
        <v>4287</v>
      </c>
      <c r="G565" s="3" t="s">
        <v>4993</v>
      </c>
    </row>
    <row r="566" spans="1:7">
      <c r="A566" s="6">
        <v>42913</v>
      </c>
      <c r="B566" s="3" t="s">
        <v>4621</v>
      </c>
      <c r="C566" s="3" t="s">
        <v>21</v>
      </c>
      <c r="D566" s="8" t="str">
        <f>HYPERLINK("http://npthd.inbcu.com/ViewContent.aspx?filename=NPMR_FOX_2017-06-27_E.MP4$4516$4607","COMMERCIAL")</f>
        <v>COMMERCIAL</v>
      </c>
      <c r="E566" s="3" t="s">
        <v>77</v>
      </c>
      <c r="F566" s="3" t="s">
        <v>4993</v>
      </c>
      <c r="G566" s="3" t="s">
        <v>2630</v>
      </c>
    </row>
    <row r="567" spans="1:7">
      <c r="A567" s="6">
        <v>42913</v>
      </c>
      <c r="B567" s="3" t="s">
        <v>4621</v>
      </c>
      <c r="C567" s="3" t="s">
        <v>14</v>
      </c>
      <c r="D567" s="8" t="str">
        <f>HYPERLINK("http://npthd.inbcu.com/ViewContent.aspx?filename=NPMR_FOX_2017-06-27_E.MP4$4607$4622","MLB All Star Game")</f>
        <v>MLB All Star Game</v>
      </c>
      <c r="E567" s="3" t="s">
        <v>30</v>
      </c>
      <c r="F567" s="3" t="s">
        <v>2630</v>
      </c>
      <c r="G567" s="3" t="s">
        <v>2631</v>
      </c>
    </row>
    <row r="568" spans="1:7">
      <c r="A568" s="6">
        <v>42913</v>
      </c>
      <c r="B568" s="3" t="s">
        <v>4621</v>
      </c>
      <c r="C568" s="3" t="s">
        <v>32</v>
      </c>
      <c r="D568" s="8" t="str">
        <f>HYPERLINK("http://npthd.inbcu.com/ViewContent.aspx?filename=NPMR_FOX_2017-06-27_E.MP4$4622$4732","LOCAL")</f>
        <v>LOCAL</v>
      </c>
      <c r="E568" s="3" t="s">
        <v>558</v>
      </c>
      <c r="F568" s="3" t="s">
        <v>2631</v>
      </c>
      <c r="G568" s="3" t="s">
        <v>452</v>
      </c>
    </row>
    <row r="569" spans="1:7">
      <c r="A569" s="6">
        <v>42913</v>
      </c>
      <c r="B569" s="3" t="s">
        <v>4621</v>
      </c>
      <c r="C569" s="3" t="s">
        <v>14</v>
      </c>
      <c r="D569" s="8" t="str">
        <f>HYPERLINK("http://npthd.inbcu.com/ViewContent.aspx?filename=NPMR_FOX_2017-06-27_E.MP4$4732$4754","Master Chef / F Word")</f>
        <v>Master Chef / F Word</v>
      </c>
      <c r="E569" s="3" t="s">
        <v>2124</v>
      </c>
      <c r="F569" s="3" t="s">
        <v>452</v>
      </c>
      <c r="G569" s="3" t="s">
        <v>4994</v>
      </c>
    </row>
    <row r="570" spans="1:7">
      <c r="A570" s="6">
        <v>42913</v>
      </c>
      <c r="B570" s="3" t="s">
        <v>4621</v>
      </c>
      <c r="C570" s="3" t="s">
        <v>18</v>
      </c>
      <c r="D570" s="8" t="str">
        <f>HYPERLINK("http://npthd.inbcu.com/ViewContent.aspx?filename=NPMR_FOX_2017-06-27_E.MP4$4754$5140","THE MICK: the new girl")</f>
        <v>THE MICK: the new girl</v>
      </c>
      <c r="E570" s="3" t="s">
        <v>732</v>
      </c>
      <c r="F570" s="3" t="s">
        <v>4994</v>
      </c>
      <c r="G570" s="3" t="s">
        <v>4995</v>
      </c>
    </row>
    <row r="571" spans="1:7">
      <c r="A571" s="6">
        <v>42913</v>
      </c>
      <c r="B571" s="3" t="s">
        <v>4621</v>
      </c>
      <c r="C571" s="3" t="s">
        <v>21</v>
      </c>
      <c r="D571" s="8" t="str">
        <f>HYPERLINK("http://npthd.inbcu.com/ViewContent.aspx?filename=NPMR_FOX_2017-06-27_E.MP4$5140$5246","COMMERCIAL")</f>
        <v>COMMERCIAL</v>
      </c>
      <c r="E571" s="3" t="s">
        <v>293</v>
      </c>
      <c r="F571" s="3" t="s">
        <v>4995</v>
      </c>
      <c r="G571" s="3" t="s">
        <v>4996</v>
      </c>
    </row>
    <row r="572" spans="1:7">
      <c r="A572" s="6">
        <v>42913</v>
      </c>
      <c r="B572" s="3" t="s">
        <v>4621</v>
      </c>
      <c r="C572" s="3" t="s">
        <v>32</v>
      </c>
      <c r="D572" s="8" t="str">
        <f>HYPERLINK("http://npthd.inbcu.com/ViewContent.aspx?filename=NPMR_FOX_2017-06-27_E.MP4$5246$5252","LOCAL")</f>
        <v>LOCAL</v>
      </c>
      <c r="E572" s="3" t="s">
        <v>15</v>
      </c>
      <c r="F572" s="3" t="s">
        <v>4996</v>
      </c>
      <c r="G572" s="3" t="s">
        <v>4997</v>
      </c>
    </row>
    <row r="573" spans="1:7">
      <c r="A573" s="6">
        <v>42913</v>
      </c>
      <c r="B573" s="3" t="s">
        <v>4621</v>
      </c>
      <c r="C573" s="3" t="s">
        <v>14</v>
      </c>
      <c r="D573" s="8" t="str">
        <f>HYPERLINK("http://npthd.inbcu.com/ViewContent.aspx?filename=NPMR_FOX_2017-06-27_E.MP4$5252$5273","Ghosted")</f>
        <v>Ghosted</v>
      </c>
      <c r="E573" s="3" t="s">
        <v>2067</v>
      </c>
      <c r="F573" s="3" t="s">
        <v>4997</v>
      </c>
      <c r="G573" s="3" t="s">
        <v>165</v>
      </c>
    </row>
    <row r="574" spans="1:7">
      <c r="A574" s="6">
        <v>42913</v>
      </c>
      <c r="B574" s="3" t="s">
        <v>4621</v>
      </c>
      <c r="C574" s="3" t="s">
        <v>18</v>
      </c>
      <c r="D574" s="8" t="str">
        <f>HYPERLINK("http://npthd.inbcu.com/ViewContent.aspx?filename=NPMR_FOX_2017-06-27_E.MP4$5273$5456","THE MICK: the new girl")</f>
        <v>THE MICK: the new girl</v>
      </c>
      <c r="E574" s="3" t="s">
        <v>154</v>
      </c>
      <c r="F574" s="3" t="s">
        <v>165</v>
      </c>
      <c r="G574" s="3" t="s">
        <v>4998</v>
      </c>
    </row>
    <row r="575" spans="1:7">
      <c r="A575" s="6">
        <v>42913</v>
      </c>
      <c r="B575" s="3" t="s">
        <v>4621</v>
      </c>
      <c r="C575" s="3" t="s">
        <v>18</v>
      </c>
      <c r="D575" s="8" t="str">
        <f>HYPERLINK("http://npthd.inbcu.com/ViewContent.aspx?filename=NPMR_FOX_2017-06-27_E.MP4$5456$5888","BROOKLYN NINE-NINE: the night shift")</f>
        <v>BROOKLYN NINE-NINE: the night shift</v>
      </c>
      <c r="E575" s="3" t="s">
        <v>1372</v>
      </c>
      <c r="F575" s="3" t="s">
        <v>4998</v>
      </c>
      <c r="G575" s="3" t="s">
        <v>4999</v>
      </c>
    </row>
    <row r="576" spans="1:7">
      <c r="A576" s="6">
        <v>42913</v>
      </c>
      <c r="B576" s="3" t="s">
        <v>4621</v>
      </c>
      <c r="C576" s="3" t="s">
        <v>21</v>
      </c>
      <c r="D576" s="8" t="str">
        <f>HYPERLINK("http://npthd.inbcu.com/ViewContent.aspx?filename=NPMR_FOX_2017-06-27_E.MP4$5888$5978","COMMERCIAL")</f>
        <v>COMMERCIAL</v>
      </c>
      <c r="E576" s="3" t="s">
        <v>46</v>
      </c>
      <c r="F576" s="3" t="s">
        <v>4999</v>
      </c>
      <c r="G576" s="3" t="s">
        <v>5000</v>
      </c>
    </row>
    <row r="577" spans="1:7">
      <c r="A577" s="6">
        <v>42913</v>
      </c>
      <c r="B577" s="3" t="s">
        <v>4621</v>
      </c>
      <c r="C577" s="3" t="s">
        <v>21</v>
      </c>
      <c r="D577" s="8" t="str">
        <f>HYPERLINK("http://npthd.inbcu.com/ViewContent.aspx?filename=NPMR_FOX_2017-06-27_E.MP4$5978$6008","COMMERCIAL")</f>
        <v>COMMERCIAL</v>
      </c>
      <c r="E577" s="3" t="s">
        <v>38</v>
      </c>
      <c r="F577" s="3" t="s">
        <v>5000</v>
      </c>
      <c r="G577" s="3" t="s">
        <v>5001</v>
      </c>
    </row>
    <row r="578" spans="1:7">
      <c r="A578" s="6">
        <v>42913</v>
      </c>
      <c r="B578" s="3" t="s">
        <v>4621</v>
      </c>
      <c r="C578" s="3" t="s">
        <v>14</v>
      </c>
      <c r="D578" s="8" t="str">
        <f>HYPERLINK("http://npthd.inbcu.com/ViewContent.aspx?filename=NPMR_FOX_2017-06-27_E.MP4$6008$6028","Orville, The")</f>
        <v>Orville, The</v>
      </c>
      <c r="E578" s="3" t="s">
        <v>1805</v>
      </c>
      <c r="F578" s="3" t="s">
        <v>5001</v>
      </c>
      <c r="G578" s="3" t="s">
        <v>657</v>
      </c>
    </row>
    <row r="579" spans="1:7">
      <c r="A579" s="6">
        <v>42913</v>
      </c>
      <c r="B579" s="3" t="s">
        <v>4621</v>
      </c>
      <c r="C579" s="3" t="s">
        <v>18</v>
      </c>
      <c r="D579" s="8" t="str">
        <f>HYPERLINK("http://npthd.inbcu.com/ViewContent.aspx?filename=NPMR_FOX_2017-06-27_E.MP4$6028$6354","BROOKLYN NINE-NINE: the night shift")</f>
        <v>BROOKLYN NINE-NINE: the night shift</v>
      </c>
      <c r="E579" s="3" t="s">
        <v>1215</v>
      </c>
      <c r="F579" s="3" t="s">
        <v>657</v>
      </c>
      <c r="G579" s="3" t="s">
        <v>5002</v>
      </c>
    </row>
    <row r="580" spans="1:7">
      <c r="A580" s="6">
        <v>42913</v>
      </c>
      <c r="B580" s="3" t="s">
        <v>4621</v>
      </c>
      <c r="C580" s="3" t="s">
        <v>21</v>
      </c>
      <c r="D580" s="8" t="str">
        <f>HYPERLINK("http://npthd.inbcu.com/ViewContent.aspx?filename=NPMR_FOX_2017-06-27_E.MP4$6354$6445","COMMERCIAL")</f>
        <v>COMMERCIAL</v>
      </c>
      <c r="E580" s="3" t="s">
        <v>77</v>
      </c>
      <c r="F580" s="3" t="s">
        <v>5002</v>
      </c>
      <c r="G580" s="3" t="s">
        <v>5003</v>
      </c>
    </row>
    <row r="581" spans="1:7">
      <c r="A581" s="6">
        <v>42913</v>
      </c>
      <c r="B581" s="3" t="s">
        <v>4621</v>
      </c>
      <c r="C581" s="3" t="s">
        <v>14</v>
      </c>
      <c r="D581" s="8" t="str">
        <f>HYPERLINK("http://npthd.inbcu.com/ViewContent.aspx?filename=NPMR_FOX_2017-06-27_E.MP4$6445$6460","Snowfall (FX)")</f>
        <v>Snowfall (FX)</v>
      </c>
      <c r="E581" s="3" t="s">
        <v>30</v>
      </c>
      <c r="F581" s="3" t="s">
        <v>5003</v>
      </c>
      <c r="G581" s="3" t="s">
        <v>4217</v>
      </c>
    </row>
    <row r="582" spans="1:7">
      <c r="A582" s="6">
        <v>42913</v>
      </c>
      <c r="B582" s="3" t="s">
        <v>4621</v>
      </c>
      <c r="C582" s="3" t="s">
        <v>32</v>
      </c>
      <c r="D582" s="8" t="str">
        <f>HYPERLINK("http://npthd.inbcu.com/ViewContent.aspx?filename=NPMR_FOX_2017-06-27_E.MP4$6460$6582","LOCAL")</f>
        <v>LOCAL</v>
      </c>
      <c r="E582" s="3" t="s">
        <v>252</v>
      </c>
      <c r="F582" s="3" t="s">
        <v>4217</v>
      </c>
      <c r="G582" s="3" t="s">
        <v>3475</v>
      </c>
    </row>
    <row r="583" spans="1:7">
      <c r="A583" s="6">
        <v>42913</v>
      </c>
      <c r="B583" s="3" t="s">
        <v>4621</v>
      </c>
      <c r="C583" s="3" t="s">
        <v>18</v>
      </c>
      <c r="D583" s="8" t="str">
        <f>HYPERLINK("http://npthd.inbcu.com/ViewContent.aspx?filename=NPMR_FOX_2017-06-27_E.MP4$6582$6893","BROOKLYN NINE-NINE: the night shift")</f>
        <v>BROOKLYN NINE-NINE: the night shift</v>
      </c>
      <c r="E583" s="3" t="s">
        <v>2726</v>
      </c>
      <c r="F583" s="3" t="s">
        <v>3475</v>
      </c>
      <c r="G583" s="3" t="s">
        <v>5004</v>
      </c>
    </row>
    <row r="584" spans="1:7">
      <c r="A584" s="6">
        <v>42913</v>
      </c>
      <c r="B584" s="3" t="s">
        <v>4621</v>
      </c>
      <c r="C584" s="3" t="s">
        <v>21</v>
      </c>
      <c r="D584" s="8" t="str">
        <f>HYPERLINK("http://npthd.inbcu.com/ViewContent.aspx?filename=NPMR_FOX_2017-06-27_E.MP4$6893$6984","COMMERCIAL")</f>
        <v>COMMERCIAL</v>
      </c>
      <c r="E584" s="3" t="s">
        <v>77</v>
      </c>
      <c r="F584" s="3" t="s">
        <v>5004</v>
      </c>
      <c r="G584" s="3" t="s">
        <v>5005</v>
      </c>
    </row>
    <row r="585" spans="1:7">
      <c r="A585" s="6">
        <v>42913</v>
      </c>
      <c r="B585" s="3" t="s">
        <v>4621</v>
      </c>
      <c r="C585" s="3" t="s">
        <v>14</v>
      </c>
      <c r="D585" s="8" t="str">
        <f>HYPERLINK("http://npthd.inbcu.com/ViewContent.aspx?filename=NPMR_FOX_2017-06-27_E.MP4$6984$6999","Incredible Dr. Pol (Nat Geo Wild)")</f>
        <v>Incredible Dr. Pol (Nat Geo Wild)</v>
      </c>
      <c r="E585" s="3" t="s">
        <v>30</v>
      </c>
      <c r="F585" s="3" t="s">
        <v>5005</v>
      </c>
      <c r="G585" s="3" t="s">
        <v>5006</v>
      </c>
    </row>
    <row r="586" spans="1:7">
      <c r="A586" s="6">
        <v>42913</v>
      </c>
      <c r="B586" s="3" t="s">
        <v>4621</v>
      </c>
      <c r="C586" s="3" t="s">
        <v>32</v>
      </c>
      <c r="D586" s="8" t="str">
        <f>HYPERLINK("http://npthd.inbcu.com/ViewContent.aspx?filename=NPMR_FOX_2017-06-27_E.MP4$6999$7019","LOCAL")</f>
        <v>LOCAL</v>
      </c>
      <c r="E586" s="3" t="s">
        <v>1805</v>
      </c>
      <c r="F586" s="3" t="s">
        <v>5006</v>
      </c>
      <c r="G586" s="3" t="s">
        <v>5007</v>
      </c>
    </row>
    <row r="587" spans="1:7">
      <c r="A587" s="6">
        <v>42913</v>
      </c>
      <c r="B587" s="3" t="s">
        <v>4621</v>
      </c>
      <c r="C587" s="3" t="s">
        <v>14</v>
      </c>
      <c r="D587" s="8" t="str">
        <f>HYPERLINK("http://npthd.inbcu.com/ViewContent.aspx?filename=NPMR_FOX_2017-06-27_E.MP4$7019$7034","Ghosted")</f>
        <v>Ghosted</v>
      </c>
      <c r="E587" s="3" t="s">
        <v>30</v>
      </c>
      <c r="F587" s="3" t="s">
        <v>5007</v>
      </c>
      <c r="G587" s="3" t="s">
        <v>5008</v>
      </c>
    </row>
    <row r="588" spans="1:7">
      <c r="A588" s="6">
        <v>42913</v>
      </c>
      <c r="B588" s="3" t="s">
        <v>4621</v>
      </c>
      <c r="C588" s="3" t="s">
        <v>18</v>
      </c>
      <c r="D588" s="8" t="str">
        <f>HYPERLINK("http://npthd.inbcu.com/ViewContent.aspx?filename=NPMR_FOX_2017-06-27_E.MP4$7034$7255","BROOKLYN NINE-NINE: the night shift")</f>
        <v>BROOKLYN NINE-NINE: the night shift</v>
      </c>
      <c r="E588" s="3" t="s">
        <v>1938</v>
      </c>
      <c r="F588" s="3" t="s">
        <v>5008</v>
      </c>
      <c r="G588" s="3" t="s">
        <v>3393</v>
      </c>
    </row>
    <row r="589" spans="1:7">
      <c r="A589" s="6">
        <v>42913</v>
      </c>
      <c r="B589" s="3" t="s">
        <v>4621</v>
      </c>
      <c r="C589" s="3" t="s">
        <v>32</v>
      </c>
      <c r="D589" s="8" t="str">
        <f>HYPERLINK("http://npthd.inbcu.com/ViewContent.aspx?filename=NPMR_FOX_2017-06-27_E.MP4$7255$7266","LOCAL")</f>
        <v>LOCAL</v>
      </c>
      <c r="E589" s="3" t="s">
        <v>1940</v>
      </c>
      <c r="F589" s="3" t="s">
        <v>3393</v>
      </c>
      <c r="G589" s="3" t="s">
        <v>394</v>
      </c>
    </row>
    <row r="590" spans="1:7">
      <c r="A590" s="6">
        <v>42914</v>
      </c>
      <c r="B590" s="3" t="s">
        <v>4621</v>
      </c>
      <c r="C590" s="3" t="s">
        <v>18</v>
      </c>
      <c r="D590" s="8" t="str">
        <f>HYPERLINK("http://npthd.inbcu.com/ViewContent.aspx?filename=NPMR_FOX_2017-06-28_E.MP4$64$554","MASTERCHEF: shell shocked &amp; scrambled")</f>
        <v>MASTERCHEF: shell shocked &amp; scrambled</v>
      </c>
      <c r="E590" s="3" t="s">
        <v>227</v>
      </c>
      <c r="F590" s="3" t="s">
        <v>16</v>
      </c>
      <c r="G590" s="3" t="s">
        <v>5009</v>
      </c>
    </row>
    <row r="591" spans="1:7">
      <c r="A591" s="6">
        <v>42914</v>
      </c>
      <c r="B591" s="3" t="s">
        <v>4621</v>
      </c>
      <c r="C591" s="3" t="s">
        <v>21</v>
      </c>
      <c r="D591" s="8" t="str">
        <f>HYPERLINK("http://npthd.inbcu.com/ViewContent.aspx?filename=NPMR_FOX_2017-06-28_E.MP4$554$705","COMMERCIAL")</f>
        <v>COMMERCIAL</v>
      </c>
      <c r="E591" s="3" t="s">
        <v>91</v>
      </c>
      <c r="F591" s="3" t="s">
        <v>5009</v>
      </c>
      <c r="G591" s="3" t="s">
        <v>5010</v>
      </c>
    </row>
    <row r="592" spans="1:7">
      <c r="A592" s="6">
        <v>42914</v>
      </c>
      <c r="B592" s="3" t="s">
        <v>4621</v>
      </c>
      <c r="C592" s="3" t="s">
        <v>14</v>
      </c>
      <c r="D592" s="8" t="str">
        <f>HYPERLINK("http://npthd.inbcu.com/ViewContent.aspx?filename=NPMR_FOX_2017-06-28_E.MP4$705$725","Love Connection")</f>
        <v>Love Connection</v>
      </c>
      <c r="E592" s="3" t="s">
        <v>1805</v>
      </c>
      <c r="F592" s="3" t="s">
        <v>5010</v>
      </c>
      <c r="G592" s="3" t="s">
        <v>5011</v>
      </c>
    </row>
    <row r="593" spans="1:7">
      <c r="A593" s="6">
        <v>42914</v>
      </c>
      <c r="B593" s="3" t="s">
        <v>4621</v>
      </c>
      <c r="C593" s="3" t="s">
        <v>14</v>
      </c>
      <c r="D593" s="8" t="str">
        <f>HYPERLINK("http://npthd.inbcu.com/ViewContent.aspx?filename=NPMR_FOX_2017-06-28_E.MP4$725$745","F Word, The")</f>
        <v>F Word, The</v>
      </c>
      <c r="E593" s="3" t="s">
        <v>1805</v>
      </c>
      <c r="F593" s="3" t="s">
        <v>5011</v>
      </c>
      <c r="G593" s="3" t="s">
        <v>5012</v>
      </c>
    </row>
    <row r="594" spans="1:7">
      <c r="A594" s="6">
        <v>42914</v>
      </c>
      <c r="B594" s="3" t="s">
        <v>4621</v>
      </c>
      <c r="C594" s="3" t="s">
        <v>18</v>
      </c>
      <c r="D594" s="8" t="str">
        <f>HYPERLINK("http://npthd.inbcu.com/ViewContent.aspx?filename=NPMR_FOX_2017-06-28_E.MP4$745$1234","MASTERCHEF: shell shocked &amp; scrambled")</f>
        <v>MASTERCHEF: shell shocked &amp; scrambled</v>
      </c>
      <c r="E594" s="3" t="s">
        <v>779</v>
      </c>
      <c r="F594" s="3" t="s">
        <v>5012</v>
      </c>
      <c r="G594" s="3" t="s">
        <v>5013</v>
      </c>
    </row>
    <row r="595" spans="1:7">
      <c r="A595" s="6">
        <v>42914</v>
      </c>
      <c r="B595" s="3" t="s">
        <v>4621</v>
      </c>
      <c r="C595" s="3" t="s">
        <v>21</v>
      </c>
      <c r="D595" s="8" t="str">
        <f>HYPERLINK("http://npthd.inbcu.com/ViewContent.aspx?filename=NPMR_FOX_2017-06-28_E.MP4$1234$1325","COMMERCIAL")</f>
        <v>COMMERCIAL</v>
      </c>
      <c r="E595" s="3" t="s">
        <v>77</v>
      </c>
      <c r="F595" s="3" t="s">
        <v>5013</v>
      </c>
      <c r="G595" s="3" t="s">
        <v>5014</v>
      </c>
    </row>
    <row r="596" spans="1:7">
      <c r="A596" s="6">
        <v>42914</v>
      </c>
      <c r="B596" s="3" t="s">
        <v>4621</v>
      </c>
      <c r="C596" s="3" t="s">
        <v>14</v>
      </c>
      <c r="D596" s="8" t="str">
        <f>HYPERLINK("http://npthd.inbcu.com/ViewContent.aspx?filename=NPMR_FOX_2017-06-28_E.MP4$1325$1340","Earth Live (Nat Geo)")</f>
        <v>Earth Live (Nat Geo)</v>
      </c>
      <c r="E596" s="3" t="s">
        <v>30</v>
      </c>
      <c r="F596" s="3" t="s">
        <v>5014</v>
      </c>
      <c r="G596" s="3" t="s">
        <v>5015</v>
      </c>
    </row>
    <row r="597" spans="1:7">
      <c r="A597" s="6">
        <v>42914</v>
      </c>
      <c r="B597" s="3" t="s">
        <v>4621</v>
      </c>
      <c r="C597" s="3" t="s">
        <v>21</v>
      </c>
      <c r="D597" s="8" t="str">
        <f>HYPERLINK("http://npthd.inbcu.com/ViewContent.aspx?filename=NPMR_FOX_2017-06-28_E.MP4$1340$1462","COMMERCIAL")</f>
        <v>COMMERCIAL</v>
      </c>
      <c r="E597" s="3" t="s">
        <v>252</v>
      </c>
      <c r="F597" s="3" t="s">
        <v>5015</v>
      </c>
      <c r="G597" s="3" t="s">
        <v>5016</v>
      </c>
    </row>
    <row r="598" spans="1:7">
      <c r="A598" s="6">
        <v>42914</v>
      </c>
      <c r="B598" s="3" t="s">
        <v>4621</v>
      </c>
      <c r="C598" s="3" t="s">
        <v>14</v>
      </c>
      <c r="D598" s="8" t="str">
        <f>HYPERLINK("http://npthd.inbcu.com/ViewContent.aspx?filename=NPMR_FOX_2017-06-28_E.MP4$1462$1477","Snowfall (FX)")</f>
        <v>Snowfall (FX)</v>
      </c>
      <c r="E598" s="3" t="s">
        <v>30</v>
      </c>
      <c r="F598" s="3" t="s">
        <v>5016</v>
      </c>
      <c r="G598" s="3" t="s">
        <v>2000</v>
      </c>
    </row>
    <row r="599" spans="1:7">
      <c r="A599" s="6">
        <v>42914</v>
      </c>
      <c r="B599" s="3" t="s">
        <v>4621</v>
      </c>
      <c r="C599" s="3" t="s">
        <v>18</v>
      </c>
      <c r="D599" s="8" t="str">
        <f>HYPERLINK("http://npthd.inbcu.com/ViewContent.aspx?filename=NPMR_FOX_2017-06-28_E.MP4$1477$1917","MASTERCHEF: shell shocked &amp; scrambled")</f>
        <v>MASTERCHEF: shell shocked &amp; scrambled</v>
      </c>
      <c r="E599" s="3" t="s">
        <v>1116</v>
      </c>
      <c r="F599" s="3" t="s">
        <v>2000</v>
      </c>
      <c r="G599" s="3" t="s">
        <v>5017</v>
      </c>
    </row>
    <row r="600" spans="1:7">
      <c r="A600" s="6">
        <v>42914</v>
      </c>
      <c r="B600" s="3" t="s">
        <v>4621</v>
      </c>
      <c r="C600" s="3" t="s">
        <v>21</v>
      </c>
      <c r="D600" s="8" t="str">
        <f>HYPERLINK("http://npthd.inbcu.com/ViewContent.aspx?filename=NPMR_FOX_2017-06-28_E.MP4$1917$2098","COMMERCIAL")</f>
        <v>COMMERCIAL</v>
      </c>
      <c r="E600" s="3" t="s">
        <v>108</v>
      </c>
      <c r="F600" s="3" t="s">
        <v>5017</v>
      </c>
      <c r="G600" s="3" t="s">
        <v>5018</v>
      </c>
    </row>
    <row r="601" spans="1:7">
      <c r="A601" s="6">
        <v>42914</v>
      </c>
      <c r="B601" s="3" t="s">
        <v>4621</v>
      </c>
      <c r="C601" s="3" t="s">
        <v>14</v>
      </c>
      <c r="D601" s="8" t="str">
        <f>HYPERLINK("http://npthd.inbcu.com/ViewContent.aspx?filename=NPMR_FOX_2017-06-28_E.MP4$2098$2128","Gifted")</f>
        <v>Gifted</v>
      </c>
      <c r="E601" s="3" t="s">
        <v>38</v>
      </c>
      <c r="F601" s="3" t="s">
        <v>5018</v>
      </c>
      <c r="G601" s="3" t="s">
        <v>5019</v>
      </c>
    </row>
    <row r="602" spans="1:7">
      <c r="A602" s="6">
        <v>42914</v>
      </c>
      <c r="B602" s="3" t="s">
        <v>4621</v>
      </c>
      <c r="C602" s="3" t="s">
        <v>18</v>
      </c>
      <c r="D602" s="8" t="str">
        <f>HYPERLINK("http://npthd.inbcu.com/ViewContent.aspx?filename=NPMR_FOX_2017-06-28_E.MP4$2128$2578","MASTERCHEF: shell shocked &amp; scrambled")</f>
        <v>MASTERCHEF: shell shocked &amp; scrambled</v>
      </c>
      <c r="E602" s="3" t="s">
        <v>2904</v>
      </c>
      <c r="F602" s="3" t="s">
        <v>5019</v>
      </c>
      <c r="G602" s="3" t="s">
        <v>4555</v>
      </c>
    </row>
    <row r="603" spans="1:7">
      <c r="A603" s="6">
        <v>42914</v>
      </c>
      <c r="B603" s="3" t="s">
        <v>4621</v>
      </c>
      <c r="C603" s="3" t="s">
        <v>21</v>
      </c>
      <c r="D603" s="8" t="str">
        <f>HYPERLINK("http://npthd.inbcu.com/ViewContent.aspx?filename=NPMR_FOX_2017-06-28_E.MP4$2578$2699","COMMERCIAL")</f>
        <v>COMMERCIAL</v>
      </c>
      <c r="E603" s="3" t="s">
        <v>175</v>
      </c>
      <c r="F603" s="3" t="s">
        <v>4555</v>
      </c>
      <c r="G603" s="3" t="s">
        <v>3505</v>
      </c>
    </row>
    <row r="604" spans="1:7">
      <c r="A604" s="6">
        <v>42914</v>
      </c>
      <c r="B604" s="3" t="s">
        <v>4621</v>
      </c>
      <c r="C604" s="3" t="s">
        <v>14</v>
      </c>
      <c r="D604" s="8" t="str">
        <f>HYPERLINK("http://npthd.inbcu.com/ViewContent.aspx?filename=NPMR_FOX_2017-06-28_E.MP4$2699$2714","MLB All Star Game")</f>
        <v>MLB All Star Game</v>
      </c>
      <c r="E604" s="3" t="s">
        <v>30</v>
      </c>
      <c r="F604" s="3" t="s">
        <v>3505</v>
      </c>
      <c r="G604" s="3" t="s">
        <v>2461</v>
      </c>
    </row>
    <row r="605" spans="1:7">
      <c r="A605" s="6">
        <v>42914</v>
      </c>
      <c r="B605" s="3" t="s">
        <v>4621</v>
      </c>
      <c r="C605" s="3" t="s">
        <v>32</v>
      </c>
      <c r="D605" s="8" t="str">
        <f>HYPERLINK("http://npthd.inbcu.com/ViewContent.aspx?filename=NPMR_FOX_2017-06-28_E.MP4$2714$2825","LOCAL")</f>
        <v>LOCAL</v>
      </c>
      <c r="E605" s="3" t="s">
        <v>2656</v>
      </c>
      <c r="F605" s="3" t="s">
        <v>2461</v>
      </c>
      <c r="G605" s="3" t="s">
        <v>5020</v>
      </c>
    </row>
    <row r="606" spans="1:7">
      <c r="A606" s="6">
        <v>42914</v>
      </c>
      <c r="B606" s="3" t="s">
        <v>4621</v>
      </c>
      <c r="C606" s="3" t="s">
        <v>18</v>
      </c>
      <c r="D606" s="8" t="str">
        <f>HYPERLINK("http://npthd.inbcu.com/ViewContent.aspx?filename=NPMR_FOX_2017-06-28_E.MP4$2825$3222","MASTERCHEF: shell shocked &amp; scrambled")</f>
        <v>MASTERCHEF: shell shocked &amp; scrambled</v>
      </c>
      <c r="E606" s="3" t="s">
        <v>168</v>
      </c>
      <c r="F606" s="3" t="s">
        <v>5020</v>
      </c>
      <c r="G606" s="3" t="s">
        <v>4396</v>
      </c>
    </row>
    <row r="607" spans="1:7">
      <c r="A607" s="6">
        <v>42914</v>
      </c>
      <c r="B607" s="3" t="s">
        <v>4621</v>
      </c>
      <c r="C607" s="3" t="s">
        <v>21</v>
      </c>
      <c r="D607" s="8" t="str">
        <f>HYPERLINK("http://npthd.inbcu.com/ViewContent.aspx?filename=NPMR_FOX_2017-06-28_E.MP4$3222$3343","COMMERCIAL")</f>
        <v>COMMERCIAL</v>
      </c>
      <c r="E607" s="3" t="s">
        <v>175</v>
      </c>
      <c r="F607" s="3" t="s">
        <v>4396</v>
      </c>
      <c r="G607" s="3" t="s">
        <v>5021</v>
      </c>
    </row>
    <row r="608" spans="1:7">
      <c r="A608" s="6">
        <v>42914</v>
      </c>
      <c r="B608" s="3" t="s">
        <v>4621</v>
      </c>
      <c r="C608" s="3" t="s">
        <v>14</v>
      </c>
      <c r="D608" s="8" t="str">
        <f>HYPERLINK("http://npthd.inbcu.com/ViewContent.aspx?filename=NPMR_FOX_2017-06-28_E.MP4$3343$3358","Love Connection")</f>
        <v>Love Connection</v>
      </c>
      <c r="E608" s="3" t="s">
        <v>30</v>
      </c>
      <c r="F608" s="3" t="s">
        <v>5021</v>
      </c>
      <c r="G608" s="3" t="s">
        <v>444</v>
      </c>
    </row>
    <row r="609" spans="1:7">
      <c r="A609" s="6">
        <v>42914</v>
      </c>
      <c r="B609" s="3" t="s">
        <v>4621</v>
      </c>
      <c r="C609" s="3" t="s">
        <v>32</v>
      </c>
      <c r="D609" s="8" t="str">
        <f>HYPERLINK("http://npthd.inbcu.com/ViewContent.aspx?filename=NPMR_FOX_2017-06-28_E.MP4$3358$3370","LOCAL")</f>
        <v>LOCAL</v>
      </c>
      <c r="E609" s="3" t="s">
        <v>2057</v>
      </c>
      <c r="F609" s="3" t="s">
        <v>444</v>
      </c>
      <c r="G609" s="3" t="s">
        <v>5022</v>
      </c>
    </row>
    <row r="610" spans="1:7">
      <c r="A610" s="6">
        <v>42914</v>
      </c>
      <c r="B610" s="3" t="s">
        <v>4621</v>
      </c>
      <c r="C610" s="3" t="s">
        <v>14</v>
      </c>
      <c r="D610" s="8" t="str">
        <f>HYPERLINK("http://npthd.inbcu.com/ViewContent.aspx?filename=NPMR_FOX_2017-06-28_E.MP4$3370$3390","Beat Shazam")</f>
        <v>Beat Shazam</v>
      </c>
      <c r="E610" s="3" t="s">
        <v>1805</v>
      </c>
      <c r="F610" s="3" t="s">
        <v>5022</v>
      </c>
      <c r="G610" s="3" t="s">
        <v>5023</v>
      </c>
    </row>
    <row r="611" spans="1:7">
      <c r="A611" s="6">
        <v>42914</v>
      </c>
      <c r="B611" s="3" t="s">
        <v>4621</v>
      </c>
      <c r="C611" s="3" t="s">
        <v>14</v>
      </c>
      <c r="D611" s="8" t="str">
        <f>HYPERLINK("http://npthd.inbcu.com/ViewContent.aspx?filename=NPMR_FOX_2017-06-28_E.MP4$3390$3405","F Word, The")</f>
        <v>F Word, The</v>
      </c>
      <c r="E611" s="3" t="s">
        <v>30</v>
      </c>
      <c r="F611" s="3" t="s">
        <v>5023</v>
      </c>
      <c r="G611" s="3" t="s">
        <v>1711</v>
      </c>
    </row>
    <row r="612" spans="1:7">
      <c r="A612" s="6">
        <v>42914</v>
      </c>
      <c r="B612" s="3" t="s">
        <v>4621</v>
      </c>
      <c r="C612" s="3" t="s">
        <v>18</v>
      </c>
      <c r="D612" s="8" t="str">
        <f>HYPERLINK("http://npthd.inbcu.com/ViewContent.aspx?filename=NPMR_FOX_2017-06-28_E.MP4$3405$3626","MASTERCHEF: shell shocked &amp; scrambled")</f>
        <v>MASTERCHEF: shell shocked &amp; scrambled</v>
      </c>
      <c r="E612" s="3" t="s">
        <v>1938</v>
      </c>
      <c r="F612" s="3" t="s">
        <v>1711</v>
      </c>
      <c r="G612" s="3" t="s">
        <v>4399</v>
      </c>
    </row>
    <row r="613" spans="1:7">
      <c r="A613" s="6">
        <v>42914</v>
      </c>
      <c r="B613" s="3" t="s">
        <v>4621</v>
      </c>
      <c r="C613" s="3" t="s">
        <v>14</v>
      </c>
      <c r="D613" s="8" t="str">
        <f>HYPERLINK("http://npthd.inbcu.com/ViewContent.aspx?filename=NPMR_FOX_2017-06-28_E.MP4$3626$3658","MasterChef")</f>
        <v>MasterChef</v>
      </c>
      <c r="E613" s="3" t="s">
        <v>213</v>
      </c>
      <c r="F613" s="3" t="s">
        <v>4399</v>
      </c>
      <c r="G613" s="3" t="s">
        <v>2624</v>
      </c>
    </row>
    <row r="614" spans="1:7">
      <c r="A614" s="6">
        <v>42914</v>
      </c>
      <c r="B614" s="3" t="s">
        <v>4621</v>
      </c>
      <c r="C614" s="3" t="s">
        <v>18</v>
      </c>
      <c r="D614" s="8" t="str">
        <f>HYPERLINK("http://npthd.inbcu.com/ViewContent.aspx?filename=NPMR_FOX_2017-06-28_E.MP4$3658$3664","MASTERCHEF: shell shocked &amp; scrambled")</f>
        <v>MASTERCHEF: shell shocked &amp; scrambled</v>
      </c>
      <c r="E614" s="3" t="s">
        <v>15</v>
      </c>
      <c r="F614" s="3" t="s">
        <v>2624</v>
      </c>
      <c r="G614" s="3" t="s">
        <v>242</v>
      </c>
    </row>
    <row r="615" spans="1:7">
      <c r="A615" s="6">
        <v>42914</v>
      </c>
      <c r="B615" s="3" t="s">
        <v>4621</v>
      </c>
      <c r="C615" s="3" t="s">
        <v>18</v>
      </c>
      <c r="D615" s="8" t="str">
        <f>HYPERLINK("http://npthd.inbcu.com/ViewContent.aspx?filename=NPMR_FOX_2017-06-28_E.MP4$3664$4099","THE F WORD WITH GORDAN RAMSEY: 105")</f>
        <v>THE F WORD WITH GORDAN RAMSEY: 105</v>
      </c>
      <c r="E615" s="3" t="s">
        <v>415</v>
      </c>
      <c r="F615" s="3" t="s">
        <v>242</v>
      </c>
      <c r="G615" s="3" t="s">
        <v>5024</v>
      </c>
    </row>
    <row r="616" spans="1:7">
      <c r="A616" s="6">
        <v>42914</v>
      </c>
      <c r="B616" s="3" t="s">
        <v>4621</v>
      </c>
      <c r="C616" s="3" t="s">
        <v>21</v>
      </c>
      <c r="D616" s="8" t="str">
        <f>HYPERLINK("http://npthd.inbcu.com/ViewContent.aspx?filename=NPMR_FOX_2017-06-28_E.MP4$4099$4264","COMMERCIAL")</f>
        <v>COMMERCIAL</v>
      </c>
      <c r="E616" s="3" t="s">
        <v>428</v>
      </c>
      <c r="F616" s="3" t="s">
        <v>5024</v>
      </c>
      <c r="G616" s="3" t="s">
        <v>1211</v>
      </c>
    </row>
    <row r="617" spans="1:7">
      <c r="A617" s="6">
        <v>42914</v>
      </c>
      <c r="B617" s="3" t="s">
        <v>4621</v>
      </c>
      <c r="C617" s="3" t="s">
        <v>18</v>
      </c>
      <c r="D617" s="8" t="str">
        <f>HYPERLINK("http://npthd.inbcu.com/ViewContent.aspx?filename=NPMR_FOX_2017-06-28_E.MP4$4264$4780","THE F WORD WITH GORDAN RAMSEY: 105")</f>
        <v>THE F WORD WITH GORDAN RAMSEY: 105</v>
      </c>
      <c r="E617" s="3" t="s">
        <v>499</v>
      </c>
      <c r="F617" s="3" t="s">
        <v>1211</v>
      </c>
      <c r="G617" s="3" t="s">
        <v>1787</v>
      </c>
    </row>
    <row r="618" spans="1:7">
      <c r="A618" s="6">
        <v>42914</v>
      </c>
      <c r="B618" s="3" t="s">
        <v>4621</v>
      </c>
      <c r="C618" s="3" t="s">
        <v>21</v>
      </c>
      <c r="D618" s="8" t="str">
        <f>HYPERLINK("http://npthd.inbcu.com/ViewContent.aspx?filename=NPMR_FOX_2017-06-28_E.MP4$4780$4870","COMMERCIAL")</f>
        <v>COMMERCIAL</v>
      </c>
      <c r="E618" s="3" t="s">
        <v>46</v>
      </c>
      <c r="F618" s="3" t="s">
        <v>1787</v>
      </c>
      <c r="G618" s="3" t="s">
        <v>5025</v>
      </c>
    </row>
    <row r="619" spans="1:7">
      <c r="A619" s="6">
        <v>42914</v>
      </c>
      <c r="B619" s="3" t="s">
        <v>4621</v>
      </c>
      <c r="C619" s="3" t="s">
        <v>14</v>
      </c>
      <c r="D619" s="8" t="str">
        <f>HYPERLINK("http://npthd.inbcu.com/ViewContent.aspx?filename=NPMR_FOX_2017-06-28_E.MP4$4870$4885","Earth Live (Nat Geo)")</f>
        <v>Earth Live (Nat Geo)</v>
      </c>
      <c r="E619" s="3" t="s">
        <v>30</v>
      </c>
      <c r="F619" s="3" t="s">
        <v>5025</v>
      </c>
      <c r="G619" s="3" t="s">
        <v>5026</v>
      </c>
    </row>
    <row r="620" spans="1:7">
      <c r="A620" s="6">
        <v>42914</v>
      </c>
      <c r="B620" s="3" t="s">
        <v>4621</v>
      </c>
      <c r="C620" s="3" t="s">
        <v>32</v>
      </c>
      <c r="D620" s="8" t="str">
        <f>HYPERLINK("http://npthd.inbcu.com/ViewContent.aspx?filename=NPMR_FOX_2017-06-28_E.MP4$4885$5026","LOCAL")</f>
        <v>LOCAL</v>
      </c>
      <c r="E620" s="3" t="s">
        <v>1753</v>
      </c>
      <c r="F620" s="3" t="s">
        <v>5026</v>
      </c>
      <c r="G620" s="3" t="s">
        <v>1723</v>
      </c>
    </row>
    <row r="621" spans="1:7">
      <c r="A621" s="6">
        <v>42914</v>
      </c>
      <c r="B621" s="3" t="s">
        <v>4621</v>
      </c>
      <c r="C621" s="3" t="s">
        <v>18</v>
      </c>
      <c r="D621" s="8" t="str">
        <f>HYPERLINK("http://npthd.inbcu.com/ViewContent.aspx?filename=NPMR_FOX_2017-06-28_E.MP4$5026$5645","THE F WORD WITH GORDAN RAMSEY: 105")</f>
        <v>THE F WORD WITH GORDAN RAMSEY: 105</v>
      </c>
      <c r="E621" s="3" t="s">
        <v>3858</v>
      </c>
      <c r="F621" s="3" t="s">
        <v>1723</v>
      </c>
      <c r="G621" s="3" t="s">
        <v>3429</v>
      </c>
    </row>
    <row r="622" spans="1:7">
      <c r="A622" s="6">
        <v>42914</v>
      </c>
      <c r="B622" s="3" t="s">
        <v>4621</v>
      </c>
      <c r="C622" s="3" t="s">
        <v>21</v>
      </c>
      <c r="D622" s="8" t="str">
        <f>HYPERLINK("http://npthd.inbcu.com/ViewContent.aspx?filename=NPMR_FOX_2017-06-28_E.MP4$5645$5825","COMMERCIAL")</f>
        <v>COMMERCIAL</v>
      </c>
      <c r="E622" s="3" t="s">
        <v>22</v>
      </c>
      <c r="F622" s="3" t="s">
        <v>3429</v>
      </c>
      <c r="G622" s="3" t="s">
        <v>1069</v>
      </c>
    </row>
    <row r="623" spans="1:7">
      <c r="A623" s="6">
        <v>42914</v>
      </c>
      <c r="B623" s="3" t="s">
        <v>4621</v>
      </c>
      <c r="C623" s="3" t="s">
        <v>18</v>
      </c>
      <c r="D623" s="8" t="str">
        <f>HYPERLINK("http://npthd.inbcu.com/ViewContent.aspx?filename=NPMR_FOX_2017-06-28_E.MP4$5825$6324","THE F WORD WITH GORDAN RAMSEY: 105")</f>
        <v>THE F WORD WITH GORDAN RAMSEY: 105</v>
      </c>
      <c r="E623" s="3" t="s">
        <v>723</v>
      </c>
      <c r="F623" s="3" t="s">
        <v>1069</v>
      </c>
      <c r="G623" s="3" t="s">
        <v>5027</v>
      </c>
    </row>
    <row r="624" spans="1:7">
      <c r="A624" s="6">
        <v>42914</v>
      </c>
      <c r="B624" s="3" t="s">
        <v>4621</v>
      </c>
      <c r="C624" s="3" t="s">
        <v>21</v>
      </c>
      <c r="D624" s="8" t="str">
        <f>HYPERLINK("http://npthd.inbcu.com/ViewContent.aspx?filename=NPMR_FOX_2017-06-28_E.MP4$6324$6459","COMMERCIAL")</f>
        <v>COMMERCIAL</v>
      </c>
      <c r="E624" s="3" t="s">
        <v>459</v>
      </c>
      <c r="F624" s="3" t="s">
        <v>5027</v>
      </c>
      <c r="G624" s="3" t="s">
        <v>5028</v>
      </c>
    </row>
    <row r="625" spans="1:7">
      <c r="A625" s="6">
        <v>42914</v>
      </c>
      <c r="B625" s="3" t="s">
        <v>4621</v>
      </c>
      <c r="C625" s="3" t="s">
        <v>14</v>
      </c>
      <c r="D625" s="8" t="str">
        <f>HYPERLINK("http://npthd.inbcu.com/ViewContent.aspx?filename=NPMR_FOX_2017-06-28_E.MP4$6459$6474","Snowfall (FX)")</f>
        <v>Snowfall (FX)</v>
      </c>
      <c r="E625" s="3" t="s">
        <v>30</v>
      </c>
      <c r="F625" s="3" t="s">
        <v>5028</v>
      </c>
      <c r="G625" s="3" t="s">
        <v>3389</v>
      </c>
    </row>
    <row r="626" spans="1:7">
      <c r="A626" s="6">
        <v>42914</v>
      </c>
      <c r="B626" s="3" t="s">
        <v>4621</v>
      </c>
      <c r="C626" s="3" t="s">
        <v>32</v>
      </c>
      <c r="D626" s="8" t="str">
        <f>HYPERLINK("http://npthd.inbcu.com/ViewContent.aspx?filename=NPMR_FOX_2017-06-28_E.MP4$6474$6566","LOCAL")</f>
        <v>LOCAL</v>
      </c>
      <c r="E626" s="3" t="s">
        <v>267</v>
      </c>
      <c r="F626" s="3" t="s">
        <v>3389</v>
      </c>
      <c r="G626" s="3" t="s">
        <v>4300</v>
      </c>
    </row>
    <row r="627" spans="1:7">
      <c r="A627" s="6">
        <v>42914</v>
      </c>
      <c r="B627" s="3" t="s">
        <v>4621</v>
      </c>
      <c r="C627" s="3" t="s">
        <v>18</v>
      </c>
      <c r="D627" s="8" t="str">
        <f>HYPERLINK("http://npthd.inbcu.com/ViewContent.aspx?filename=NPMR_FOX_2017-06-28_E.MP4$6566$6844","THE F WORD WITH GORDAN RAMSEY: 105")</f>
        <v>THE F WORD WITH GORDAN RAMSEY: 105</v>
      </c>
      <c r="E627" s="3" t="s">
        <v>52</v>
      </c>
      <c r="F627" s="3" t="s">
        <v>4300</v>
      </c>
      <c r="G627" s="3" t="s">
        <v>5029</v>
      </c>
    </row>
    <row r="628" spans="1:7">
      <c r="A628" s="6">
        <v>42914</v>
      </c>
      <c r="B628" s="3" t="s">
        <v>4621</v>
      </c>
      <c r="C628" s="3" t="s">
        <v>21</v>
      </c>
      <c r="D628" s="8" t="str">
        <f>HYPERLINK("http://npthd.inbcu.com/ViewContent.aspx?filename=NPMR_FOX_2017-06-28_E.MP4$6844$6979","COMMERCIAL")</f>
        <v>COMMERCIAL</v>
      </c>
      <c r="E628" s="3" t="s">
        <v>459</v>
      </c>
      <c r="F628" s="3" t="s">
        <v>5029</v>
      </c>
      <c r="G628" s="3" t="s">
        <v>5030</v>
      </c>
    </row>
    <row r="629" spans="1:7">
      <c r="A629" s="6">
        <v>42914</v>
      </c>
      <c r="B629" s="3" t="s">
        <v>4621</v>
      </c>
      <c r="C629" s="3" t="s">
        <v>14</v>
      </c>
      <c r="D629" s="8" t="str">
        <f>HYPERLINK("http://npthd.inbcu.com/ViewContent.aspx?filename=NPMR_FOX_2017-06-28_E.MP4$6979$6994","Beat Shazam")</f>
        <v>Beat Shazam</v>
      </c>
      <c r="E629" s="3" t="s">
        <v>30</v>
      </c>
      <c r="F629" s="3" t="s">
        <v>5030</v>
      </c>
      <c r="G629" s="3" t="s">
        <v>5031</v>
      </c>
    </row>
    <row r="630" spans="1:7">
      <c r="A630" s="6">
        <v>42914</v>
      </c>
      <c r="B630" s="3" t="s">
        <v>4621</v>
      </c>
      <c r="C630" s="3" t="s">
        <v>32</v>
      </c>
      <c r="D630" s="8" t="str">
        <f>HYPERLINK("http://npthd.inbcu.com/ViewContent.aspx?filename=NPMR_FOX_2017-06-28_E.MP4$6994$7015","LOCAL")</f>
        <v>LOCAL</v>
      </c>
      <c r="E630" s="3" t="s">
        <v>2067</v>
      </c>
      <c r="F630" s="3" t="s">
        <v>5031</v>
      </c>
      <c r="G630" s="3" t="s">
        <v>5032</v>
      </c>
    </row>
    <row r="631" spans="1:7">
      <c r="A631" s="6">
        <v>42914</v>
      </c>
      <c r="B631" s="3" t="s">
        <v>4621</v>
      </c>
      <c r="C631" s="3" t="s">
        <v>18</v>
      </c>
      <c r="D631" s="8" t="str">
        <f>HYPERLINK("http://npthd.inbcu.com/ViewContent.aspx?filename=NPMR_FOX_2017-06-28_E.MP4$7015$7240","THE F WORD WITH GORDAN RAMSEY: 105")</f>
        <v>THE F WORD WITH GORDAN RAMSEY: 105</v>
      </c>
      <c r="E631" s="3" t="s">
        <v>86</v>
      </c>
      <c r="F631" s="3" t="s">
        <v>5032</v>
      </c>
      <c r="G631" s="3" t="s">
        <v>5033</v>
      </c>
    </row>
    <row r="632" spans="1:7">
      <c r="A632" s="6">
        <v>42914</v>
      </c>
      <c r="B632" s="3" t="s">
        <v>4621</v>
      </c>
      <c r="C632" s="3" t="s">
        <v>14</v>
      </c>
      <c r="D632" s="8" t="str">
        <f>HYPERLINK("http://npthd.inbcu.com/ViewContent.aspx?filename=NPMR_FOX_2017-06-28_E.MP4$7240$7250","F Word, The")</f>
        <v>F Word, The</v>
      </c>
      <c r="E632" s="3" t="s">
        <v>197</v>
      </c>
      <c r="F632" s="3" t="s">
        <v>5033</v>
      </c>
      <c r="G632" s="3" t="s">
        <v>4977</v>
      </c>
    </row>
    <row r="633" spans="1:7">
      <c r="A633" s="6">
        <v>42914</v>
      </c>
      <c r="B633" s="3" t="s">
        <v>4621</v>
      </c>
      <c r="C633" s="3" t="s">
        <v>18</v>
      </c>
      <c r="D633" s="8" t="str">
        <f>HYPERLINK("http://npthd.inbcu.com/ViewContent.aspx?filename=NPMR_FOX_2017-06-28_E.MP4$7250$7256","THE F WORD WITH GORDAN RAMSEY: 105")</f>
        <v>THE F WORD WITH GORDAN RAMSEY: 105</v>
      </c>
      <c r="E633" s="3" t="s">
        <v>15</v>
      </c>
      <c r="F633" s="3" t="s">
        <v>4977</v>
      </c>
      <c r="G633" s="3" t="s">
        <v>4167</v>
      </c>
    </row>
    <row r="634" spans="1:7">
      <c r="A634" s="6">
        <v>42914</v>
      </c>
      <c r="B634" s="3" t="s">
        <v>4621</v>
      </c>
      <c r="C634" s="3" t="s">
        <v>32</v>
      </c>
      <c r="D634" s="8" t="str">
        <f>HYPERLINK("http://npthd.inbcu.com/ViewContent.aspx?filename=NPMR_FOX_2017-06-28_E.MP4$7256$7264","LOCAL")</f>
        <v>LOCAL</v>
      </c>
      <c r="E634" s="3" t="s">
        <v>2239</v>
      </c>
      <c r="F634" s="3" t="s">
        <v>4167</v>
      </c>
      <c r="G634" s="3" t="s">
        <v>394</v>
      </c>
    </row>
    <row r="635" spans="1:7">
      <c r="A635" s="6">
        <v>42919</v>
      </c>
      <c r="B635" s="3" t="s">
        <v>4621</v>
      </c>
      <c r="C635" s="3" t="s">
        <v>18</v>
      </c>
      <c r="D635" s="8" t="str">
        <f>HYPERLINK("http://npthd.inbcu.com/ViewContent.aspx?filename=NPMR_FOX_2017-07-03_E.MP4$61$505","SO YOU THINK YOU CAN DANCE? : los angeles auditions, part 2")</f>
        <v>SO YOU THINK YOU CAN DANCE? : los angeles auditions, part 2</v>
      </c>
      <c r="E635" s="3" t="s">
        <v>244</v>
      </c>
      <c r="F635" s="3" t="s">
        <v>16</v>
      </c>
      <c r="G635" s="3" t="s">
        <v>4623</v>
      </c>
    </row>
    <row r="636" spans="1:7">
      <c r="A636" s="6">
        <v>42919</v>
      </c>
      <c r="B636" s="3" t="s">
        <v>4621</v>
      </c>
      <c r="C636" s="3" t="s">
        <v>21</v>
      </c>
      <c r="D636" s="8" t="str">
        <f>HYPERLINK("http://npthd.inbcu.com/ViewContent.aspx?filename=NPMR_FOX_2017-07-03_E.MP4$505$625","COMMERCIAL")</f>
        <v>COMMERCIAL</v>
      </c>
      <c r="E636" s="3" t="s">
        <v>43</v>
      </c>
      <c r="F636" s="3" t="s">
        <v>4623</v>
      </c>
      <c r="G636" s="3" t="s">
        <v>1470</v>
      </c>
    </row>
    <row r="637" spans="1:7">
      <c r="A637" s="6">
        <v>42919</v>
      </c>
      <c r="B637" s="3" t="s">
        <v>4621</v>
      </c>
      <c r="C637" s="3" t="s">
        <v>14</v>
      </c>
      <c r="D637" s="8" t="str">
        <f>HYPERLINK("http://npthd.inbcu.com/ViewContent.aspx?filename=NPMR_FOX_2017-07-03_E.MP4$625$656","The Gifted")</f>
        <v>The Gifted</v>
      </c>
      <c r="E637" s="3" t="s">
        <v>98</v>
      </c>
      <c r="F637" s="3" t="s">
        <v>1470</v>
      </c>
      <c r="G637" s="3" t="s">
        <v>4666</v>
      </c>
    </row>
    <row r="638" spans="1:7">
      <c r="A638" s="6">
        <v>42919</v>
      </c>
      <c r="B638" s="3" t="s">
        <v>4621</v>
      </c>
      <c r="C638" s="3" t="s">
        <v>14</v>
      </c>
      <c r="D638" s="8" t="str">
        <f>HYPERLINK("http://npthd.inbcu.com/ViewContent.aspx?filename=NPMR_FOX_2017-07-03_E.MP4$656$675","Beat Shazam / Love Connection")</f>
        <v>Beat Shazam / Love Connection</v>
      </c>
      <c r="E638" s="3" t="s">
        <v>670</v>
      </c>
      <c r="F638" s="3" t="s">
        <v>4666</v>
      </c>
      <c r="G638" s="3" t="s">
        <v>5034</v>
      </c>
    </row>
    <row r="639" spans="1:7">
      <c r="A639" s="6">
        <v>42919</v>
      </c>
      <c r="B639" s="3" t="s">
        <v>4621</v>
      </c>
      <c r="C639" s="3" t="s">
        <v>18</v>
      </c>
      <c r="D639" s="8" t="str">
        <f>HYPERLINK("http://npthd.inbcu.com/ViewContent.aspx?filename=NPMR_FOX_2017-07-03_E.MP4$675$1233","SO YOU THINK YOU CAN DANCE? : los angeles auditions, part 2")</f>
        <v>SO YOU THINK YOU CAN DANCE? : los angeles auditions, part 2</v>
      </c>
      <c r="E639" s="3" t="s">
        <v>1469</v>
      </c>
      <c r="F639" s="3" t="s">
        <v>5034</v>
      </c>
      <c r="G639" s="3" t="s">
        <v>5035</v>
      </c>
    </row>
    <row r="640" spans="1:7">
      <c r="A640" s="6">
        <v>42919</v>
      </c>
      <c r="B640" s="3" t="s">
        <v>4621</v>
      </c>
      <c r="C640" s="3" t="s">
        <v>21</v>
      </c>
      <c r="D640" s="8" t="str">
        <f>HYPERLINK("http://npthd.inbcu.com/ViewContent.aspx?filename=NPMR_FOX_2017-07-03_E.MP4$1233$1354","COMMERCIAL")</f>
        <v>COMMERCIAL</v>
      </c>
      <c r="E640" s="3" t="s">
        <v>175</v>
      </c>
      <c r="F640" s="3" t="s">
        <v>5035</v>
      </c>
      <c r="G640" s="3" t="s">
        <v>5036</v>
      </c>
    </row>
    <row r="641" spans="1:7">
      <c r="A641" s="6">
        <v>42919</v>
      </c>
      <c r="B641" s="3" t="s">
        <v>4621</v>
      </c>
      <c r="C641" s="3" t="s">
        <v>14</v>
      </c>
      <c r="D641" s="8" t="str">
        <f>HYPERLINK("http://npthd.inbcu.com/ViewContent.aspx?filename=NPMR_FOX_2017-07-03_E.MP4$1354$1369","National Geographic Channel")</f>
        <v>National Geographic Channel</v>
      </c>
      <c r="E641" s="3" t="s">
        <v>30</v>
      </c>
      <c r="F641" s="3" t="s">
        <v>5036</v>
      </c>
      <c r="G641" s="3" t="s">
        <v>5037</v>
      </c>
    </row>
    <row r="642" spans="1:7">
      <c r="A642" s="6">
        <v>42919</v>
      </c>
      <c r="B642" s="3" t="s">
        <v>4621</v>
      </c>
      <c r="C642" s="3" t="s">
        <v>32</v>
      </c>
      <c r="D642" s="8" t="str">
        <f>HYPERLINK("http://npthd.inbcu.com/ViewContent.aspx?filename=NPMR_FOX_2017-07-03_E.MP4$1369$1459","LOCAL")</f>
        <v>LOCAL</v>
      </c>
      <c r="E642" s="3" t="s">
        <v>46</v>
      </c>
      <c r="F642" s="3" t="s">
        <v>5037</v>
      </c>
      <c r="G642" s="3" t="s">
        <v>5016</v>
      </c>
    </row>
    <row r="643" spans="1:7">
      <c r="A643" s="6">
        <v>42919</v>
      </c>
      <c r="B643" s="3" t="s">
        <v>4621</v>
      </c>
      <c r="C643" s="3" t="s">
        <v>18</v>
      </c>
      <c r="D643" s="8" t="str">
        <f>HYPERLINK("http://npthd.inbcu.com/ViewContent.aspx?filename=NPMR_FOX_2017-07-03_E.MP4$1459$1796","SO YOU THINK YOU CAN DANCE? : los angeles auditions, part 2")</f>
        <v>SO YOU THINK YOU CAN DANCE? : los angeles auditions, part 2</v>
      </c>
      <c r="E643" s="3" t="s">
        <v>2045</v>
      </c>
      <c r="F643" s="3" t="s">
        <v>5016</v>
      </c>
      <c r="G643" s="3" t="s">
        <v>5038</v>
      </c>
    </row>
    <row r="644" spans="1:7">
      <c r="A644" s="6">
        <v>42919</v>
      </c>
      <c r="B644" s="3" t="s">
        <v>4621</v>
      </c>
      <c r="C644" s="3" t="s">
        <v>21</v>
      </c>
      <c r="D644" s="8" t="str">
        <f>HYPERLINK("http://npthd.inbcu.com/ViewContent.aspx?filename=NPMR_FOX_2017-07-03_E.MP4$1796$1991","COMMERCIAL")</f>
        <v>COMMERCIAL</v>
      </c>
      <c r="E644" s="3" t="s">
        <v>388</v>
      </c>
      <c r="F644" s="3" t="s">
        <v>5038</v>
      </c>
      <c r="G644" s="3" t="s">
        <v>1550</v>
      </c>
    </row>
    <row r="645" spans="1:7">
      <c r="A645" s="6">
        <v>42919</v>
      </c>
      <c r="B645" s="3" t="s">
        <v>4621</v>
      </c>
      <c r="C645" s="3" t="s">
        <v>14</v>
      </c>
      <c r="D645" s="8" t="str">
        <f>HYPERLINK("http://npthd.inbcu.com/ViewContent.aspx?filename=NPMR_FOX_2017-07-03_E.MP4$1991$2007","Snowfall (FX)")</f>
        <v>Snowfall (FX)</v>
      </c>
      <c r="E645" s="3" t="s">
        <v>64</v>
      </c>
      <c r="F645" s="3" t="s">
        <v>1550</v>
      </c>
      <c r="G645" s="3" t="s">
        <v>5039</v>
      </c>
    </row>
    <row r="646" spans="1:7">
      <c r="A646" s="6">
        <v>42919</v>
      </c>
      <c r="B646" s="3" t="s">
        <v>4621</v>
      </c>
      <c r="C646" s="3" t="s">
        <v>14</v>
      </c>
      <c r="D646" s="8" t="str">
        <f>HYPERLINK("http://npthd.inbcu.com/ViewContent.aspx?filename=NPMR_FOX_2017-07-03_E.MP4$2007$2026","MasterChef")</f>
        <v>MasterChef</v>
      </c>
      <c r="E646" s="3" t="s">
        <v>670</v>
      </c>
      <c r="F646" s="3" t="s">
        <v>5039</v>
      </c>
      <c r="G646" s="3" t="s">
        <v>5040</v>
      </c>
    </row>
    <row r="647" spans="1:7">
      <c r="A647" s="6">
        <v>42919</v>
      </c>
      <c r="B647" s="3" t="s">
        <v>4621</v>
      </c>
      <c r="C647" s="3" t="s">
        <v>18</v>
      </c>
      <c r="D647" s="8" t="str">
        <f>HYPERLINK("http://npthd.inbcu.com/ViewContent.aspx?filename=NPMR_FOX_2017-07-03_E.MP4$2026$2348","SO YOU THINK YOU CAN DANCE? : los angeles auditions, part 2")</f>
        <v>SO YOU THINK YOU CAN DANCE? : los angeles auditions, part 2</v>
      </c>
      <c r="E647" s="3" t="s">
        <v>1642</v>
      </c>
      <c r="F647" s="3" t="s">
        <v>5040</v>
      </c>
      <c r="G647" s="3" t="s">
        <v>5041</v>
      </c>
    </row>
    <row r="648" spans="1:7">
      <c r="A648" s="6">
        <v>42919</v>
      </c>
      <c r="B648" s="3" t="s">
        <v>4621</v>
      </c>
      <c r="C648" s="3" t="s">
        <v>21</v>
      </c>
      <c r="D648" s="8" t="str">
        <f>HYPERLINK("http://npthd.inbcu.com/ViewContent.aspx?filename=NPMR_FOX_2017-07-03_E.MP4$2348$2440","COMMERCIAL")</f>
        <v>COMMERCIAL</v>
      </c>
      <c r="E648" s="3" t="s">
        <v>267</v>
      </c>
      <c r="F648" s="3" t="s">
        <v>5041</v>
      </c>
      <c r="G648" s="3" t="s">
        <v>4921</v>
      </c>
    </row>
    <row r="649" spans="1:7">
      <c r="A649" s="6">
        <v>42919</v>
      </c>
      <c r="B649" s="3" t="s">
        <v>4621</v>
      </c>
      <c r="C649" s="3" t="s">
        <v>14</v>
      </c>
      <c r="D649" s="8" t="str">
        <f>HYPERLINK("http://npthd.inbcu.com/ViewContent.aspx?filename=NPMR_FOX_2017-07-03_E.MP4$2440$2454","National Geographic Channel")</f>
        <v>National Geographic Channel</v>
      </c>
      <c r="E649" s="3" t="s">
        <v>342</v>
      </c>
      <c r="F649" s="3" t="s">
        <v>4921</v>
      </c>
      <c r="G649" s="3" t="s">
        <v>5042</v>
      </c>
    </row>
    <row r="650" spans="1:7">
      <c r="A650" s="6">
        <v>42919</v>
      </c>
      <c r="B650" s="3" t="s">
        <v>4621</v>
      </c>
      <c r="C650" s="3" t="s">
        <v>32</v>
      </c>
      <c r="D650" s="8" t="str">
        <f>HYPERLINK("http://npthd.inbcu.com/ViewContent.aspx?filename=NPMR_FOX_2017-07-03_E.MP4$2454$2596","LOCAL")</f>
        <v>LOCAL</v>
      </c>
      <c r="E650" s="3" t="s">
        <v>2082</v>
      </c>
      <c r="F650" s="3" t="s">
        <v>5042</v>
      </c>
      <c r="G650" s="3" t="s">
        <v>523</v>
      </c>
    </row>
    <row r="651" spans="1:7">
      <c r="A651" s="6">
        <v>42919</v>
      </c>
      <c r="B651" s="3" t="s">
        <v>4621</v>
      </c>
      <c r="C651" s="3" t="s">
        <v>18</v>
      </c>
      <c r="D651" s="8" t="str">
        <f>HYPERLINK("http://npthd.inbcu.com/ViewContent.aspx?filename=NPMR_FOX_2017-07-03_E.MP4$2596$2953","SO YOU THINK YOU CAN DANCE? : los angeles auditions, part 2")</f>
        <v>SO YOU THINK YOU CAN DANCE? : los angeles auditions, part 2</v>
      </c>
      <c r="E651" s="3" t="s">
        <v>323</v>
      </c>
      <c r="F651" s="3" t="s">
        <v>523</v>
      </c>
      <c r="G651" s="3" t="s">
        <v>4696</v>
      </c>
    </row>
    <row r="652" spans="1:7">
      <c r="A652" s="6">
        <v>42919</v>
      </c>
      <c r="B652" s="3" t="s">
        <v>4621</v>
      </c>
      <c r="C652" s="3" t="s">
        <v>21</v>
      </c>
      <c r="D652" s="8" t="str">
        <f>HYPERLINK("http://npthd.inbcu.com/ViewContent.aspx?filename=NPMR_FOX_2017-07-03_E.MP4$2953$3103","COMMERCIAL")</f>
        <v>COMMERCIAL</v>
      </c>
      <c r="E652" s="3" t="s">
        <v>28</v>
      </c>
      <c r="F652" s="3" t="s">
        <v>4696</v>
      </c>
      <c r="G652" s="3" t="s">
        <v>4729</v>
      </c>
    </row>
    <row r="653" spans="1:7">
      <c r="A653" s="6">
        <v>42919</v>
      </c>
      <c r="B653" s="3" t="s">
        <v>4621</v>
      </c>
      <c r="C653" s="3" t="s">
        <v>14</v>
      </c>
      <c r="D653" s="8" t="str">
        <f>HYPERLINK("http://npthd.inbcu.com/ViewContent.aspx?filename=NPMR_FOX_2017-07-03_E.MP4$3103$3119","Super Human")</f>
        <v>Super Human</v>
      </c>
      <c r="E653" s="3" t="s">
        <v>64</v>
      </c>
      <c r="F653" s="3" t="s">
        <v>4729</v>
      </c>
      <c r="G653" s="3" t="s">
        <v>5043</v>
      </c>
    </row>
    <row r="654" spans="1:7">
      <c r="A654" s="6">
        <v>42919</v>
      </c>
      <c r="B654" s="3" t="s">
        <v>4621</v>
      </c>
      <c r="C654" s="3" t="s">
        <v>32</v>
      </c>
      <c r="D654" s="8" t="str">
        <f>HYPERLINK("http://npthd.inbcu.com/ViewContent.aspx?filename=NPMR_FOX_2017-07-03_E.MP4$3119$3130","LOCAL")</f>
        <v>LOCAL</v>
      </c>
      <c r="E654" s="3" t="s">
        <v>1940</v>
      </c>
      <c r="F654" s="3" t="s">
        <v>5043</v>
      </c>
      <c r="G654" s="3" t="s">
        <v>5044</v>
      </c>
    </row>
    <row r="655" spans="1:7">
      <c r="A655" s="6">
        <v>42919</v>
      </c>
      <c r="B655" s="3" t="s">
        <v>4621</v>
      </c>
      <c r="C655" s="3" t="s">
        <v>18</v>
      </c>
      <c r="D655" s="8" t="str">
        <f>HYPERLINK("http://npthd.inbcu.com/ViewContent.aspx?filename=NPMR_FOX_2017-07-03_E.MP4$3130$3715","SO YOU THINK YOU CAN DANCE? : los angeles auditions, part 2")</f>
        <v>SO YOU THINK YOU CAN DANCE? : los angeles auditions, part 2</v>
      </c>
      <c r="E655" s="3" t="s">
        <v>1040</v>
      </c>
      <c r="F655" s="3" t="s">
        <v>5044</v>
      </c>
      <c r="G655" s="3" t="s">
        <v>156</v>
      </c>
    </row>
    <row r="656" spans="1:7">
      <c r="A656" s="6">
        <v>42919</v>
      </c>
      <c r="B656" s="3" t="s">
        <v>4621</v>
      </c>
      <c r="C656" s="3" t="s">
        <v>18</v>
      </c>
      <c r="D656" s="8" t="str">
        <f>HYPERLINK("http://npthd.inbcu.com/ViewContent.aspx?filename=NPMR_FOX_2017-07-03_E.MP4$3715$4193","SUPERHUMAN: extreme awareness")</f>
        <v>SUPERHUMAN: extreme awareness</v>
      </c>
      <c r="E656" s="3" t="s">
        <v>908</v>
      </c>
      <c r="F656" s="3" t="s">
        <v>156</v>
      </c>
      <c r="G656" s="3" t="s">
        <v>2199</v>
      </c>
    </row>
    <row r="657" spans="1:7">
      <c r="A657" s="6">
        <v>42919</v>
      </c>
      <c r="B657" s="3" t="s">
        <v>4621</v>
      </c>
      <c r="C657" s="3" t="s">
        <v>21</v>
      </c>
      <c r="D657" s="8" t="str">
        <f>HYPERLINK("http://npthd.inbcu.com/ViewContent.aspx?filename=NPMR_FOX_2017-07-03_E.MP4$4193$4314","COMMERCIAL")</f>
        <v>COMMERCIAL</v>
      </c>
      <c r="E657" s="3" t="s">
        <v>175</v>
      </c>
      <c r="F657" s="3" t="s">
        <v>2199</v>
      </c>
      <c r="G657" s="3" t="s">
        <v>2969</v>
      </c>
    </row>
    <row r="658" spans="1:7">
      <c r="A658" s="6">
        <v>42919</v>
      </c>
      <c r="B658" s="3" t="s">
        <v>4621</v>
      </c>
      <c r="C658" s="3" t="s">
        <v>18</v>
      </c>
      <c r="D658" s="8" t="str">
        <f>HYPERLINK("http://npthd.inbcu.com/ViewContent.aspx?filename=NPMR_FOX_2017-07-03_E.MP4$4314$4832","SUPERHUMAN: extreme awareness")</f>
        <v>SUPERHUMAN: extreme awareness</v>
      </c>
      <c r="E658" s="3" t="s">
        <v>1095</v>
      </c>
      <c r="F658" s="3" t="s">
        <v>2969</v>
      </c>
      <c r="G658" s="3" t="s">
        <v>1847</v>
      </c>
    </row>
    <row r="659" spans="1:7">
      <c r="A659" s="6">
        <v>42919</v>
      </c>
      <c r="B659" s="3" t="s">
        <v>4621</v>
      </c>
      <c r="C659" s="3" t="s">
        <v>21</v>
      </c>
      <c r="D659" s="8" t="str">
        <f>HYPERLINK("http://npthd.inbcu.com/ViewContent.aspx?filename=NPMR_FOX_2017-07-03_E.MP4$4832$4923","COMMERCIAL")</f>
        <v>COMMERCIAL</v>
      </c>
      <c r="E659" s="3" t="s">
        <v>77</v>
      </c>
      <c r="F659" s="3" t="s">
        <v>1847</v>
      </c>
      <c r="G659" s="3" t="s">
        <v>2287</v>
      </c>
    </row>
    <row r="660" spans="1:7">
      <c r="A660" s="6">
        <v>42919</v>
      </c>
      <c r="B660" s="3" t="s">
        <v>4621</v>
      </c>
      <c r="C660" s="3" t="s">
        <v>14</v>
      </c>
      <c r="D660" s="8" t="str">
        <f>HYPERLINK("http://npthd.inbcu.com/ViewContent.aspx?filename=NPMR_FOX_2017-07-03_E.MP4$4923$4937","National Geographic Channel")</f>
        <v>National Geographic Channel</v>
      </c>
      <c r="E660" s="3" t="s">
        <v>342</v>
      </c>
      <c r="F660" s="3" t="s">
        <v>2287</v>
      </c>
      <c r="G660" s="3" t="s">
        <v>5045</v>
      </c>
    </row>
    <row r="661" spans="1:7">
      <c r="A661" s="6">
        <v>42919</v>
      </c>
      <c r="B661" s="3" t="s">
        <v>4621</v>
      </c>
      <c r="C661" s="3" t="s">
        <v>32</v>
      </c>
      <c r="D661" s="8" t="str">
        <f>HYPERLINK("http://npthd.inbcu.com/ViewContent.aspx?filename=NPMR_FOX_2017-07-03_E.MP4$4937$5078","LOCAL")</f>
        <v>LOCAL</v>
      </c>
      <c r="E661" s="3" t="s">
        <v>1753</v>
      </c>
      <c r="F661" s="3" t="s">
        <v>5045</v>
      </c>
      <c r="G661" s="3" t="s">
        <v>4404</v>
      </c>
    </row>
    <row r="662" spans="1:7">
      <c r="A662" s="6">
        <v>42919</v>
      </c>
      <c r="B662" s="3" t="s">
        <v>4621</v>
      </c>
      <c r="C662" s="3" t="s">
        <v>18</v>
      </c>
      <c r="D662" s="8" t="str">
        <f>HYPERLINK("http://npthd.inbcu.com/ViewContent.aspx?filename=NPMR_FOX_2017-07-03_E.MP4$5078$5521","SUPERHUMAN: extreme awareness")</f>
        <v>SUPERHUMAN: extreme awareness</v>
      </c>
      <c r="E662" s="3" t="s">
        <v>2348</v>
      </c>
      <c r="F662" s="3" t="s">
        <v>4404</v>
      </c>
      <c r="G662" s="3" t="s">
        <v>655</v>
      </c>
    </row>
    <row r="663" spans="1:7">
      <c r="A663" s="6">
        <v>42919</v>
      </c>
      <c r="B663" s="3" t="s">
        <v>4621</v>
      </c>
      <c r="C663" s="3" t="s">
        <v>21</v>
      </c>
      <c r="D663" s="8" t="str">
        <f>HYPERLINK("http://npthd.inbcu.com/ViewContent.aspx?filename=NPMR_FOX_2017-07-03_E.MP4$5521$5702","COMMERCIAL")</f>
        <v>COMMERCIAL</v>
      </c>
      <c r="E663" s="3" t="s">
        <v>108</v>
      </c>
      <c r="F663" s="3" t="s">
        <v>655</v>
      </c>
      <c r="G663" s="3" t="s">
        <v>5046</v>
      </c>
    </row>
    <row r="664" spans="1:7">
      <c r="A664" s="6">
        <v>42919</v>
      </c>
      <c r="B664" s="3" t="s">
        <v>4621</v>
      </c>
      <c r="C664" s="3" t="s">
        <v>18</v>
      </c>
      <c r="D664" s="8" t="str">
        <f>HYPERLINK("http://npthd.inbcu.com/ViewContent.aspx?filename=NPMR_FOX_2017-07-03_E.MP4$5702$6089","SUPERHUMAN: extreme awareness")</f>
        <v>SUPERHUMAN: extreme awareness</v>
      </c>
      <c r="E664" s="3" t="s">
        <v>688</v>
      </c>
      <c r="F664" s="3" t="s">
        <v>5046</v>
      </c>
      <c r="G664" s="3" t="s">
        <v>5047</v>
      </c>
    </row>
    <row r="665" spans="1:7">
      <c r="A665" s="6">
        <v>42919</v>
      </c>
      <c r="B665" s="3" t="s">
        <v>4621</v>
      </c>
      <c r="C665" s="3" t="s">
        <v>21</v>
      </c>
      <c r="D665" s="8" t="str">
        <f>HYPERLINK("http://npthd.inbcu.com/ViewContent.aspx?filename=NPMR_FOX_2017-07-03_E.MP4$6089$6210","COMMERCIAL")</f>
        <v>COMMERCIAL</v>
      </c>
      <c r="E665" s="3" t="s">
        <v>175</v>
      </c>
      <c r="F665" s="3" t="s">
        <v>5047</v>
      </c>
      <c r="G665" s="3" t="s">
        <v>5048</v>
      </c>
    </row>
    <row r="666" spans="1:7">
      <c r="A666" s="6">
        <v>42919</v>
      </c>
      <c r="B666" s="3" t="s">
        <v>4621</v>
      </c>
      <c r="C666" s="3" t="s">
        <v>14</v>
      </c>
      <c r="D666" s="8" t="str">
        <f>HYPERLINK("http://npthd.inbcu.com/ViewContent.aspx?filename=NPMR_FOX_2017-07-03_E.MP4$6210$6225","MLB All Star Game")</f>
        <v>MLB All Star Game</v>
      </c>
      <c r="E666" s="3" t="s">
        <v>30</v>
      </c>
      <c r="F666" s="3" t="s">
        <v>5048</v>
      </c>
      <c r="G666" s="3" t="s">
        <v>5049</v>
      </c>
    </row>
    <row r="667" spans="1:7">
      <c r="A667" s="6">
        <v>42919</v>
      </c>
      <c r="B667" s="3" t="s">
        <v>4621</v>
      </c>
      <c r="C667" s="3" t="s">
        <v>32</v>
      </c>
      <c r="D667" s="8" t="str">
        <f>HYPERLINK("http://npthd.inbcu.com/ViewContent.aspx?filename=NPMR_FOX_2017-07-03_E.MP4$6225$6315","LOCAL")</f>
        <v>LOCAL</v>
      </c>
      <c r="E667" s="3" t="s">
        <v>46</v>
      </c>
      <c r="F667" s="3" t="s">
        <v>5049</v>
      </c>
      <c r="G667" s="3" t="s">
        <v>5050</v>
      </c>
    </row>
    <row r="668" spans="1:7">
      <c r="A668" s="6">
        <v>42919</v>
      </c>
      <c r="B668" s="3" t="s">
        <v>4621</v>
      </c>
      <c r="C668" s="3" t="s">
        <v>18</v>
      </c>
      <c r="D668" s="8" t="str">
        <f>HYPERLINK("http://npthd.inbcu.com/ViewContent.aspx?filename=NPMR_FOX_2017-07-03_E.MP4$6315$6751","SUPERHUMAN: extreme awareness")</f>
        <v>SUPERHUMAN: extreme awareness</v>
      </c>
      <c r="E668" s="3" t="s">
        <v>471</v>
      </c>
      <c r="F668" s="3" t="s">
        <v>5050</v>
      </c>
      <c r="G668" s="3" t="s">
        <v>5051</v>
      </c>
    </row>
    <row r="669" spans="1:7">
      <c r="A669" s="6">
        <v>42919</v>
      </c>
      <c r="B669" s="3" t="s">
        <v>4621</v>
      </c>
      <c r="C669" s="3" t="s">
        <v>21</v>
      </c>
      <c r="D669" s="8" t="str">
        <f>HYPERLINK("http://npthd.inbcu.com/ViewContent.aspx?filename=NPMR_FOX_2017-07-03_E.MP4$6751$6872","COMMERCIAL")</f>
        <v>COMMERCIAL</v>
      </c>
      <c r="E669" s="3" t="s">
        <v>175</v>
      </c>
      <c r="F669" s="3" t="s">
        <v>5051</v>
      </c>
      <c r="G669" s="3" t="s">
        <v>4973</v>
      </c>
    </row>
    <row r="670" spans="1:7">
      <c r="A670" s="6">
        <v>42919</v>
      </c>
      <c r="B670" s="3" t="s">
        <v>4621</v>
      </c>
      <c r="C670" s="3" t="s">
        <v>14</v>
      </c>
      <c r="D670" s="8" t="str">
        <f>HYPERLINK("http://npthd.inbcu.com/ViewContent.aspx?filename=NPMR_FOX_2017-07-03_E.MP4$6872$6886","Snowfall (FX)")</f>
        <v>Snowfall (FX)</v>
      </c>
      <c r="E670" s="3" t="s">
        <v>342</v>
      </c>
      <c r="F670" s="3" t="s">
        <v>4973</v>
      </c>
      <c r="G670" s="3" t="s">
        <v>5052</v>
      </c>
    </row>
    <row r="671" spans="1:7">
      <c r="A671" s="6">
        <v>42919</v>
      </c>
      <c r="B671" s="3" t="s">
        <v>4621</v>
      </c>
      <c r="C671" s="3" t="s">
        <v>32</v>
      </c>
      <c r="D671" s="8" t="str">
        <f>HYPERLINK("http://npthd.inbcu.com/ViewContent.aspx?filename=NPMR_FOX_2017-07-03_E.MP4$6886$6906","LOCAL")</f>
        <v>LOCAL</v>
      </c>
      <c r="E671" s="3" t="s">
        <v>1805</v>
      </c>
      <c r="F671" s="3" t="s">
        <v>5052</v>
      </c>
      <c r="G671" s="3" t="s">
        <v>4855</v>
      </c>
    </row>
    <row r="672" spans="1:7">
      <c r="A672" s="6">
        <v>42919</v>
      </c>
      <c r="B672" s="3" t="s">
        <v>4621</v>
      </c>
      <c r="C672" s="3" t="s">
        <v>14</v>
      </c>
      <c r="D672" s="8" t="str">
        <f>HYPERLINK("http://npthd.inbcu.com/ViewContent.aspx?filename=NPMR_FOX_2017-07-03_E.MP4$6906$6927","Beat Shazam / Love Connection")</f>
        <v>Beat Shazam / Love Connection</v>
      </c>
      <c r="E672" s="3" t="s">
        <v>2067</v>
      </c>
      <c r="F672" s="3" t="s">
        <v>4855</v>
      </c>
      <c r="G672" s="3" t="s">
        <v>1512</v>
      </c>
    </row>
    <row r="673" spans="1:7">
      <c r="A673" s="6">
        <v>42919</v>
      </c>
      <c r="B673" s="3" t="s">
        <v>4621</v>
      </c>
      <c r="C673" s="3" t="s">
        <v>18</v>
      </c>
      <c r="D673" s="8" t="str">
        <f>HYPERLINK("http://npthd.inbcu.com/ViewContent.aspx?filename=NPMR_FOX_2017-07-03_E.MP4$6927$7251","SUPERHUMAN: extreme awareness")</f>
        <v>SUPERHUMAN: extreme awareness</v>
      </c>
      <c r="E673" s="3" t="s">
        <v>2322</v>
      </c>
      <c r="F673" s="3" t="s">
        <v>1512</v>
      </c>
      <c r="G673" s="3" t="s">
        <v>3097</v>
      </c>
    </row>
    <row r="674" spans="1:7">
      <c r="A674" s="6">
        <v>42919</v>
      </c>
      <c r="B674" s="3" t="s">
        <v>4621</v>
      </c>
      <c r="C674" s="3" t="s">
        <v>32</v>
      </c>
      <c r="D674" s="8" t="str">
        <f>HYPERLINK("http://npthd.inbcu.com/ViewContent.aspx?filename=NPMR_FOX_2017-07-03_E.MP4$7251$7261","LOCAL")</f>
        <v>LOCAL</v>
      </c>
      <c r="E674" s="3" t="s">
        <v>197</v>
      </c>
      <c r="F674" s="3" t="s">
        <v>3097</v>
      </c>
      <c r="G674" s="3" t="s">
        <v>394</v>
      </c>
    </row>
    <row r="675" spans="1:7">
      <c r="A675" s="6">
        <v>42920</v>
      </c>
      <c r="B675" s="3" t="s">
        <v>4621</v>
      </c>
      <c r="C675" s="3" t="s">
        <v>18</v>
      </c>
      <c r="D675" s="8" t="str">
        <f>HYPERLINK("http://npthd.inbcu.com/ViewContent.aspx?filename=NPMR_FOX_2017-07-04_E.MP4$68$811","LETHAL WEAPON: surf n turf")</f>
        <v>LETHAL WEAPON: surf n turf</v>
      </c>
      <c r="E675" s="3" t="s">
        <v>1292</v>
      </c>
      <c r="F675" s="3" t="s">
        <v>16</v>
      </c>
      <c r="G675" s="3" t="s">
        <v>5053</v>
      </c>
    </row>
    <row r="676" spans="1:7">
      <c r="A676" s="6">
        <v>42920</v>
      </c>
      <c r="B676" s="3" t="s">
        <v>4621</v>
      </c>
      <c r="C676" s="3" t="s">
        <v>21</v>
      </c>
      <c r="D676" s="8" t="str">
        <f>HYPERLINK("http://npthd.inbcu.com/ViewContent.aspx?filename=NPMR_FOX_2017-07-04_E.MP4$811$931","COMMERCIAL")</f>
        <v>COMMERCIAL</v>
      </c>
      <c r="E676" s="3" t="s">
        <v>43</v>
      </c>
      <c r="F676" s="3" t="s">
        <v>5053</v>
      </c>
      <c r="G676" s="3" t="s">
        <v>343</v>
      </c>
    </row>
    <row r="677" spans="1:7">
      <c r="A677" s="6">
        <v>42920</v>
      </c>
      <c r="B677" s="3" t="s">
        <v>4621</v>
      </c>
      <c r="C677" s="3" t="s">
        <v>14</v>
      </c>
      <c r="D677" s="8" t="str">
        <f>HYPERLINK("http://npthd.inbcu.com/ViewContent.aspx?filename=NPMR_FOX_2017-07-04_E.MP4$931$946","MasterChef")</f>
        <v>MasterChef</v>
      </c>
      <c r="E677" s="3" t="s">
        <v>30</v>
      </c>
      <c r="F677" s="3" t="s">
        <v>343</v>
      </c>
      <c r="G677" s="3" t="s">
        <v>3857</v>
      </c>
    </row>
    <row r="678" spans="1:7">
      <c r="A678" s="6">
        <v>42920</v>
      </c>
      <c r="B678" s="3" t="s">
        <v>4621</v>
      </c>
      <c r="C678" s="3" t="s">
        <v>18</v>
      </c>
      <c r="D678" s="8" t="str">
        <f>HYPERLINK("http://npthd.inbcu.com/ViewContent.aspx?filename=NPMR_FOX_2017-07-04_E.MP4$946$1462","LETHAL WEAPON: surf n turf")</f>
        <v>LETHAL WEAPON: surf n turf</v>
      </c>
      <c r="E678" s="3" t="s">
        <v>499</v>
      </c>
      <c r="F678" s="3" t="s">
        <v>3857</v>
      </c>
      <c r="G678" s="3" t="s">
        <v>970</v>
      </c>
    </row>
    <row r="679" spans="1:7">
      <c r="A679" s="6">
        <v>42920</v>
      </c>
      <c r="B679" s="3" t="s">
        <v>4621</v>
      </c>
      <c r="C679" s="3" t="s">
        <v>21</v>
      </c>
      <c r="D679" s="8" t="str">
        <f>HYPERLINK("http://npthd.inbcu.com/ViewContent.aspx?filename=NPMR_FOX_2017-07-04_E.MP4$1462$1567","COMMERCIAL")</f>
        <v>COMMERCIAL</v>
      </c>
      <c r="E679" s="3" t="s">
        <v>199</v>
      </c>
      <c r="F679" s="3" t="s">
        <v>970</v>
      </c>
      <c r="G679" s="3" t="s">
        <v>2699</v>
      </c>
    </row>
    <row r="680" spans="1:7">
      <c r="A680" s="6">
        <v>42920</v>
      </c>
      <c r="B680" s="3" t="s">
        <v>4621</v>
      </c>
      <c r="C680" s="3" t="s">
        <v>14</v>
      </c>
      <c r="D680" s="8" t="str">
        <f>HYPERLINK("http://npthd.inbcu.com/ViewContent.aspx?filename=NPMR_FOX_2017-07-04_E.MP4$1567$1582","Snowfall (FX)")</f>
        <v>Snowfall (FX)</v>
      </c>
      <c r="E680" s="3" t="s">
        <v>30</v>
      </c>
      <c r="F680" s="3" t="s">
        <v>2699</v>
      </c>
      <c r="G680" s="3" t="s">
        <v>2700</v>
      </c>
    </row>
    <row r="681" spans="1:7">
      <c r="A681" s="6">
        <v>42920</v>
      </c>
      <c r="B681" s="3" t="s">
        <v>4621</v>
      </c>
      <c r="C681" s="3" t="s">
        <v>32</v>
      </c>
      <c r="D681" s="8" t="str">
        <f>HYPERLINK("http://npthd.inbcu.com/ViewContent.aspx?filename=NPMR_FOX_2017-07-04_E.MP4$1582$1673","LOCAL")</f>
        <v>LOCAL</v>
      </c>
      <c r="E681" s="3" t="s">
        <v>77</v>
      </c>
      <c r="F681" s="3" t="s">
        <v>2700</v>
      </c>
      <c r="G681" s="3" t="s">
        <v>5054</v>
      </c>
    </row>
    <row r="682" spans="1:7">
      <c r="A682" s="6">
        <v>42920</v>
      </c>
      <c r="B682" s="3" t="s">
        <v>4621</v>
      </c>
      <c r="C682" s="3" t="s">
        <v>18</v>
      </c>
      <c r="D682" s="8" t="str">
        <f>HYPERLINK("http://npthd.inbcu.com/ViewContent.aspx?filename=NPMR_FOX_2017-07-04_E.MP4$1673$2126","LETHAL WEAPON: surf n turf")</f>
        <v>LETHAL WEAPON: surf n turf</v>
      </c>
      <c r="E682" s="3" t="s">
        <v>1758</v>
      </c>
      <c r="F682" s="3" t="s">
        <v>5054</v>
      </c>
      <c r="G682" s="3" t="s">
        <v>141</v>
      </c>
    </row>
    <row r="683" spans="1:7">
      <c r="A683" s="6">
        <v>42920</v>
      </c>
      <c r="B683" s="3" t="s">
        <v>4621</v>
      </c>
      <c r="C683" s="3" t="s">
        <v>21</v>
      </c>
      <c r="D683" s="8" t="str">
        <f>HYPERLINK("http://npthd.inbcu.com/ViewContent.aspx?filename=NPMR_FOX_2017-07-04_E.MP4$2126$2306","COMMERCIAL")</f>
        <v>COMMERCIAL</v>
      </c>
      <c r="E683" s="3" t="s">
        <v>22</v>
      </c>
      <c r="F683" s="3" t="s">
        <v>141</v>
      </c>
      <c r="G683" s="3" t="s">
        <v>5055</v>
      </c>
    </row>
    <row r="684" spans="1:7">
      <c r="A684" s="6">
        <v>42920</v>
      </c>
      <c r="B684" s="3" t="s">
        <v>4621</v>
      </c>
      <c r="C684" s="3" t="s">
        <v>18</v>
      </c>
      <c r="D684" s="8" t="str">
        <f>HYPERLINK("http://npthd.inbcu.com/ViewContent.aspx?filename=NPMR_FOX_2017-07-04_E.MP4$2306$2547","LETHAL WEAPON: surf n turf")</f>
        <v>LETHAL WEAPON: surf n turf</v>
      </c>
      <c r="E684" s="3" t="s">
        <v>1484</v>
      </c>
      <c r="F684" s="3" t="s">
        <v>5055</v>
      </c>
      <c r="G684" s="3" t="s">
        <v>1620</v>
      </c>
    </row>
    <row r="685" spans="1:7">
      <c r="A685" s="6">
        <v>42920</v>
      </c>
      <c r="B685" s="3" t="s">
        <v>4621</v>
      </c>
      <c r="C685" s="3" t="s">
        <v>21</v>
      </c>
      <c r="D685" s="8" t="str">
        <f>HYPERLINK("http://npthd.inbcu.com/ViewContent.aspx?filename=NPMR_FOX_2017-07-04_E.MP4$2547$2637","COMMERCIAL")</f>
        <v>COMMERCIAL</v>
      </c>
      <c r="E685" s="3" t="s">
        <v>46</v>
      </c>
      <c r="F685" s="3" t="s">
        <v>1620</v>
      </c>
      <c r="G685" s="3" t="s">
        <v>5056</v>
      </c>
    </row>
    <row r="686" spans="1:7">
      <c r="A686" s="6">
        <v>42920</v>
      </c>
      <c r="B686" s="3" t="s">
        <v>4621</v>
      </c>
      <c r="C686" s="3" t="s">
        <v>14</v>
      </c>
      <c r="D686" s="8" t="str">
        <f>HYPERLINK("http://npthd.inbcu.com/ViewContent.aspx?filename=NPMR_FOX_2017-07-04_E.MP4$2637$2652","Earth Live (Nat Geo)")</f>
        <v>Earth Live (Nat Geo)</v>
      </c>
      <c r="E686" s="3" t="s">
        <v>30</v>
      </c>
      <c r="F686" s="3" t="s">
        <v>5056</v>
      </c>
      <c r="G686" s="3" t="s">
        <v>1124</v>
      </c>
    </row>
    <row r="687" spans="1:7">
      <c r="A687" s="6">
        <v>42920</v>
      </c>
      <c r="B687" s="3" t="s">
        <v>4621</v>
      </c>
      <c r="C687" s="3" t="s">
        <v>32</v>
      </c>
      <c r="D687" s="8" t="str">
        <f>HYPERLINK("http://npthd.inbcu.com/ViewContent.aspx?filename=NPMR_FOX_2017-07-04_E.MP4$2652$2793","LOCAL")</f>
        <v>LOCAL</v>
      </c>
      <c r="E687" s="3" t="s">
        <v>1753</v>
      </c>
      <c r="F687" s="3" t="s">
        <v>1124</v>
      </c>
      <c r="G687" s="3" t="s">
        <v>714</v>
      </c>
    </row>
    <row r="688" spans="1:7">
      <c r="A688" s="6">
        <v>42920</v>
      </c>
      <c r="B688" s="3" t="s">
        <v>4621</v>
      </c>
      <c r="C688" s="3" t="s">
        <v>18</v>
      </c>
      <c r="D688" s="8" t="str">
        <f>HYPERLINK("http://npthd.inbcu.com/ViewContent.aspx?filename=NPMR_FOX_2017-07-04_E.MP4$2793$3089","LETHAL WEAPON: surf n turf")</f>
        <v>LETHAL WEAPON: surf n turf</v>
      </c>
      <c r="E688" s="3" t="s">
        <v>1389</v>
      </c>
      <c r="F688" s="3" t="s">
        <v>714</v>
      </c>
      <c r="G688" s="3" t="s">
        <v>2191</v>
      </c>
    </row>
    <row r="689" spans="1:7">
      <c r="A689" s="6">
        <v>42920</v>
      </c>
      <c r="B689" s="3" t="s">
        <v>4621</v>
      </c>
      <c r="C689" s="3" t="s">
        <v>21</v>
      </c>
      <c r="D689" s="8" t="str">
        <f>HYPERLINK("http://npthd.inbcu.com/ViewContent.aspx?filename=NPMR_FOX_2017-07-04_E.MP4$3089$3224","COMMERCIAL")</f>
        <v>COMMERCIAL</v>
      </c>
      <c r="E689" s="3" t="s">
        <v>459</v>
      </c>
      <c r="F689" s="3" t="s">
        <v>2191</v>
      </c>
      <c r="G689" s="3" t="s">
        <v>4481</v>
      </c>
    </row>
    <row r="690" spans="1:7">
      <c r="A690" s="6">
        <v>42920</v>
      </c>
      <c r="B690" s="3" t="s">
        <v>4621</v>
      </c>
      <c r="C690" s="3" t="s">
        <v>14</v>
      </c>
      <c r="D690" s="8" t="str">
        <f>HYPERLINK("http://npthd.inbcu.com/ViewContent.aspx?filename=NPMR_FOX_2017-07-04_E.MP4$3224$3239","Snowfall (FX)")</f>
        <v>Snowfall (FX)</v>
      </c>
      <c r="E690" s="3" t="s">
        <v>30</v>
      </c>
      <c r="F690" s="3" t="s">
        <v>4481</v>
      </c>
      <c r="G690" s="3" t="s">
        <v>5057</v>
      </c>
    </row>
    <row r="691" spans="1:7">
      <c r="A691" s="6">
        <v>42920</v>
      </c>
      <c r="B691" s="3" t="s">
        <v>4621</v>
      </c>
      <c r="C691" s="3" t="s">
        <v>32</v>
      </c>
      <c r="D691" s="8" t="str">
        <f>HYPERLINK("http://npthd.inbcu.com/ViewContent.aspx?filename=NPMR_FOX_2017-07-04_E.MP4$3239$3250","LOCAL")</f>
        <v>LOCAL</v>
      </c>
      <c r="E691" s="3" t="s">
        <v>1940</v>
      </c>
      <c r="F691" s="3" t="s">
        <v>5057</v>
      </c>
      <c r="G691" s="3" t="s">
        <v>4057</v>
      </c>
    </row>
    <row r="692" spans="1:7">
      <c r="A692" s="6">
        <v>42920</v>
      </c>
      <c r="B692" s="3" t="s">
        <v>4621</v>
      </c>
      <c r="C692" s="3" t="s">
        <v>14</v>
      </c>
      <c r="D692" s="8" t="str">
        <f>HYPERLINK("http://npthd.inbcu.com/ViewContent.aspx?filename=NPMR_FOX_2017-07-04_E.MP4$3250$3271","FOX Thursday")</f>
        <v>FOX Thursday</v>
      </c>
      <c r="E692" s="3" t="s">
        <v>2067</v>
      </c>
      <c r="F692" s="3" t="s">
        <v>4057</v>
      </c>
      <c r="G692" s="3" t="s">
        <v>5058</v>
      </c>
    </row>
    <row r="693" spans="1:7">
      <c r="A693" s="6">
        <v>42920</v>
      </c>
      <c r="B693" s="3" t="s">
        <v>4621</v>
      </c>
      <c r="C693" s="3" t="s">
        <v>18</v>
      </c>
      <c r="D693" s="8" t="str">
        <f>HYPERLINK("http://npthd.inbcu.com/ViewContent.aspx?filename=NPMR_FOX_2017-07-04_E.MP4$3271$3622","LETHAL WEAPON: surf n turf")</f>
        <v>LETHAL WEAPON: surf n turf</v>
      </c>
      <c r="E693" s="3" t="s">
        <v>1541</v>
      </c>
      <c r="F693" s="3" t="s">
        <v>5058</v>
      </c>
      <c r="G693" s="3" t="s">
        <v>634</v>
      </c>
    </row>
    <row r="694" spans="1:7">
      <c r="A694" s="6">
        <v>42920</v>
      </c>
      <c r="B694" s="3" t="s">
        <v>4621</v>
      </c>
      <c r="C694" s="3" t="s">
        <v>14</v>
      </c>
      <c r="D694" s="8" t="str">
        <f>HYPERLINK("http://npthd.inbcu.com/ViewContent.aspx?filename=NPMR_FOX_2017-07-04_E.MP4$3622$3652","Gifted")</f>
        <v>Gifted</v>
      </c>
      <c r="E694" s="3" t="s">
        <v>38</v>
      </c>
      <c r="F694" s="3" t="s">
        <v>634</v>
      </c>
      <c r="G694" s="3" t="s">
        <v>5059</v>
      </c>
    </row>
    <row r="695" spans="1:7">
      <c r="A695" s="6">
        <v>42920</v>
      </c>
      <c r="B695" s="3" t="s">
        <v>4621</v>
      </c>
      <c r="C695" s="3" t="s">
        <v>18</v>
      </c>
      <c r="D695" s="8" t="str">
        <f>HYPERLINK("http://npthd.inbcu.com/ViewContent.aspx?filename=NPMR_FOX_2017-07-04_E.MP4$3652$3965","THE MICK: the wolf")</f>
        <v>THE MICK: the wolf</v>
      </c>
      <c r="E695" s="3" t="s">
        <v>3839</v>
      </c>
      <c r="F695" s="3" t="s">
        <v>5059</v>
      </c>
      <c r="G695" s="3" t="s">
        <v>5060</v>
      </c>
    </row>
    <row r="696" spans="1:7">
      <c r="A696" s="6">
        <v>42920</v>
      </c>
      <c r="B696" s="3" t="s">
        <v>4621</v>
      </c>
      <c r="C696" s="3" t="s">
        <v>21</v>
      </c>
      <c r="D696" s="8" t="str">
        <f>HYPERLINK("http://npthd.inbcu.com/ViewContent.aspx?filename=NPMR_FOX_2017-07-04_E.MP4$3965$4055","COMMERCIAL")</f>
        <v>COMMERCIAL</v>
      </c>
      <c r="E696" s="3" t="s">
        <v>46</v>
      </c>
      <c r="F696" s="3" t="s">
        <v>5060</v>
      </c>
      <c r="G696" s="3" t="s">
        <v>2347</v>
      </c>
    </row>
    <row r="697" spans="1:7">
      <c r="A697" s="6">
        <v>42920</v>
      </c>
      <c r="B697" s="3" t="s">
        <v>4621</v>
      </c>
      <c r="C697" s="3" t="s">
        <v>14</v>
      </c>
      <c r="D697" s="8" t="str">
        <f>HYPERLINK("http://npthd.inbcu.com/ViewContent.aspx?filename=NPMR_FOX_2017-07-04_E.MP4$4055$4075","Orville, The")</f>
        <v>Orville, The</v>
      </c>
      <c r="E697" s="3" t="s">
        <v>1805</v>
      </c>
      <c r="F697" s="3" t="s">
        <v>2347</v>
      </c>
      <c r="G697" s="3" t="s">
        <v>5061</v>
      </c>
    </row>
    <row r="698" spans="1:7">
      <c r="A698" s="6">
        <v>42920</v>
      </c>
      <c r="B698" s="3" t="s">
        <v>4621</v>
      </c>
      <c r="C698" s="3" t="s">
        <v>18</v>
      </c>
      <c r="D698" s="8" t="str">
        <f>HYPERLINK("http://npthd.inbcu.com/ViewContent.aspx?filename=NPMR_FOX_2017-07-04_E.MP4$4075$4450","THE MICK: the wolf")</f>
        <v>THE MICK: the wolf</v>
      </c>
      <c r="E698" s="3" t="s">
        <v>3802</v>
      </c>
      <c r="F698" s="3" t="s">
        <v>5061</v>
      </c>
      <c r="G698" s="3" t="s">
        <v>159</v>
      </c>
    </row>
    <row r="699" spans="1:7">
      <c r="A699" s="6">
        <v>42920</v>
      </c>
      <c r="B699" s="3" t="s">
        <v>4621</v>
      </c>
      <c r="C699" s="3" t="s">
        <v>21</v>
      </c>
      <c r="D699" s="8" t="str">
        <f>HYPERLINK("http://npthd.inbcu.com/ViewContent.aspx?filename=NPMR_FOX_2017-07-04_E.MP4$4450$4571","COMMERCIAL")</f>
        <v>COMMERCIAL</v>
      </c>
      <c r="E699" s="3" t="s">
        <v>175</v>
      </c>
      <c r="F699" s="3" t="s">
        <v>159</v>
      </c>
      <c r="G699" s="3" t="s">
        <v>3303</v>
      </c>
    </row>
    <row r="700" spans="1:7">
      <c r="A700" s="6">
        <v>42920</v>
      </c>
      <c r="B700" s="3" t="s">
        <v>4621</v>
      </c>
      <c r="C700" s="3" t="s">
        <v>14</v>
      </c>
      <c r="D700" s="8" t="str">
        <f>HYPERLINK("http://npthd.inbcu.com/ViewContent.aspx?filename=NPMR_FOX_2017-07-04_E.MP4$4571$4586","Earth Live (Nat Geo)")</f>
        <v>Earth Live (Nat Geo)</v>
      </c>
      <c r="E700" s="3" t="s">
        <v>30</v>
      </c>
      <c r="F700" s="3" t="s">
        <v>3303</v>
      </c>
      <c r="G700" s="3" t="s">
        <v>5062</v>
      </c>
    </row>
    <row r="701" spans="1:7">
      <c r="A701" s="6">
        <v>42920</v>
      </c>
      <c r="B701" s="3" t="s">
        <v>4621</v>
      </c>
      <c r="C701" s="3" t="s">
        <v>32</v>
      </c>
      <c r="D701" s="8" t="str">
        <f>HYPERLINK("http://npthd.inbcu.com/ViewContent.aspx?filename=NPMR_FOX_2017-07-04_E.MP4$4586$4697","LOCAL")</f>
        <v>LOCAL</v>
      </c>
      <c r="E701" s="3" t="s">
        <v>2656</v>
      </c>
      <c r="F701" s="3" t="s">
        <v>5062</v>
      </c>
      <c r="G701" s="3" t="s">
        <v>4062</v>
      </c>
    </row>
    <row r="702" spans="1:7">
      <c r="A702" s="6">
        <v>42920</v>
      </c>
      <c r="B702" s="3" t="s">
        <v>4621</v>
      </c>
      <c r="C702" s="3" t="s">
        <v>18</v>
      </c>
      <c r="D702" s="8" t="str">
        <f>HYPERLINK("http://npthd.inbcu.com/ViewContent.aspx?filename=NPMR_FOX_2017-07-04_E.MP4$4697$5061","THE MICK: the wolf")</f>
        <v>THE MICK: the wolf</v>
      </c>
      <c r="E702" s="3" t="s">
        <v>626</v>
      </c>
      <c r="F702" s="3" t="s">
        <v>4062</v>
      </c>
      <c r="G702" s="3" t="s">
        <v>5063</v>
      </c>
    </row>
    <row r="703" spans="1:7">
      <c r="A703" s="6">
        <v>42920</v>
      </c>
      <c r="B703" s="3" t="s">
        <v>4621</v>
      </c>
      <c r="C703" s="3" t="s">
        <v>21</v>
      </c>
      <c r="D703" s="8" t="str">
        <f>HYPERLINK("http://npthd.inbcu.com/ViewContent.aspx?filename=NPMR_FOX_2017-07-04_E.MP4$5061$5166","COMMERCIAL")</f>
        <v>COMMERCIAL</v>
      </c>
      <c r="E703" s="3" t="s">
        <v>199</v>
      </c>
      <c r="F703" s="3" t="s">
        <v>5063</v>
      </c>
      <c r="G703" s="3" t="s">
        <v>4820</v>
      </c>
    </row>
    <row r="704" spans="1:7">
      <c r="A704" s="6">
        <v>42920</v>
      </c>
      <c r="B704" s="3" t="s">
        <v>4621</v>
      </c>
      <c r="C704" s="3" t="s">
        <v>14</v>
      </c>
      <c r="D704" s="8" t="str">
        <f>HYPERLINK("http://npthd.inbcu.com/ViewContent.aspx?filename=NPMR_FOX_2017-07-04_E.MP4$5166$5181","Snowfall (FX)")</f>
        <v>Snowfall (FX)</v>
      </c>
      <c r="E704" s="3" t="s">
        <v>30</v>
      </c>
      <c r="F704" s="3" t="s">
        <v>4820</v>
      </c>
      <c r="G704" s="3" t="s">
        <v>5064</v>
      </c>
    </row>
    <row r="705" spans="1:7">
      <c r="A705" s="6">
        <v>42920</v>
      </c>
      <c r="B705" s="3" t="s">
        <v>4621</v>
      </c>
      <c r="C705" s="3" t="s">
        <v>32</v>
      </c>
      <c r="D705" s="8" t="str">
        <f>HYPERLINK("http://npthd.inbcu.com/ViewContent.aspx?filename=NPMR_FOX_2017-07-04_E.MP4$5181$5187","LOCAL")</f>
        <v>LOCAL</v>
      </c>
      <c r="E705" s="3" t="s">
        <v>15</v>
      </c>
      <c r="F705" s="3" t="s">
        <v>5064</v>
      </c>
      <c r="G705" s="3" t="s">
        <v>5065</v>
      </c>
    </row>
    <row r="706" spans="1:7">
      <c r="A706" s="6">
        <v>42920</v>
      </c>
      <c r="B706" s="3" t="s">
        <v>4621</v>
      </c>
      <c r="C706" s="3" t="s">
        <v>14</v>
      </c>
      <c r="D706" s="8" t="str">
        <f>HYPERLINK("http://npthd.inbcu.com/ViewContent.aspx?filename=NPMR_FOX_2017-07-04_E.MP4$5187$5208","Ghosted")</f>
        <v>Ghosted</v>
      </c>
      <c r="E706" s="3" t="s">
        <v>2067</v>
      </c>
      <c r="F706" s="3" t="s">
        <v>5065</v>
      </c>
      <c r="G706" s="3" t="s">
        <v>5066</v>
      </c>
    </row>
    <row r="707" spans="1:7">
      <c r="A707" s="6">
        <v>42920</v>
      </c>
      <c r="B707" s="3" t="s">
        <v>4621</v>
      </c>
      <c r="C707" s="3" t="s">
        <v>18</v>
      </c>
      <c r="D707" s="8" t="str">
        <f>HYPERLINK("http://npthd.inbcu.com/ViewContent.aspx?filename=NPMR_FOX_2017-07-04_E.MP4$5208$5455","THE MICK: the wolf")</f>
        <v>THE MICK: the wolf</v>
      </c>
      <c r="E707" s="3" t="s">
        <v>3376</v>
      </c>
      <c r="F707" s="3" t="s">
        <v>5066</v>
      </c>
      <c r="G707" s="3" t="s">
        <v>5067</v>
      </c>
    </row>
    <row r="708" spans="1:7">
      <c r="A708" s="6">
        <v>42920</v>
      </c>
      <c r="B708" s="3" t="s">
        <v>4621</v>
      </c>
      <c r="C708" s="3" t="s">
        <v>18</v>
      </c>
      <c r="D708" s="8" t="str">
        <f>HYPERLINK("http://npthd.inbcu.com/ViewContent.aspx?filename=NPMR_FOX_2017-07-04_E.MP4$5455$5865","BROOKLYN NINE-NINE: monster in the closet")</f>
        <v>BROOKLYN NINE-NINE: monster in the closet</v>
      </c>
      <c r="E708" s="3" t="s">
        <v>1049</v>
      </c>
      <c r="F708" s="3" t="s">
        <v>5067</v>
      </c>
      <c r="G708" s="3" t="s">
        <v>5068</v>
      </c>
    </row>
    <row r="709" spans="1:7">
      <c r="A709" s="6">
        <v>42920</v>
      </c>
      <c r="B709" s="3" t="s">
        <v>4621</v>
      </c>
      <c r="C709" s="3" t="s">
        <v>21</v>
      </c>
      <c r="D709" s="8" t="str">
        <f>HYPERLINK("http://npthd.inbcu.com/ViewContent.aspx?filename=NPMR_FOX_2017-07-04_E.MP4$5865$5975","COMMERCIAL")</f>
        <v>COMMERCIAL</v>
      </c>
      <c r="E709" s="3" t="s">
        <v>558</v>
      </c>
      <c r="F709" s="3" t="s">
        <v>5068</v>
      </c>
      <c r="G709" s="3" t="s">
        <v>2027</v>
      </c>
    </row>
    <row r="710" spans="1:7">
      <c r="A710" s="6">
        <v>42920</v>
      </c>
      <c r="B710" s="3" t="s">
        <v>4621</v>
      </c>
      <c r="C710" s="3" t="s">
        <v>14</v>
      </c>
      <c r="D710" s="8" t="str">
        <f>HYPERLINK("http://npthd.inbcu.com/ViewContent.aspx?filename=NPMR_FOX_2017-07-04_E.MP4$5975$5995","Orville, The")</f>
        <v>Orville, The</v>
      </c>
      <c r="E710" s="3" t="s">
        <v>1805</v>
      </c>
      <c r="F710" s="3" t="s">
        <v>2027</v>
      </c>
      <c r="G710" s="3" t="s">
        <v>5069</v>
      </c>
    </row>
    <row r="711" spans="1:7">
      <c r="A711" s="6">
        <v>42920</v>
      </c>
      <c r="B711" s="3" t="s">
        <v>4621</v>
      </c>
      <c r="C711" s="3" t="s">
        <v>18</v>
      </c>
      <c r="D711" s="8" t="str">
        <f>HYPERLINK("http://npthd.inbcu.com/ViewContent.aspx?filename=NPMR_FOX_2017-07-04_E.MP4$5995$6348","BROOKLYN NINE-NINE: monster in the closet")</f>
        <v>BROOKLYN NINE-NINE: monster in the closet</v>
      </c>
      <c r="E711" s="3" t="s">
        <v>1186</v>
      </c>
      <c r="F711" s="3" t="s">
        <v>5069</v>
      </c>
      <c r="G711" s="3" t="s">
        <v>5070</v>
      </c>
    </row>
    <row r="712" spans="1:7">
      <c r="A712" s="6">
        <v>42920</v>
      </c>
      <c r="B712" s="3" t="s">
        <v>4621</v>
      </c>
      <c r="C712" s="3" t="s">
        <v>21</v>
      </c>
      <c r="D712" s="8" t="str">
        <f>HYPERLINK("http://npthd.inbcu.com/ViewContent.aspx?filename=NPMR_FOX_2017-07-04_E.MP4$6348$6438","COMMERCIAL")</f>
        <v>COMMERCIAL</v>
      </c>
      <c r="E712" s="3" t="s">
        <v>46</v>
      </c>
      <c r="F712" s="3" t="s">
        <v>5070</v>
      </c>
      <c r="G712" s="3" t="s">
        <v>5071</v>
      </c>
    </row>
    <row r="713" spans="1:7">
      <c r="A713" s="6">
        <v>42920</v>
      </c>
      <c r="B713" s="3" t="s">
        <v>4621</v>
      </c>
      <c r="C713" s="3" t="s">
        <v>14</v>
      </c>
      <c r="D713" s="8" t="str">
        <f>HYPERLINK("http://npthd.inbcu.com/ViewContent.aspx?filename=NPMR_FOX_2017-07-04_E.MP4$6438$6453","MLB All Star Game")</f>
        <v>MLB All Star Game</v>
      </c>
      <c r="E713" s="3" t="s">
        <v>30</v>
      </c>
      <c r="F713" s="3" t="s">
        <v>5071</v>
      </c>
      <c r="G713" s="3" t="s">
        <v>5072</v>
      </c>
    </row>
    <row r="714" spans="1:7">
      <c r="A714" s="6">
        <v>42920</v>
      </c>
      <c r="B714" s="3" t="s">
        <v>4621</v>
      </c>
      <c r="C714" s="3" t="s">
        <v>32</v>
      </c>
      <c r="D714" s="8" t="str">
        <f>HYPERLINK("http://npthd.inbcu.com/ViewContent.aspx?filename=NPMR_FOX_2017-07-04_E.MP4$6453$6574","LOCAL")</f>
        <v>LOCAL</v>
      </c>
      <c r="E714" s="3" t="s">
        <v>175</v>
      </c>
      <c r="F714" s="3" t="s">
        <v>5072</v>
      </c>
      <c r="G714" s="3" t="s">
        <v>1650</v>
      </c>
    </row>
    <row r="715" spans="1:7">
      <c r="A715" s="6">
        <v>42920</v>
      </c>
      <c r="B715" s="3" t="s">
        <v>4621</v>
      </c>
      <c r="C715" s="3" t="s">
        <v>14</v>
      </c>
      <c r="D715" s="8" t="str">
        <f>HYPERLINK("http://npthd.inbcu.com/ViewContent.aspx?filename=NPMR_FOX_2017-07-04_E.MP4$6574$6595","Ghosted")</f>
        <v>Ghosted</v>
      </c>
      <c r="E715" s="3" t="s">
        <v>2067</v>
      </c>
      <c r="F715" s="3" t="s">
        <v>1650</v>
      </c>
      <c r="G715" s="3" t="s">
        <v>4027</v>
      </c>
    </row>
    <row r="716" spans="1:7">
      <c r="A716" s="6">
        <v>42920</v>
      </c>
      <c r="B716" s="3" t="s">
        <v>4621</v>
      </c>
      <c r="C716" s="3" t="s">
        <v>18</v>
      </c>
      <c r="D716" s="8" t="str">
        <f>HYPERLINK("http://npthd.inbcu.com/ViewContent.aspx?filename=NPMR_FOX_2017-07-04_E.MP4$6595$6876","BROOKLYN NINE-NINE: monster in the closet")</f>
        <v>BROOKLYN NINE-NINE: monster in the closet</v>
      </c>
      <c r="E716" s="3" t="s">
        <v>3478</v>
      </c>
      <c r="F716" s="3" t="s">
        <v>4027</v>
      </c>
      <c r="G716" s="3" t="s">
        <v>5073</v>
      </c>
    </row>
    <row r="717" spans="1:7">
      <c r="A717" s="6">
        <v>42920</v>
      </c>
      <c r="B717" s="3" t="s">
        <v>4621</v>
      </c>
      <c r="C717" s="3" t="s">
        <v>21</v>
      </c>
      <c r="D717" s="8" t="str">
        <f>HYPERLINK("http://npthd.inbcu.com/ViewContent.aspx?filename=NPMR_FOX_2017-07-04_E.MP4$6876$6996","COMMERCIAL")</f>
        <v>COMMERCIAL</v>
      </c>
      <c r="E717" s="3" t="s">
        <v>43</v>
      </c>
      <c r="F717" s="3" t="s">
        <v>5073</v>
      </c>
      <c r="G717" s="3" t="s">
        <v>5074</v>
      </c>
    </row>
    <row r="718" spans="1:7">
      <c r="A718" s="6">
        <v>42920</v>
      </c>
      <c r="B718" s="3" t="s">
        <v>4621</v>
      </c>
      <c r="C718" s="3" t="s">
        <v>14</v>
      </c>
      <c r="D718" s="8" t="str">
        <f>HYPERLINK("http://npthd.inbcu.com/ViewContent.aspx?filename=NPMR_FOX_2017-07-04_E.MP4$6996$7011","Earth Live (Nat Geo)")</f>
        <v>Earth Live (Nat Geo)</v>
      </c>
      <c r="E718" s="3" t="s">
        <v>30</v>
      </c>
      <c r="F718" s="3" t="s">
        <v>5074</v>
      </c>
      <c r="G718" s="3" t="s">
        <v>5075</v>
      </c>
    </row>
    <row r="719" spans="1:7">
      <c r="A719" s="6">
        <v>42920</v>
      </c>
      <c r="B719" s="3" t="s">
        <v>4621</v>
      </c>
      <c r="C719" s="3" t="s">
        <v>32</v>
      </c>
      <c r="D719" s="8" t="str">
        <f>HYPERLINK("http://npthd.inbcu.com/ViewContent.aspx?filename=NPMR_FOX_2017-07-04_E.MP4$7011$7031","LOCAL")</f>
        <v>LOCAL</v>
      </c>
      <c r="E719" s="3" t="s">
        <v>1805</v>
      </c>
      <c r="F719" s="3" t="s">
        <v>5075</v>
      </c>
      <c r="G719" s="3" t="s">
        <v>2786</v>
      </c>
    </row>
    <row r="720" spans="1:7">
      <c r="A720" s="6">
        <v>42920</v>
      </c>
      <c r="B720" s="3" t="s">
        <v>4621</v>
      </c>
      <c r="C720" s="3" t="s">
        <v>18</v>
      </c>
      <c r="D720" s="8" t="str">
        <f>HYPERLINK("http://npthd.inbcu.com/ViewContent.aspx?filename=NPMR_FOX_2017-07-04_E.MP4$7031$7257","BROOKLYN NINE-NINE: monster in the closet")</f>
        <v>BROOKLYN NINE-NINE: monster in the closet</v>
      </c>
      <c r="E720" s="3" t="s">
        <v>3081</v>
      </c>
      <c r="F720" s="3" t="s">
        <v>2786</v>
      </c>
      <c r="G720" s="3" t="s">
        <v>3393</v>
      </c>
    </row>
    <row r="721" spans="1:7">
      <c r="A721" s="6">
        <v>42920</v>
      </c>
      <c r="B721" s="3" t="s">
        <v>4621</v>
      </c>
      <c r="C721" s="3" t="s">
        <v>32</v>
      </c>
      <c r="D721" s="8" t="str">
        <f>HYPERLINK("http://npthd.inbcu.com/ViewContent.aspx?filename=NPMR_FOX_2017-07-04_E.MP4$7257$7268","LOCAL")</f>
        <v>LOCAL</v>
      </c>
      <c r="E721" s="3" t="s">
        <v>1940</v>
      </c>
      <c r="F721" s="3" t="s">
        <v>3393</v>
      </c>
      <c r="G721" s="3" t="s">
        <v>394</v>
      </c>
    </row>
    <row r="722" spans="1:7">
      <c r="A722" s="6">
        <v>42922</v>
      </c>
      <c r="B722" s="3" t="s">
        <v>4621</v>
      </c>
      <c r="C722" s="3" t="s">
        <v>18</v>
      </c>
      <c r="D722" s="8" t="str">
        <f>HYPERLINK("http://npthd.inbcu.com/ViewContent.aspx?filename=NPMR_FOX_2017-07-06_E.MP4$66$928","BEAT SHAZAM: 102")</f>
        <v>BEAT SHAZAM: 102</v>
      </c>
      <c r="E722" s="3" t="s">
        <v>4804</v>
      </c>
      <c r="F722" s="3" t="s">
        <v>16</v>
      </c>
      <c r="G722" s="3" t="s">
        <v>3408</v>
      </c>
    </row>
    <row r="723" spans="1:7">
      <c r="A723" s="6">
        <v>42922</v>
      </c>
      <c r="B723" s="3" t="s">
        <v>4621</v>
      </c>
      <c r="C723" s="3" t="s">
        <v>21</v>
      </c>
      <c r="D723" s="8" t="str">
        <f>HYPERLINK("http://npthd.inbcu.com/ViewContent.aspx?filename=NPMR_FOX_2017-07-06_E.MP4$928$1049","COMMERCIAL")</f>
        <v>COMMERCIAL</v>
      </c>
      <c r="E723" s="3" t="s">
        <v>175</v>
      </c>
      <c r="F723" s="3" t="s">
        <v>3408</v>
      </c>
      <c r="G723" s="3" t="s">
        <v>4805</v>
      </c>
    </row>
    <row r="724" spans="1:7">
      <c r="A724" s="6">
        <v>42922</v>
      </c>
      <c r="B724" s="3" t="s">
        <v>4621</v>
      </c>
      <c r="C724" s="3" t="s">
        <v>14</v>
      </c>
      <c r="D724" s="8" t="str">
        <f>HYPERLINK("http://npthd.inbcu.com/ViewContent.aspx?filename=NPMR_FOX_2017-07-06_E.MP4$1049$1079","Gifted")</f>
        <v>Gifted</v>
      </c>
      <c r="E724" s="3" t="s">
        <v>38</v>
      </c>
      <c r="F724" s="3" t="s">
        <v>4805</v>
      </c>
      <c r="G724" s="3" t="s">
        <v>2749</v>
      </c>
    </row>
    <row r="725" spans="1:7">
      <c r="A725" s="6">
        <v>42922</v>
      </c>
      <c r="B725" s="3" t="s">
        <v>4621</v>
      </c>
      <c r="C725" s="3" t="s">
        <v>18</v>
      </c>
      <c r="D725" s="8" t="str">
        <f>HYPERLINK("http://npthd.inbcu.com/ViewContent.aspx?filename=NPMR_FOX_2017-07-06_E.MP4$1079$1460","BEAT SHAZAM: 102")</f>
        <v>BEAT SHAZAM: 102</v>
      </c>
      <c r="E725" s="3" t="s">
        <v>4735</v>
      </c>
      <c r="F725" s="3" t="s">
        <v>2749</v>
      </c>
      <c r="G725" s="3" t="s">
        <v>970</v>
      </c>
    </row>
    <row r="726" spans="1:7">
      <c r="A726" s="6">
        <v>42922</v>
      </c>
      <c r="B726" s="3" t="s">
        <v>4621</v>
      </c>
      <c r="C726" s="3" t="s">
        <v>21</v>
      </c>
      <c r="D726" s="8" t="str">
        <f>HYPERLINK("http://npthd.inbcu.com/ViewContent.aspx?filename=NPMR_FOX_2017-07-06_E.MP4$1460$1551","COMMERCIAL")</f>
        <v>COMMERCIAL</v>
      </c>
      <c r="E726" s="3" t="s">
        <v>77</v>
      </c>
      <c r="F726" s="3" t="s">
        <v>970</v>
      </c>
      <c r="G726" s="3" t="s">
        <v>4392</v>
      </c>
    </row>
    <row r="727" spans="1:7">
      <c r="A727" s="6">
        <v>42922</v>
      </c>
      <c r="B727" s="3" t="s">
        <v>4621</v>
      </c>
      <c r="C727" s="3" t="s">
        <v>14</v>
      </c>
      <c r="D727" s="8" t="str">
        <f>HYPERLINK("http://npthd.inbcu.com/ViewContent.aspx?filename=NPMR_FOX_2017-07-06_E.MP4$1551$1566","Strain (FX)")</f>
        <v>Strain (FX)</v>
      </c>
      <c r="E727" s="3" t="s">
        <v>30</v>
      </c>
      <c r="F727" s="3" t="s">
        <v>4392</v>
      </c>
      <c r="G727" s="3" t="s">
        <v>5076</v>
      </c>
    </row>
    <row r="728" spans="1:7">
      <c r="A728" s="6">
        <v>42922</v>
      </c>
      <c r="B728" s="3" t="s">
        <v>4621</v>
      </c>
      <c r="C728" s="3" t="s">
        <v>32</v>
      </c>
      <c r="D728" s="8" t="str">
        <f>HYPERLINK("http://npthd.inbcu.com/ViewContent.aspx?filename=NPMR_FOX_2017-07-06_E.MP4$1566$1686","LOCAL")</f>
        <v>LOCAL</v>
      </c>
      <c r="E728" s="3" t="s">
        <v>43</v>
      </c>
      <c r="F728" s="3" t="s">
        <v>5076</v>
      </c>
      <c r="G728" s="3" t="s">
        <v>973</v>
      </c>
    </row>
    <row r="729" spans="1:7">
      <c r="A729" s="6">
        <v>42922</v>
      </c>
      <c r="B729" s="3" t="s">
        <v>4621</v>
      </c>
      <c r="C729" s="3" t="s">
        <v>14</v>
      </c>
      <c r="D729" s="8" t="str">
        <f>HYPERLINK("http://npthd.inbcu.com/ViewContent.aspx?filename=NPMR_FOX_2017-07-06_E.MP4$1686$1708","Master Chef / F Word")</f>
        <v>Master Chef / F Word</v>
      </c>
      <c r="E729" s="3" t="s">
        <v>2124</v>
      </c>
      <c r="F729" s="3" t="s">
        <v>973</v>
      </c>
      <c r="G729" s="3" t="s">
        <v>5077</v>
      </c>
    </row>
    <row r="730" spans="1:7">
      <c r="A730" s="6">
        <v>42922</v>
      </c>
      <c r="B730" s="3" t="s">
        <v>4621</v>
      </c>
      <c r="C730" s="3" t="s">
        <v>18</v>
      </c>
      <c r="D730" s="8" t="str">
        <f>HYPERLINK("http://npthd.inbcu.com/ViewContent.aspx?filename=NPMR_FOX_2017-07-06_E.MP4$1708$1989","BEAT SHAZAM: 102")</f>
        <v>BEAT SHAZAM: 102</v>
      </c>
      <c r="E730" s="3" t="s">
        <v>3478</v>
      </c>
      <c r="F730" s="3" t="s">
        <v>5077</v>
      </c>
      <c r="G730" s="3" t="s">
        <v>4511</v>
      </c>
    </row>
    <row r="731" spans="1:7">
      <c r="A731" s="6">
        <v>42922</v>
      </c>
      <c r="B731" s="3" t="s">
        <v>4621</v>
      </c>
      <c r="C731" s="3" t="s">
        <v>21</v>
      </c>
      <c r="D731" s="8" t="str">
        <f>HYPERLINK("http://npthd.inbcu.com/ViewContent.aspx?filename=NPMR_FOX_2017-07-06_E.MP4$1989$2185","COMMERCIAL")</f>
        <v>COMMERCIAL</v>
      </c>
      <c r="E731" s="3" t="s">
        <v>812</v>
      </c>
      <c r="F731" s="3" t="s">
        <v>4511</v>
      </c>
      <c r="G731" s="3" t="s">
        <v>786</v>
      </c>
    </row>
    <row r="732" spans="1:7">
      <c r="A732" s="6">
        <v>42922</v>
      </c>
      <c r="B732" s="3" t="s">
        <v>4621</v>
      </c>
      <c r="C732" s="3" t="s">
        <v>14</v>
      </c>
      <c r="D732" s="8" t="str">
        <f>HYPERLINK("http://npthd.inbcu.com/ViewContent.aspx?filename=NPMR_FOX_2017-07-06_E.MP4$2185$2205","So You Think You Can Dance?")</f>
        <v>So You Think You Can Dance?</v>
      </c>
      <c r="E732" s="3" t="s">
        <v>1805</v>
      </c>
      <c r="F732" s="3" t="s">
        <v>786</v>
      </c>
      <c r="G732" s="3" t="s">
        <v>516</v>
      </c>
    </row>
    <row r="733" spans="1:7">
      <c r="A733" s="6">
        <v>42922</v>
      </c>
      <c r="B733" s="3" t="s">
        <v>4621</v>
      </c>
      <c r="C733" s="3" t="s">
        <v>18</v>
      </c>
      <c r="D733" s="8" t="str">
        <f>HYPERLINK("http://npthd.inbcu.com/ViewContent.aspx?filename=NPMR_FOX_2017-07-06_E.MP4$2205$2572","BEAT SHAZAM: 102")</f>
        <v>BEAT SHAZAM: 102</v>
      </c>
      <c r="E733" s="3" t="s">
        <v>3590</v>
      </c>
      <c r="F733" s="3" t="s">
        <v>516</v>
      </c>
      <c r="G733" s="3" t="s">
        <v>5078</v>
      </c>
    </row>
    <row r="734" spans="1:7">
      <c r="A734" s="6">
        <v>42922</v>
      </c>
      <c r="B734" s="3" t="s">
        <v>4621</v>
      </c>
      <c r="C734" s="3" t="s">
        <v>21</v>
      </c>
      <c r="D734" s="8" t="str">
        <f>HYPERLINK("http://npthd.inbcu.com/ViewContent.aspx?filename=NPMR_FOX_2017-07-06_E.MP4$2572$2678","COMMERCIAL")</f>
        <v>COMMERCIAL</v>
      </c>
      <c r="E734" s="3" t="s">
        <v>293</v>
      </c>
      <c r="F734" s="3" t="s">
        <v>5078</v>
      </c>
      <c r="G734" s="3" t="s">
        <v>5079</v>
      </c>
    </row>
    <row r="735" spans="1:7">
      <c r="A735" s="6">
        <v>42922</v>
      </c>
      <c r="B735" s="3" t="s">
        <v>4621</v>
      </c>
      <c r="C735" s="3" t="s">
        <v>14</v>
      </c>
      <c r="D735" s="8" t="str">
        <f>HYPERLINK("http://npthd.inbcu.com/ViewContent.aspx?filename=NPMR_FOX_2017-07-06_E.MP4$2678$2697","Earth Live (Nat Geo)")</f>
        <v>Earth Live (Nat Geo)</v>
      </c>
      <c r="E735" s="3" t="s">
        <v>670</v>
      </c>
      <c r="F735" s="3" t="s">
        <v>5079</v>
      </c>
      <c r="G735" s="3" t="s">
        <v>4329</v>
      </c>
    </row>
    <row r="736" spans="1:7">
      <c r="A736" s="6">
        <v>42922</v>
      </c>
      <c r="B736" s="3" t="s">
        <v>4621</v>
      </c>
      <c r="C736" s="3" t="s">
        <v>32</v>
      </c>
      <c r="D736" s="8" t="str">
        <f>HYPERLINK("http://npthd.inbcu.com/ViewContent.aspx?filename=NPMR_FOX_2017-07-06_E.MP4$2697$2809","LOCAL")</f>
        <v>LOCAL</v>
      </c>
      <c r="E736" s="3" t="s">
        <v>4791</v>
      </c>
      <c r="F736" s="3" t="s">
        <v>4329</v>
      </c>
      <c r="G736" s="3" t="s">
        <v>5080</v>
      </c>
    </row>
    <row r="737" spans="1:7">
      <c r="A737" s="6">
        <v>42922</v>
      </c>
      <c r="B737" s="3" t="s">
        <v>4621</v>
      </c>
      <c r="C737" s="3" t="s">
        <v>18</v>
      </c>
      <c r="D737" s="8" t="str">
        <f>HYPERLINK("http://npthd.inbcu.com/ViewContent.aspx?filename=NPMR_FOX_2017-07-06_E.MP4$2809$3295","BEAT SHAZAM: 102")</f>
        <v>BEAT SHAZAM: 102</v>
      </c>
      <c r="E737" s="3" t="s">
        <v>588</v>
      </c>
      <c r="F737" s="3" t="s">
        <v>5080</v>
      </c>
      <c r="G737" s="3" t="s">
        <v>5081</v>
      </c>
    </row>
    <row r="738" spans="1:7">
      <c r="A738" s="6">
        <v>42922</v>
      </c>
      <c r="B738" s="3" t="s">
        <v>4621</v>
      </c>
      <c r="C738" s="3" t="s">
        <v>21</v>
      </c>
      <c r="D738" s="8" t="str">
        <f>HYPERLINK("http://npthd.inbcu.com/ViewContent.aspx?filename=NPMR_FOX_2017-07-06_E.MP4$3295$3416","COMMERCIAL")</f>
        <v>COMMERCIAL</v>
      </c>
      <c r="E738" s="3" t="s">
        <v>175</v>
      </c>
      <c r="F738" s="3" t="s">
        <v>5081</v>
      </c>
      <c r="G738" s="3" t="s">
        <v>5082</v>
      </c>
    </row>
    <row r="739" spans="1:7">
      <c r="A739" s="6">
        <v>42922</v>
      </c>
      <c r="B739" s="3" t="s">
        <v>4621</v>
      </c>
      <c r="C739" s="3" t="s">
        <v>14</v>
      </c>
      <c r="D739" s="8" t="str">
        <f>HYPERLINK("http://npthd.inbcu.com/ViewContent.aspx?filename=NPMR_FOX_2017-07-06_E.MP4$3416$3436","Super Human")</f>
        <v>Super Human</v>
      </c>
      <c r="E739" s="3" t="s">
        <v>1805</v>
      </c>
      <c r="F739" s="3" t="s">
        <v>5082</v>
      </c>
      <c r="G739" s="3" t="s">
        <v>3724</v>
      </c>
    </row>
    <row r="740" spans="1:7">
      <c r="A740" s="6">
        <v>42922</v>
      </c>
      <c r="B740" s="3" t="s">
        <v>4621</v>
      </c>
      <c r="C740" s="3" t="s">
        <v>32</v>
      </c>
      <c r="D740" s="8" t="str">
        <f>HYPERLINK("http://npthd.inbcu.com/ViewContent.aspx?filename=NPMR_FOX_2017-07-06_E.MP4$3436$3447","LOCAL")</f>
        <v>LOCAL</v>
      </c>
      <c r="E740" s="3" t="s">
        <v>1940</v>
      </c>
      <c r="F740" s="3" t="s">
        <v>3724</v>
      </c>
      <c r="G740" s="3" t="s">
        <v>5083</v>
      </c>
    </row>
    <row r="741" spans="1:7">
      <c r="A741" s="6">
        <v>42922</v>
      </c>
      <c r="B741" s="3" t="s">
        <v>4621</v>
      </c>
      <c r="C741" s="3" t="s">
        <v>14</v>
      </c>
      <c r="D741" s="8" t="str">
        <f>HYPERLINK("http://npthd.inbcu.com/ViewContent.aspx?filename=NPMR_FOX_2017-07-06_E.MP4$3447$3468","Beat Shazam / Love Connection")</f>
        <v>Beat Shazam / Love Connection</v>
      </c>
      <c r="E741" s="3" t="s">
        <v>2067</v>
      </c>
      <c r="F741" s="3" t="s">
        <v>5083</v>
      </c>
      <c r="G741" s="3" t="s">
        <v>5084</v>
      </c>
    </row>
    <row r="742" spans="1:7">
      <c r="A742" s="6">
        <v>42922</v>
      </c>
      <c r="B742" s="3" t="s">
        <v>4621</v>
      </c>
      <c r="C742" s="3" t="s">
        <v>18</v>
      </c>
      <c r="D742" s="8" t="str">
        <f>HYPERLINK("http://npthd.inbcu.com/ViewContent.aspx?filename=NPMR_FOX_2017-07-06_E.MP4$3468$3673","BEAT SHAZAM: 102")</f>
        <v>BEAT SHAZAM: 102</v>
      </c>
      <c r="E742" s="3" t="s">
        <v>4813</v>
      </c>
      <c r="F742" s="3" t="s">
        <v>5084</v>
      </c>
      <c r="G742" s="3" t="s">
        <v>5085</v>
      </c>
    </row>
    <row r="743" spans="1:7">
      <c r="A743" s="6">
        <v>42922</v>
      </c>
      <c r="B743" s="3" t="s">
        <v>4621</v>
      </c>
      <c r="C743" s="3" t="s">
        <v>18</v>
      </c>
      <c r="D743" s="8" t="str">
        <f>HYPERLINK("http://npthd.inbcu.com/ViewContent.aspx?filename=NPMR_FOX_2017-07-06_E.MP4$3673$4251","LOVE CONNECTION: put an earring on it")</f>
        <v>LOVE CONNECTION: put an earring on it</v>
      </c>
      <c r="E743" s="3" t="s">
        <v>2171</v>
      </c>
      <c r="F743" s="3" t="s">
        <v>5085</v>
      </c>
      <c r="G743" s="3" t="s">
        <v>5086</v>
      </c>
    </row>
    <row r="744" spans="1:7">
      <c r="A744" s="6">
        <v>42922</v>
      </c>
      <c r="B744" s="3" t="s">
        <v>4621</v>
      </c>
      <c r="C744" s="3" t="s">
        <v>21</v>
      </c>
      <c r="D744" s="8" t="str">
        <f>HYPERLINK("http://npthd.inbcu.com/ViewContent.aspx?filename=NPMR_FOX_2017-07-06_E.MP4$4251$4387","COMMERCIAL")</f>
        <v>COMMERCIAL</v>
      </c>
      <c r="E744" s="3" t="s">
        <v>668</v>
      </c>
      <c r="F744" s="3" t="s">
        <v>5086</v>
      </c>
      <c r="G744" s="3" t="s">
        <v>5087</v>
      </c>
    </row>
    <row r="745" spans="1:7">
      <c r="A745" s="6">
        <v>42922</v>
      </c>
      <c r="B745" s="3" t="s">
        <v>4621</v>
      </c>
      <c r="C745" s="3" t="s">
        <v>14</v>
      </c>
      <c r="D745" s="8" t="str">
        <f>HYPERLINK("http://npthd.inbcu.com/ViewContent.aspx?filename=NPMR_FOX_2017-07-06_E.MP4$4387$4417","Gifted")</f>
        <v>Gifted</v>
      </c>
      <c r="E745" s="3" t="s">
        <v>38</v>
      </c>
      <c r="F745" s="3" t="s">
        <v>5087</v>
      </c>
      <c r="G745" s="3" t="s">
        <v>5088</v>
      </c>
    </row>
    <row r="746" spans="1:7">
      <c r="A746" s="6">
        <v>42922</v>
      </c>
      <c r="B746" s="3" t="s">
        <v>4621</v>
      </c>
      <c r="C746" s="3" t="s">
        <v>18</v>
      </c>
      <c r="D746" s="8" t="str">
        <f>HYPERLINK("http://npthd.inbcu.com/ViewContent.aspx?filename=NPMR_FOX_2017-07-06_E.MP4$4417$4897","LOVE CONNECTION: put an earring on it")</f>
        <v>LOVE CONNECTION: put an earring on it</v>
      </c>
      <c r="E746" s="3" t="s">
        <v>484</v>
      </c>
      <c r="F746" s="3" t="s">
        <v>5088</v>
      </c>
      <c r="G746" s="3" t="s">
        <v>4105</v>
      </c>
    </row>
    <row r="747" spans="1:7">
      <c r="A747" s="6">
        <v>42922</v>
      </c>
      <c r="B747" s="3" t="s">
        <v>4621</v>
      </c>
      <c r="C747" s="3" t="s">
        <v>21</v>
      </c>
      <c r="D747" s="8" t="str">
        <f>HYPERLINK("http://npthd.inbcu.com/ViewContent.aspx?filename=NPMR_FOX_2017-07-06_E.MP4$4897$4988","COMMERCIAL")</f>
        <v>COMMERCIAL</v>
      </c>
      <c r="E747" s="3" t="s">
        <v>77</v>
      </c>
      <c r="F747" s="3" t="s">
        <v>4105</v>
      </c>
      <c r="G747" s="3" t="s">
        <v>63</v>
      </c>
    </row>
    <row r="748" spans="1:7">
      <c r="A748" s="6">
        <v>42922</v>
      </c>
      <c r="B748" s="3" t="s">
        <v>4621</v>
      </c>
      <c r="C748" s="3" t="s">
        <v>14</v>
      </c>
      <c r="D748" s="8" t="str">
        <f>HYPERLINK("http://npthd.inbcu.com/ViewContent.aspx?filename=NPMR_FOX_2017-07-06_E.MP4$4988$5003","Earth Live (Nat Geo)")</f>
        <v>Earth Live (Nat Geo)</v>
      </c>
      <c r="E748" s="3" t="s">
        <v>30</v>
      </c>
      <c r="F748" s="3" t="s">
        <v>63</v>
      </c>
      <c r="G748" s="3" t="s">
        <v>5089</v>
      </c>
    </row>
    <row r="749" spans="1:7">
      <c r="A749" s="6">
        <v>42922</v>
      </c>
      <c r="B749" s="3" t="s">
        <v>4621</v>
      </c>
      <c r="C749" s="3" t="s">
        <v>32</v>
      </c>
      <c r="D749" s="8" t="str">
        <f>HYPERLINK("http://npthd.inbcu.com/ViewContent.aspx?filename=NPMR_FOX_2017-07-06_E.MP4$5003$5144","LOCAL")</f>
        <v>LOCAL</v>
      </c>
      <c r="E749" s="3" t="s">
        <v>1753</v>
      </c>
      <c r="F749" s="3" t="s">
        <v>5089</v>
      </c>
      <c r="G749" s="3" t="s">
        <v>4766</v>
      </c>
    </row>
    <row r="750" spans="1:7">
      <c r="A750" s="6">
        <v>42922</v>
      </c>
      <c r="B750" s="3" t="s">
        <v>4621</v>
      </c>
      <c r="C750" s="3" t="s">
        <v>18</v>
      </c>
      <c r="D750" s="8" t="str">
        <f>HYPERLINK("http://npthd.inbcu.com/ViewContent.aspx?filename=NPMR_FOX_2017-07-06_E.MP4$5144$5401","LOVE CONNECTION: put an earring on it")</f>
        <v>LOVE CONNECTION: put an earring on it</v>
      </c>
      <c r="E750" s="3" t="s">
        <v>5090</v>
      </c>
      <c r="F750" s="3" t="s">
        <v>4766</v>
      </c>
      <c r="G750" s="3" t="s">
        <v>5091</v>
      </c>
    </row>
    <row r="751" spans="1:7">
      <c r="A751" s="6">
        <v>42922</v>
      </c>
      <c r="B751" s="3" t="s">
        <v>4621</v>
      </c>
      <c r="C751" s="3" t="s">
        <v>21</v>
      </c>
      <c r="D751" s="8" t="str">
        <f>HYPERLINK("http://npthd.inbcu.com/ViewContent.aspx?filename=NPMR_FOX_2017-07-06_E.MP4$5401$5567","COMMERCIAL")</f>
        <v>COMMERCIAL</v>
      </c>
      <c r="E751" s="3" t="s">
        <v>144</v>
      </c>
      <c r="F751" s="3" t="s">
        <v>5091</v>
      </c>
      <c r="G751" s="3" t="s">
        <v>5092</v>
      </c>
    </row>
    <row r="752" spans="1:7">
      <c r="A752" s="6">
        <v>42922</v>
      </c>
      <c r="B752" s="3" t="s">
        <v>4621</v>
      </c>
      <c r="C752" s="3" t="s">
        <v>14</v>
      </c>
      <c r="D752" s="8" t="str">
        <f>HYPERLINK("http://npthd.inbcu.com/ViewContent.aspx?filename=NPMR_FOX_2017-07-06_E.MP4$5567$5587","So You Think You Can Dance?")</f>
        <v>So You Think You Can Dance?</v>
      </c>
      <c r="E752" s="3" t="s">
        <v>1805</v>
      </c>
      <c r="F752" s="3" t="s">
        <v>5092</v>
      </c>
      <c r="G752" s="3" t="s">
        <v>5093</v>
      </c>
    </row>
    <row r="753" spans="1:7">
      <c r="A753" s="6">
        <v>42922</v>
      </c>
      <c r="B753" s="3" t="s">
        <v>4621</v>
      </c>
      <c r="C753" s="3" t="s">
        <v>18</v>
      </c>
      <c r="D753" s="8" t="str">
        <f>HYPERLINK("http://npthd.inbcu.com/ViewContent.aspx?filename=NPMR_FOX_2017-07-06_E.MP4$5587$6170","LOVE CONNECTION: put an earring on it")</f>
        <v>LOVE CONNECTION: put an earring on it</v>
      </c>
      <c r="E753" s="3" t="s">
        <v>3344</v>
      </c>
      <c r="F753" s="3" t="s">
        <v>5093</v>
      </c>
      <c r="G753" s="3" t="s">
        <v>660</v>
      </c>
    </row>
    <row r="754" spans="1:7">
      <c r="A754" s="6">
        <v>42922</v>
      </c>
      <c r="B754" s="3" t="s">
        <v>4621</v>
      </c>
      <c r="C754" s="3" t="s">
        <v>21</v>
      </c>
      <c r="D754" s="8" t="str">
        <f>HYPERLINK("http://npthd.inbcu.com/ViewContent.aspx?filename=NPMR_FOX_2017-07-06_E.MP4$6170$6276","COMMERCIAL")</f>
        <v>COMMERCIAL</v>
      </c>
      <c r="E754" s="3" t="s">
        <v>293</v>
      </c>
      <c r="F754" s="3" t="s">
        <v>660</v>
      </c>
      <c r="G754" s="3" t="s">
        <v>2979</v>
      </c>
    </row>
    <row r="755" spans="1:7">
      <c r="A755" s="6">
        <v>42922</v>
      </c>
      <c r="B755" s="3" t="s">
        <v>4621</v>
      </c>
      <c r="C755" s="3" t="s">
        <v>14</v>
      </c>
      <c r="D755" s="8" t="str">
        <f>HYPERLINK("http://npthd.inbcu.com/ViewContent.aspx?filename=NPMR_FOX_2017-07-06_E.MP4$6276$6296","Strain (FX)")</f>
        <v>Strain (FX)</v>
      </c>
      <c r="E755" s="3" t="s">
        <v>1805</v>
      </c>
      <c r="F755" s="3" t="s">
        <v>2979</v>
      </c>
      <c r="G755" s="3" t="s">
        <v>5094</v>
      </c>
    </row>
    <row r="756" spans="1:7">
      <c r="A756" s="6">
        <v>42922</v>
      </c>
      <c r="B756" s="3" t="s">
        <v>4621</v>
      </c>
      <c r="C756" s="3" t="s">
        <v>32</v>
      </c>
      <c r="D756" s="8" t="str">
        <f>HYPERLINK("http://npthd.inbcu.com/ViewContent.aspx?filename=NPMR_FOX_2017-07-06_E.MP4$6296$6387","LOCAL")</f>
        <v>LOCAL</v>
      </c>
      <c r="E756" s="3" t="s">
        <v>77</v>
      </c>
      <c r="F756" s="3" t="s">
        <v>5094</v>
      </c>
      <c r="G756" s="3" t="s">
        <v>1971</v>
      </c>
    </row>
    <row r="757" spans="1:7">
      <c r="A757" s="6">
        <v>42922</v>
      </c>
      <c r="B757" s="3" t="s">
        <v>4621</v>
      </c>
      <c r="C757" s="3" t="s">
        <v>14</v>
      </c>
      <c r="D757" s="8" t="str">
        <f>HYPERLINK("http://npthd.inbcu.com/ViewContent.aspx?filename=NPMR_FOX_2017-07-06_E.MP4$6387$6408","Master Chef / F Word")</f>
        <v>Master Chef / F Word</v>
      </c>
      <c r="E757" s="3" t="s">
        <v>2067</v>
      </c>
      <c r="F757" s="3" t="s">
        <v>1971</v>
      </c>
      <c r="G757" s="3" t="s">
        <v>5095</v>
      </c>
    </row>
    <row r="758" spans="1:7">
      <c r="A758" s="6">
        <v>42922</v>
      </c>
      <c r="B758" s="3" t="s">
        <v>4621</v>
      </c>
      <c r="C758" s="3" t="s">
        <v>18</v>
      </c>
      <c r="D758" s="8" t="str">
        <f>HYPERLINK("http://npthd.inbcu.com/ViewContent.aspx?filename=NPMR_FOX_2017-07-06_E.MP4$6408$6678","LOVE CONNECTION: put an earring on it")</f>
        <v>LOVE CONNECTION: put an earring on it</v>
      </c>
      <c r="E758" s="3" t="s">
        <v>35</v>
      </c>
      <c r="F758" s="3" t="s">
        <v>5095</v>
      </c>
      <c r="G758" s="3" t="s">
        <v>3944</v>
      </c>
    </row>
    <row r="759" spans="1:7">
      <c r="A759" s="6">
        <v>42922</v>
      </c>
      <c r="B759" s="3" t="s">
        <v>4621</v>
      </c>
      <c r="C759" s="3" t="s">
        <v>21</v>
      </c>
      <c r="D759" s="8" t="str">
        <f>HYPERLINK("http://npthd.inbcu.com/ViewContent.aspx?filename=NPMR_FOX_2017-07-06_E.MP4$6678$6783","COMMERCIAL")</f>
        <v>COMMERCIAL</v>
      </c>
      <c r="E759" s="3" t="s">
        <v>199</v>
      </c>
      <c r="F759" s="3" t="s">
        <v>3944</v>
      </c>
      <c r="G759" s="3" t="s">
        <v>4778</v>
      </c>
    </row>
    <row r="760" spans="1:7">
      <c r="A760" s="6">
        <v>42922</v>
      </c>
      <c r="B760" s="3" t="s">
        <v>4621</v>
      </c>
      <c r="C760" s="3" t="s">
        <v>14</v>
      </c>
      <c r="D760" s="8" t="str">
        <f>HYPERLINK("http://npthd.inbcu.com/ViewContent.aspx?filename=NPMR_FOX_2017-07-06_E.MP4$6783$6798","Earth Live (Nat Geo)")</f>
        <v>Earth Live (Nat Geo)</v>
      </c>
      <c r="E760" s="3" t="s">
        <v>30</v>
      </c>
      <c r="F760" s="3" t="s">
        <v>4778</v>
      </c>
      <c r="G760" s="3" t="s">
        <v>4779</v>
      </c>
    </row>
    <row r="761" spans="1:7">
      <c r="A761" s="6">
        <v>42922</v>
      </c>
      <c r="B761" s="3" t="s">
        <v>4621</v>
      </c>
      <c r="C761" s="3" t="s">
        <v>32</v>
      </c>
      <c r="D761" s="8" t="str">
        <f>HYPERLINK("http://npthd.inbcu.com/ViewContent.aspx?filename=NPMR_FOX_2017-07-06_E.MP4$6798$6818","LOCAL")</f>
        <v>LOCAL</v>
      </c>
      <c r="E761" s="3" t="s">
        <v>1805</v>
      </c>
      <c r="F761" s="3" t="s">
        <v>4779</v>
      </c>
      <c r="G761" s="3" t="s">
        <v>4780</v>
      </c>
    </row>
    <row r="762" spans="1:7">
      <c r="A762" s="6">
        <v>42922</v>
      </c>
      <c r="B762" s="3" t="s">
        <v>4621</v>
      </c>
      <c r="C762" s="3" t="s">
        <v>18</v>
      </c>
      <c r="D762" s="8" t="str">
        <f>HYPERLINK("http://npthd.inbcu.com/ViewContent.aspx?filename=NPMR_FOX_2017-07-06_E.MP4$6818$7255","LOVE CONNECTION: put an earring on it")</f>
        <v>LOVE CONNECTION: put an earring on it</v>
      </c>
      <c r="E762" s="3" t="s">
        <v>116</v>
      </c>
      <c r="F762" s="3" t="s">
        <v>4780</v>
      </c>
      <c r="G762" s="3" t="s">
        <v>3393</v>
      </c>
    </row>
    <row r="763" spans="1:7">
      <c r="A763" s="6">
        <v>42922</v>
      </c>
      <c r="B763" s="3" t="s">
        <v>4621</v>
      </c>
      <c r="C763" s="3" t="s">
        <v>32</v>
      </c>
      <c r="D763" s="8" t="str">
        <f>HYPERLINK("http://npthd.inbcu.com/ViewContent.aspx?filename=NPMR_FOX_2017-07-06_E.MP4$7255$7266","LOCAL")</f>
        <v>LOCAL</v>
      </c>
      <c r="E763" s="3" t="s">
        <v>1940</v>
      </c>
      <c r="F763" s="3" t="s">
        <v>3393</v>
      </c>
      <c r="G763" s="3" t="s">
        <v>394</v>
      </c>
    </row>
    <row r="764" spans="1:7">
      <c r="A764" s="6">
        <v>42923</v>
      </c>
      <c r="B764" s="3" t="s">
        <v>4621</v>
      </c>
      <c r="C764" s="3" t="s">
        <v>18</v>
      </c>
      <c r="D764" s="8" t="str">
        <f>HYPERLINK("http://npthd.inbcu.com/ViewContent.aspx?filename=NPMR_FOX_2017-07-07_E.MP4$65$740","MASTERCHEF: battle for an apron, part 1")</f>
        <v>MASTERCHEF: battle for an apron, part 1</v>
      </c>
      <c r="E764" s="3" t="s">
        <v>2730</v>
      </c>
      <c r="F764" s="3" t="s">
        <v>16</v>
      </c>
      <c r="G764" s="3" t="s">
        <v>4004</v>
      </c>
    </row>
    <row r="765" spans="1:7">
      <c r="A765" s="6">
        <v>42923</v>
      </c>
      <c r="B765" s="3" t="s">
        <v>4621</v>
      </c>
      <c r="C765" s="3" t="s">
        <v>21</v>
      </c>
      <c r="D765" s="8" t="str">
        <f>HYPERLINK("http://npthd.inbcu.com/ViewContent.aspx?filename=NPMR_FOX_2017-07-07_E.MP4$740$896","COMMERCIAL")</f>
        <v>COMMERCIAL</v>
      </c>
      <c r="E765" s="3" t="s">
        <v>3147</v>
      </c>
      <c r="F765" s="3" t="s">
        <v>4004</v>
      </c>
      <c r="G765" s="3" t="s">
        <v>5096</v>
      </c>
    </row>
    <row r="766" spans="1:7">
      <c r="A766" s="6">
        <v>42923</v>
      </c>
      <c r="B766" s="3" t="s">
        <v>4621</v>
      </c>
      <c r="C766" s="3" t="s">
        <v>14</v>
      </c>
      <c r="D766" s="8" t="str">
        <f>HYPERLINK("http://npthd.inbcu.com/ViewContent.aspx?filename=NPMR_FOX_2017-07-07_E.MP4$896$916","Beat Shazam / Love Connection")</f>
        <v>Beat Shazam / Love Connection</v>
      </c>
      <c r="E766" s="3" t="s">
        <v>1805</v>
      </c>
      <c r="F766" s="3" t="s">
        <v>5096</v>
      </c>
      <c r="G766" s="3" t="s">
        <v>5097</v>
      </c>
    </row>
    <row r="767" spans="1:7">
      <c r="A767" s="6">
        <v>42923</v>
      </c>
      <c r="B767" s="3" t="s">
        <v>4621</v>
      </c>
      <c r="C767" s="3" t="s">
        <v>18</v>
      </c>
      <c r="D767" s="8" t="str">
        <f>HYPERLINK("http://npthd.inbcu.com/ViewContent.aspx?filename=NPMR_FOX_2017-07-07_E.MP4$916$1257","MASTERCHEF: battle for an apron, part 1")</f>
        <v>MASTERCHEF: battle for an apron, part 1</v>
      </c>
      <c r="E767" s="3" t="s">
        <v>2483</v>
      </c>
      <c r="F767" s="3" t="s">
        <v>5097</v>
      </c>
      <c r="G767" s="3" t="s">
        <v>5098</v>
      </c>
    </row>
    <row r="768" spans="1:7">
      <c r="A768" s="6">
        <v>42923</v>
      </c>
      <c r="B768" s="3" t="s">
        <v>4621</v>
      </c>
      <c r="C768" s="3" t="s">
        <v>21</v>
      </c>
      <c r="D768" s="8" t="str">
        <f>HYPERLINK("http://npthd.inbcu.com/ViewContent.aspx?filename=NPMR_FOX_2017-07-07_E.MP4$1257$1348","COMMERCIAL")</f>
        <v>COMMERCIAL</v>
      </c>
      <c r="E768" s="3" t="s">
        <v>77</v>
      </c>
      <c r="F768" s="3" t="s">
        <v>5098</v>
      </c>
      <c r="G768" s="3" t="s">
        <v>5099</v>
      </c>
    </row>
    <row r="769" spans="1:7">
      <c r="A769" s="6">
        <v>42923</v>
      </c>
      <c r="B769" s="3" t="s">
        <v>4621</v>
      </c>
      <c r="C769" s="3" t="s">
        <v>14</v>
      </c>
      <c r="D769" s="8" t="str">
        <f>HYPERLINK("http://npthd.inbcu.com/ViewContent.aspx?filename=NPMR_FOX_2017-07-07_E.MP4$1348$1368","Earth Live (Nat Geo)")</f>
        <v>Earth Live (Nat Geo)</v>
      </c>
      <c r="E769" s="3" t="s">
        <v>1805</v>
      </c>
      <c r="F769" s="3" t="s">
        <v>5099</v>
      </c>
      <c r="G769" s="3" t="s">
        <v>4720</v>
      </c>
    </row>
    <row r="770" spans="1:7">
      <c r="A770" s="6">
        <v>42923</v>
      </c>
      <c r="B770" s="3" t="s">
        <v>4621</v>
      </c>
      <c r="C770" s="3" t="s">
        <v>32</v>
      </c>
      <c r="D770" s="8" t="str">
        <f>HYPERLINK("http://npthd.inbcu.com/ViewContent.aspx?filename=NPMR_FOX_2017-07-07_E.MP4$1368$1489","LOCAL")</f>
        <v>LOCAL</v>
      </c>
      <c r="E770" s="3" t="s">
        <v>175</v>
      </c>
      <c r="F770" s="3" t="s">
        <v>4720</v>
      </c>
      <c r="G770" s="3" t="s">
        <v>4807</v>
      </c>
    </row>
    <row r="771" spans="1:7">
      <c r="A771" s="6">
        <v>42923</v>
      </c>
      <c r="B771" s="3" t="s">
        <v>4621</v>
      </c>
      <c r="C771" s="3" t="s">
        <v>18</v>
      </c>
      <c r="D771" s="8" t="str">
        <f>HYPERLINK("http://npthd.inbcu.com/ViewContent.aspx?filename=NPMR_FOX_2017-07-07_E.MP4$1489$1954","MASTERCHEF: battle for an apron, part 1")</f>
        <v>MASTERCHEF: battle for an apron, part 1</v>
      </c>
      <c r="E771" s="3" t="s">
        <v>2844</v>
      </c>
      <c r="F771" s="3" t="s">
        <v>4807</v>
      </c>
      <c r="G771" s="3" t="s">
        <v>5100</v>
      </c>
    </row>
    <row r="772" spans="1:7">
      <c r="A772" s="6">
        <v>42923</v>
      </c>
      <c r="B772" s="3" t="s">
        <v>4621</v>
      </c>
      <c r="C772" s="3" t="s">
        <v>21</v>
      </c>
      <c r="D772" s="8" t="str">
        <f>HYPERLINK("http://npthd.inbcu.com/ViewContent.aspx?filename=NPMR_FOX_2017-07-07_E.MP4$1954$2165","COMMERCIAL")</f>
        <v>COMMERCIAL</v>
      </c>
      <c r="E772" s="3" t="s">
        <v>334</v>
      </c>
      <c r="F772" s="3" t="s">
        <v>5100</v>
      </c>
      <c r="G772" s="3" t="s">
        <v>2703</v>
      </c>
    </row>
    <row r="773" spans="1:7">
      <c r="A773" s="6">
        <v>42923</v>
      </c>
      <c r="B773" s="3" t="s">
        <v>4621</v>
      </c>
      <c r="C773" s="3" t="s">
        <v>14</v>
      </c>
      <c r="D773" s="8" t="str">
        <f>HYPERLINK("http://npthd.inbcu.com/ViewContent.aspx?filename=NPMR_FOX_2017-07-07_E.MP4$2165$2174","So You Think You Can Dance?")</f>
        <v>So You Think You Can Dance?</v>
      </c>
      <c r="E773" s="3" t="s">
        <v>2074</v>
      </c>
      <c r="F773" s="3" t="s">
        <v>2703</v>
      </c>
      <c r="G773" s="3" t="s">
        <v>5101</v>
      </c>
    </row>
    <row r="774" spans="1:7">
      <c r="A774" s="6">
        <v>42923</v>
      </c>
      <c r="B774" s="3" t="s">
        <v>4621</v>
      </c>
      <c r="C774" s="3" t="s">
        <v>14</v>
      </c>
      <c r="D774" s="8" t="str">
        <f>HYPERLINK("http://npthd.inbcu.com/ViewContent.aspx?filename=NPMR_FOX_2017-07-07_E.MP4$2174$2185","Super Human")</f>
        <v>Super Human</v>
      </c>
      <c r="E774" s="3" t="s">
        <v>1940</v>
      </c>
      <c r="F774" s="3" t="s">
        <v>5101</v>
      </c>
      <c r="G774" s="3" t="s">
        <v>5102</v>
      </c>
    </row>
    <row r="775" spans="1:7">
      <c r="A775" s="6">
        <v>42923</v>
      </c>
      <c r="B775" s="3" t="s">
        <v>4621</v>
      </c>
      <c r="C775" s="3" t="s">
        <v>18</v>
      </c>
      <c r="D775" s="8" t="str">
        <f>HYPERLINK("http://npthd.inbcu.com/ViewContent.aspx?filename=NPMR_FOX_2017-07-07_E.MP4$2185$2656","MASTERCHEF: battle for an apron, part 1")</f>
        <v>MASTERCHEF: battle for an apron, part 1</v>
      </c>
      <c r="E775" s="3" t="s">
        <v>795</v>
      </c>
      <c r="F775" s="3" t="s">
        <v>5102</v>
      </c>
      <c r="G775" s="3" t="s">
        <v>4948</v>
      </c>
    </row>
    <row r="776" spans="1:7">
      <c r="A776" s="6">
        <v>42923</v>
      </c>
      <c r="B776" s="3" t="s">
        <v>4621</v>
      </c>
      <c r="C776" s="3" t="s">
        <v>21</v>
      </c>
      <c r="D776" s="8" t="str">
        <f>HYPERLINK("http://npthd.inbcu.com/ViewContent.aspx?filename=NPMR_FOX_2017-07-07_E.MP4$2656$2776","COMMERCIAL")</f>
        <v>COMMERCIAL</v>
      </c>
      <c r="E776" s="3" t="s">
        <v>43</v>
      </c>
      <c r="F776" s="3" t="s">
        <v>4948</v>
      </c>
      <c r="G776" s="3" t="s">
        <v>5103</v>
      </c>
    </row>
    <row r="777" spans="1:7">
      <c r="A777" s="6">
        <v>42923</v>
      </c>
      <c r="B777" s="3" t="s">
        <v>4621</v>
      </c>
      <c r="C777" s="3" t="s">
        <v>14</v>
      </c>
      <c r="D777" s="8" t="str">
        <f>HYPERLINK("http://npthd.inbcu.com/ViewContent.aspx?filename=NPMR_FOX_2017-07-07_E.MP4$2776$2791","Fox.com/Masterchef")</f>
        <v>Fox.com/Masterchef</v>
      </c>
      <c r="E777" s="3" t="s">
        <v>30</v>
      </c>
      <c r="F777" s="3" t="s">
        <v>5103</v>
      </c>
      <c r="G777" s="3" t="s">
        <v>5104</v>
      </c>
    </row>
    <row r="778" spans="1:7">
      <c r="A778" s="6">
        <v>42923</v>
      </c>
      <c r="B778" s="3" t="s">
        <v>4621</v>
      </c>
      <c r="C778" s="3" t="s">
        <v>32</v>
      </c>
      <c r="D778" s="8" t="str">
        <f>HYPERLINK("http://npthd.inbcu.com/ViewContent.aspx?filename=NPMR_FOX_2017-07-07_E.MP4$2791$2903","LOCAL")</f>
        <v>LOCAL</v>
      </c>
      <c r="E778" s="3" t="s">
        <v>4791</v>
      </c>
      <c r="F778" s="3" t="s">
        <v>5104</v>
      </c>
      <c r="G778" s="3" t="s">
        <v>1954</v>
      </c>
    </row>
    <row r="779" spans="1:7">
      <c r="A779" s="6">
        <v>42923</v>
      </c>
      <c r="B779" s="3" t="s">
        <v>4621</v>
      </c>
      <c r="C779" s="3" t="s">
        <v>18</v>
      </c>
      <c r="D779" s="8" t="str">
        <f>HYPERLINK("http://npthd.inbcu.com/ViewContent.aspx?filename=NPMR_FOX_2017-07-07_E.MP4$2903$3181","MASTERCHEF: battle for an apron, part 1")</f>
        <v>MASTERCHEF: battle for an apron, part 1</v>
      </c>
      <c r="E779" s="3" t="s">
        <v>52</v>
      </c>
      <c r="F779" s="3" t="s">
        <v>1954</v>
      </c>
      <c r="G779" s="3" t="s">
        <v>4593</v>
      </c>
    </row>
    <row r="780" spans="1:7">
      <c r="A780" s="6">
        <v>42923</v>
      </c>
      <c r="B780" s="3" t="s">
        <v>4621</v>
      </c>
      <c r="C780" s="3" t="s">
        <v>21</v>
      </c>
      <c r="D780" s="8" t="str">
        <f>HYPERLINK("http://npthd.inbcu.com/ViewContent.aspx?filename=NPMR_FOX_2017-07-07_E.MP4$3181$3302","COMMERCIAL")</f>
        <v>COMMERCIAL</v>
      </c>
      <c r="E780" s="3" t="s">
        <v>175</v>
      </c>
      <c r="F780" s="3" t="s">
        <v>4593</v>
      </c>
      <c r="G780" s="3" t="s">
        <v>5105</v>
      </c>
    </row>
    <row r="781" spans="1:7">
      <c r="A781" s="6">
        <v>42923</v>
      </c>
      <c r="B781" s="3" t="s">
        <v>4621</v>
      </c>
      <c r="C781" s="3" t="s">
        <v>14</v>
      </c>
      <c r="D781" s="8" t="str">
        <f>HYPERLINK("http://npthd.inbcu.com/ViewContent.aspx?filename=NPMR_FOX_2017-07-07_E.MP4$3302$3322","Earth Live (Nat Geo)")</f>
        <v>Earth Live (Nat Geo)</v>
      </c>
      <c r="E781" s="3" t="s">
        <v>1805</v>
      </c>
      <c r="F781" s="3" t="s">
        <v>5105</v>
      </c>
      <c r="G781" s="3" t="s">
        <v>4444</v>
      </c>
    </row>
    <row r="782" spans="1:7">
      <c r="A782" s="6">
        <v>42923</v>
      </c>
      <c r="B782" s="3" t="s">
        <v>4621</v>
      </c>
      <c r="C782" s="3" t="s">
        <v>32</v>
      </c>
      <c r="D782" s="8" t="str">
        <f>HYPERLINK("http://npthd.inbcu.com/ViewContent.aspx?filename=NPMR_FOX_2017-07-07_E.MP4$3322$3333","LOCAL")</f>
        <v>LOCAL</v>
      </c>
      <c r="E782" s="3" t="s">
        <v>1940</v>
      </c>
      <c r="F782" s="3" t="s">
        <v>4444</v>
      </c>
      <c r="G782" s="3" t="s">
        <v>5106</v>
      </c>
    </row>
    <row r="783" spans="1:7">
      <c r="A783" s="6">
        <v>42923</v>
      </c>
      <c r="B783" s="3" t="s">
        <v>4621</v>
      </c>
      <c r="C783" s="3" t="s">
        <v>14</v>
      </c>
      <c r="D783" s="8" t="str">
        <f>HYPERLINK("http://npthd.inbcu.com/ViewContent.aspx?filename=NPMR_FOX_2017-07-07_E.MP4$3333$3354","F Word, The")</f>
        <v>F Word, The</v>
      </c>
      <c r="E783" s="3" t="s">
        <v>2067</v>
      </c>
      <c r="F783" s="3" t="s">
        <v>5106</v>
      </c>
      <c r="G783" s="3" t="s">
        <v>5107</v>
      </c>
    </row>
    <row r="784" spans="1:7">
      <c r="A784" s="6">
        <v>42923</v>
      </c>
      <c r="B784" s="3" t="s">
        <v>4621</v>
      </c>
      <c r="C784" s="3" t="s">
        <v>18</v>
      </c>
      <c r="D784" s="8" t="str">
        <f>HYPERLINK("http://npthd.inbcu.com/ViewContent.aspx?filename=NPMR_FOX_2017-07-07_E.MP4$3354$3626","MASTERCHEF: battle for an apron, part 1")</f>
        <v>MASTERCHEF: battle for an apron, part 1</v>
      </c>
      <c r="E784" s="3" t="s">
        <v>381</v>
      </c>
      <c r="F784" s="3" t="s">
        <v>5107</v>
      </c>
      <c r="G784" s="3" t="s">
        <v>2079</v>
      </c>
    </row>
    <row r="785" spans="1:7">
      <c r="A785" s="6">
        <v>42923</v>
      </c>
      <c r="B785" s="3" t="s">
        <v>4621</v>
      </c>
      <c r="C785" s="3" t="s">
        <v>14</v>
      </c>
      <c r="D785" s="8" t="str">
        <f>HYPERLINK("http://npthd.inbcu.com/ViewContent.aspx?filename=NPMR_FOX_2017-07-07_E.MP4$3626$3658","MasterChef")</f>
        <v>MasterChef</v>
      </c>
      <c r="E785" s="3" t="s">
        <v>213</v>
      </c>
      <c r="F785" s="3" t="s">
        <v>2079</v>
      </c>
      <c r="G785" s="3" t="s">
        <v>3673</v>
      </c>
    </row>
    <row r="786" spans="1:7">
      <c r="A786" s="6">
        <v>42923</v>
      </c>
      <c r="B786" s="3" t="s">
        <v>4621</v>
      </c>
      <c r="C786" s="3" t="s">
        <v>18</v>
      </c>
      <c r="D786" s="8" t="str">
        <f>HYPERLINK("http://npthd.inbcu.com/ViewContent.aspx?filename=NPMR_FOX_2017-07-07_E.MP4$3658$3663","MASTERCHEF: battle for an apron, part 1")</f>
        <v>MASTERCHEF: battle for an apron, part 1</v>
      </c>
      <c r="E786" s="3" t="s">
        <v>54</v>
      </c>
      <c r="F786" s="3" t="s">
        <v>3673</v>
      </c>
      <c r="G786" s="3" t="s">
        <v>5108</v>
      </c>
    </row>
    <row r="787" spans="1:7">
      <c r="A787" s="6">
        <v>42923</v>
      </c>
      <c r="B787" s="3" t="s">
        <v>4621</v>
      </c>
      <c r="C787" s="3" t="s">
        <v>18</v>
      </c>
      <c r="D787" s="8" t="str">
        <f>HYPERLINK("http://npthd.inbcu.com/ViewContent.aspx?filename=NPMR_FOX_2017-07-07_E.MP4$3663$4442","BEAT SHAZAM: 105")</f>
        <v>BEAT SHAZAM: 105</v>
      </c>
      <c r="E787" s="3" t="s">
        <v>3026</v>
      </c>
      <c r="F787" s="3" t="s">
        <v>5108</v>
      </c>
      <c r="G787" s="3" t="s">
        <v>4402</v>
      </c>
    </row>
    <row r="788" spans="1:7">
      <c r="A788" s="6">
        <v>42923</v>
      </c>
      <c r="B788" s="3" t="s">
        <v>4621</v>
      </c>
      <c r="C788" s="3" t="s">
        <v>21</v>
      </c>
      <c r="D788" s="8" t="str">
        <f>HYPERLINK("http://npthd.inbcu.com/ViewContent.aspx?filename=NPMR_FOX_2017-07-07_E.MP4$4442$4563","COMMERCIAL")</f>
        <v>COMMERCIAL</v>
      </c>
      <c r="E788" s="3" t="s">
        <v>175</v>
      </c>
      <c r="F788" s="3" t="s">
        <v>4402</v>
      </c>
      <c r="G788" s="3" t="s">
        <v>1137</v>
      </c>
    </row>
    <row r="789" spans="1:7">
      <c r="A789" s="6">
        <v>42923</v>
      </c>
      <c r="B789" s="3" t="s">
        <v>4621</v>
      </c>
      <c r="C789" s="3" t="s">
        <v>14</v>
      </c>
      <c r="D789" s="8" t="str">
        <f>HYPERLINK("http://npthd.inbcu.com/ViewContent.aspx?filename=NPMR_FOX_2017-07-07_E.MP4$4563$4578","Strain (FX)")</f>
        <v>Strain (FX)</v>
      </c>
      <c r="E789" s="3" t="s">
        <v>30</v>
      </c>
      <c r="F789" s="3" t="s">
        <v>1137</v>
      </c>
      <c r="G789" s="3" t="s">
        <v>3304</v>
      </c>
    </row>
    <row r="790" spans="1:7">
      <c r="A790" s="6">
        <v>42923</v>
      </c>
      <c r="B790" s="3" t="s">
        <v>4621</v>
      </c>
      <c r="C790" s="3" t="s">
        <v>14</v>
      </c>
      <c r="D790" s="8" t="str">
        <f>HYPERLINK("http://npthd.inbcu.com/ViewContent.aspx?filename=NPMR_FOX_2017-07-07_E.MP4$4578$4598","MasterChef")</f>
        <v>MasterChef</v>
      </c>
      <c r="E790" s="3" t="s">
        <v>1805</v>
      </c>
      <c r="F790" s="3" t="s">
        <v>3304</v>
      </c>
      <c r="G790" s="3" t="s">
        <v>5109</v>
      </c>
    </row>
    <row r="791" spans="1:7">
      <c r="A791" s="6">
        <v>42923</v>
      </c>
      <c r="B791" s="3" t="s">
        <v>4621</v>
      </c>
      <c r="C791" s="3" t="s">
        <v>18</v>
      </c>
      <c r="D791" s="8" t="str">
        <f>HYPERLINK("http://npthd.inbcu.com/ViewContent.aspx?filename=NPMR_FOX_2017-07-07_E.MP4$4598$5047","BEAT SHAZAM: 105")</f>
        <v>BEAT SHAZAM: 105</v>
      </c>
      <c r="E791" s="3" t="s">
        <v>820</v>
      </c>
      <c r="F791" s="3" t="s">
        <v>5109</v>
      </c>
      <c r="G791" s="3" t="s">
        <v>1905</v>
      </c>
    </row>
    <row r="792" spans="1:7">
      <c r="A792" s="6">
        <v>42923</v>
      </c>
      <c r="B792" s="3" t="s">
        <v>4621</v>
      </c>
      <c r="C792" s="3" t="s">
        <v>21</v>
      </c>
      <c r="D792" s="8" t="str">
        <f>HYPERLINK("http://npthd.inbcu.com/ViewContent.aspx?filename=NPMR_FOX_2017-07-07_E.MP4$5047$5138","COMMERCIAL")</f>
        <v>COMMERCIAL</v>
      </c>
      <c r="E792" s="3" t="s">
        <v>77</v>
      </c>
      <c r="F792" s="3" t="s">
        <v>1905</v>
      </c>
      <c r="G792" s="3" t="s">
        <v>5110</v>
      </c>
    </row>
    <row r="793" spans="1:7">
      <c r="A793" s="6">
        <v>42923</v>
      </c>
      <c r="B793" s="3" t="s">
        <v>4621</v>
      </c>
      <c r="C793" s="3" t="s">
        <v>14</v>
      </c>
      <c r="D793" s="8" t="str">
        <f>HYPERLINK("http://npthd.inbcu.com/ViewContent.aspx?filename=NPMR_FOX_2017-07-07_E.MP4$5138$5153","Earth Live (Nat Geo)")</f>
        <v>Earth Live (Nat Geo)</v>
      </c>
      <c r="E793" s="3" t="s">
        <v>30</v>
      </c>
      <c r="F793" s="3" t="s">
        <v>5110</v>
      </c>
      <c r="G793" s="3" t="s">
        <v>5111</v>
      </c>
    </row>
    <row r="794" spans="1:7">
      <c r="A794" s="6">
        <v>42923</v>
      </c>
      <c r="B794" s="3" t="s">
        <v>4621</v>
      </c>
      <c r="C794" s="3" t="s">
        <v>32</v>
      </c>
      <c r="D794" s="8" t="str">
        <f>HYPERLINK("http://npthd.inbcu.com/ViewContent.aspx?filename=NPMR_FOX_2017-07-07_E.MP4$5153$5294","LOCAL")</f>
        <v>LOCAL</v>
      </c>
      <c r="E794" s="3" t="s">
        <v>1753</v>
      </c>
      <c r="F794" s="3" t="s">
        <v>5111</v>
      </c>
      <c r="G794" s="3" t="s">
        <v>2822</v>
      </c>
    </row>
    <row r="795" spans="1:7">
      <c r="A795" s="6">
        <v>42923</v>
      </c>
      <c r="B795" s="3" t="s">
        <v>4621</v>
      </c>
      <c r="C795" s="3" t="s">
        <v>18</v>
      </c>
      <c r="D795" s="8" t="str">
        <f>HYPERLINK("http://npthd.inbcu.com/ViewContent.aspx?filename=NPMR_FOX_2017-07-07_E.MP4$5294$5660","BEAT SHAZAM: 105")</f>
        <v>BEAT SHAZAM: 105</v>
      </c>
      <c r="E795" s="3" t="s">
        <v>957</v>
      </c>
      <c r="F795" s="3" t="s">
        <v>2822</v>
      </c>
      <c r="G795" s="3" t="s">
        <v>4711</v>
      </c>
    </row>
    <row r="796" spans="1:7">
      <c r="A796" s="6">
        <v>42923</v>
      </c>
      <c r="B796" s="3" t="s">
        <v>4621</v>
      </c>
      <c r="C796" s="3" t="s">
        <v>21</v>
      </c>
      <c r="D796" s="8" t="str">
        <f>HYPERLINK("http://npthd.inbcu.com/ViewContent.aspx?filename=NPMR_FOX_2017-07-07_E.MP4$5660$5841","COMMERCIAL")</f>
        <v>COMMERCIAL</v>
      </c>
      <c r="E796" s="3" t="s">
        <v>108</v>
      </c>
      <c r="F796" s="3" t="s">
        <v>4711</v>
      </c>
      <c r="G796" s="3" t="s">
        <v>3265</v>
      </c>
    </row>
    <row r="797" spans="1:7">
      <c r="A797" s="6">
        <v>42923</v>
      </c>
      <c r="B797" s="3" t="s">
        <v>4621</v>
      </c>
      <c r="C797" s="3" t="s">
        <v>14</v>
      </c>
      <c r="D797" s="8" t="str">
        <f>HYPERLINK("http://npthd.inbcu.com/ViewContent.aspx?filename=NPMR_FOX_2017-07-07_E.MP4$5841$5871","Gifted")</f>
        <v>Gifted</v>
      </c>
      <c r="E797" s="3" t="s">
        <v>38</v>
      </c>
      <c r="F797" s="3" t="s">
        <v>3265</v>
      </c>
      <c r="G797" s="3" t="s">
        <v>3266</v>
      </c>
    </row>
    <row r="798" spans="1:7">
      <c r="A798" s="6">
        <v>42923</v>
      </c>
      <c r="B798" s="3" t="s">
        <v>4621</v>
      </c>
      <c r="C798" s="3" t="s">
        <v>18</v>
      </c>
      <c r="D798" s="8" t="str">
        <f>HYPERLINK("http://npthd.inbcu.com/ViewContent.aspx?filename=NPMR_FOX_2017-07-07_E.MP4$5871$6238","BEAT SHAZAM: 105")</f>
        <v>BEAT SHAZAM: 105</v>
      </c>
      <c r="E798" s="3" t="s">
        <v>3590</v>
      </c>
      <c r="F798" s="3" t="s">
        <v>3266</v>
      </c>
      <c r="G798" s="3" t="s">
        <v>4214</v>
      </c>
    </row>
    <row r="799" spans="1:7">
      <c r="A799" s="6">
        <v>42923</v>
      </c>
      <c r="B799" s="3" t="s">
        <v>4621</v>
      </c>
      <c r="C799" s="3" t="s">
        <v>21</v>
      </c>
      <c r="D799" s="8" t="str">
        <f>HYPERLINK("http://npthd.inbcu.com/ViewContent.aspx?filename=NPMR_FOX_2017-07-07_E.MP4$6238$6359","COMMERCIAL")</f>
        <v>COMMERCIAL</v>
      </c>
      <c r="E799" s="3" t="s">
        <v>175</v>
      </c>
      <c r="F799" s="3" t="s">
        <v>4214</v>
      </c>
      <c r="G799" s="3" t="s">
        <v>75</v>
      </c>
    </row>
    <row r="800" spans="1:7">
      <c r="A800" s="6">
        <v>42923</v>
      </c>
      <c r="B800" s="3" t="s">
        <v>4621</v>
      </c>
      <c r="C800" s="3" t="s">
        <v>14</v>
      </c>
      <c r="D800" s="8" t="str">
        <f>HYPERLINK("http://npthd.inbcu.com/ViewContent.aspx?filename=NPMR_FOX_2017-07-07_E.MP4$6359$6374","MLB All Star Game")</f>
        <v>MLB All Star Game</v>
      </c>
      <c r="E800" s="3" t="s">
        <v>30</v>
      </c>
      <c r="F800" s="3" t="s">
        <v>75</v>
      </c>
      <c r="G800" s="3" t="s">
        <v>5112</v>
      </c>
    </row>
    <row r="801" spans="1:7">
      <c r="A801" s="6">
        <v>42923</v>
      </c>
      <c r="B801" s="3" t="s">
        <v>4621</v>
      </c>
      <c r="C801" s="3" t="s">
        <v>32</v>
      </c>
      <c r="D801" s="8" t="str">
        <f>HYPERLINK("http://npthd.inbcu.com/ViewContent.aspx?filename=NPMR_FOX_2017-07-07_E.MP4$6374$6465","LOCAL")</f>
        <v>LOCAL</v>
      </c>
      <c r="E801" s="3" t="s">
        <v>77</v>
      </c>
      <c r="F801" s="3" t="s">
        <v>5112</v>
      </c>
      <c r="G801" s="3" t="s">
        <v>3388</v>
      </c>
    </row>
    <row r="802" spans="1:7">
      <c r="A802" s="6">
        <v>42923</v>
      </c>
      <c r="B802" s="3" t="s">
        <v>4621</v>
      </c>
      <c r="C802" s="3" t="s">
        <v>14</v>
      </c>
      <c r="D802" s="8" t="str">
        <f>HYPERLINK("http://npthd.inbcu.com/ViewContent.aspx?filename=NPMR_FOX_2017-07-07_E.MP4$6465$6481","So You Think You Can Dance?")</f>
        <v>So You Think You Can Dance?</v>
      </c>
      <c r="E802" s="3" t="s">
        <v>64</v>
      </c>
      <c r="F802" s="3" t="s">
        <v>3388</v>
      </c>
      <c r="G802" s="3" t="s">
        <v>5113</v>
      </c>
    </row>
    <row r="803" spans="1:7">
      <c r="A803" s="6">
        <v>42923</v>
      </c>
      <c r="B803" s="3" t="s">
        <v>4621</v>
      </c>
      <c r="C803" s="3" t="s">
        <v>18</v>
      </c>
      <c r="D803" s="8" t="str">
        <f>HYPERLINK("http://npthd.inbcu.com/ViewContent.aspx?filename=NPMR_FOX_2017-07-07_E.MP4$6481$6938","BEAT SHAZAM: 105")</f>
        <v>BEAT SHAZAM: 105</v>
      </c>
      <c r="E803" s="3" t="s">
        <v>3107</v>
      </c>
      <c r="F803" s="3" t="s">
        <v>5113</v>
      </c>
      <c r="G803" s="3" t="s">
        <v>5114</v>
      </c>
    </row>
    <row r="804" spans="1:7">
      <c r="A804" s="6">
        <v>42923</v>
      </c>
      <c r="B804" s="3" t="s">
        <v>4621</v>
      </c>
      <c r="C804" s="3" t="s">
        <v>21</v>
      </c>
      <c r="D804" s="8" t="str">
        <f>HYPERLINK("http://npthd.inbcu.com/ViewContent.aspx?filename=NPMR_FOX_2017-07-07_E.MP4$6938$7028","COMMERCIAL")</f>
        <v>COMMERCIAL</v>
      </c>
      <c r="E804" s="3" t="s">
        <v>46</v>
      </c>
      <c r="F804" s="3" t="s">
        <v>5114</v>
      </c>
      <c r="G804" s="3" t="s">
        <v>2786</v>
      </c>
    </row>
    <row r="805" spans="1:7">
      <c r="A805" s="6">
        <v>42923</v>
      </c>
      <c r="B805" s="3" t="s">
        <v>4621</v>
      </c>
      <c r="C805" s="3" t="s">
        <v>21</v>
      </c>
      <c r="D805" s="8" t="str">
        <f>HYPERLINK("http://npthd.inbcu.com/ViewContent.aspx?filename=NPMR_FOX_2017-07-07_E.MP4$7028$7029","COMMERCIAL")</f>
        <v>COMMERCIAL</v>
      </c>
      <c r="E805" s="3" t="s">
        <v>359</v>
      </c>
      <c r="F805" s="3" t="s">
        <v>2786</v>
      </c>
      <c r="G805" s="3" t="s">
        <v>5115</v>
      </c>
    </row>
    <row r="806" spans="1:7">
      <c r="A806" s="6">
        <v>42923</v>
      </c>
      <c r="B806" s="3" t="s">
        <v>4621</v>
      </c>
      <c r="C806" s="3" t="s">
        <v>14</v>
      </c>
      <c r="D806" s="8" t="str">
        <f>HYPERLINK("http://npthd.inbcu.com/ViewContent.aspx?filename=NPMR_FOX_2017-07-07_E.MP4$7029$7049","Earth Live (Nat Geo)")</f>
        <v>Earth Live (Nat Geo)</v>
      </c>
      <c r="E806" s="3" t="s">
        <v>1805</v>
      </c>
      <c r="F806" s="3" t="s">
        <v>5115</v>
      </c>
      <c r="G806" s="3" t="s">
        <v>4413</v>
      </c>
    </row>
    <row r="807" spans="1:7">
      <c r="A807" s="6">
        <v>42923</v>
      </c>
      <c r="B807" s="3" t="s">
        <v>4621</v>
      </c>
      <c r="C807" s="3" t="s">
        <v>32</v>
      </c>
      <c r="D807" s="8" t="str">
        <f>HYPERLINK("http://npthd.inbcu.com/ViewContent.aspx?filename=NPMR_FOX_2017-07-07_E.MP4$7049$7069","LOCAL")</f>
        <v>LOCAL</v>
      </c>
      <c r="E807" s="3" t="s">
        <v>1805</v>
      </c>
      <c r="F807" s="3" t="s">
        <v>4413</v>
      </c>
      <c r="G807" s="3" t="s">
        <v>5116</v>
      </c>
    </row>
    <row r="808" spans="1:7">
      <c r="A808" s="6">
        <v>42923</v>
      </c>
      <c r="B808" s="3" t="s">
        <v>4621</v>
      </c>
      <c r="C808" s="3" t="s">
        <v>14</v>
      </c>
      <c r="D808" s="8" t="str">
        <f>HYPERLINK("http://npthd.inbcu.com/ViewContent.aspx?filename=NPMR_FOX_2017-07-07_E.MP4$7069$7090","Beat Shazam / Love Connection")</f>
        <v>Beat Shazam / Love Connection</v>
      </c>
      <c r="E808" s="3" t="s">
        <v>2067</v>
      </c>
      <c r="F808" s="3" t="s">
        <v>5116</v>
      </c>
      <c r="G808" s="3" t="s">
        <v>5117</v>
      </c>
    </row>
    <row r="809" spans="1:7">
      <c r="A809" s="6">
        <v>42923</v>
      </c>
      <c r="B809" s="3" t="s">
        <v>4621</v>
      </c>
      <c r="C809" s="3" t="s">
        <v>18</v>
      </c>
      <c r="D809" s="8" t="str">
        <f>HYPERLINK("http://npthd.inbcu.com/ViewContent.aspx?filename=NPMR_FOX_2017-07-07_E.MP4$7090$7255","BEAT SHAZAM: 105")</f>
        <v>BEAT SHAZAM: 105</v>
      </c>
      <c r="E809" s="3" t="s">
        <v>428</v>
      </c>
      <c r="F809" s="3" t="s">
        <v>5117</v>
      </c>
      <c r="G809" s="3" t="s">
        <v>3097</v>
      </c>
    </row>
    <row r="810" spans="1:7">
      <c r="A810" s="6">
        <v>42923</v>
      </c>
      <c r="B810" s="3" t="s">
        <v>4621</v>
      </c>
      <c r="C810" s="3" t="s">
        <v>32</v>
      </c>
      <c r="D810" s="8" t="str">
        <f>HYPERLINK("http://npthd.inbcu.com/ViewContent.aspx?filename=NPMR_FOX_2017-07-07_E.MP4$7255$7265","LOCAL")</f>
        <v>LOCAL</v>
      </c>
      <c r="E810" s="3" t="s">
        <v>197</v>
      </c>
      <c r="F810" s="3" t="s">
        <v>3097</v>
      </c>
      <c r="G810" s="3" t="s">
        <v>394</v>
      </c>
    </row>
    <row r="811" spans="1:7">
      <c r="A811" s="6">
        <v>42924</v>
      </c>
      <c r="B811" s="3" t="s">
        <v>4621</v>
      </c>
      <c r="C811" s="3" t="s">
        <v>18</v>
      </c>
      <c r="D811" s="8" t="str">
        <f>HYPERLINK("http://npthd.inbcu.com/ViewContent.aspx?filename=NPMR_FOX_2017-07-08_E.MP4$67$403","FOX SPORTS SPECIALS:")</f>
        <v>FOX SPORTS SPECIALS:</v>
      </c>
      <c r="E811" s="3" t="s">
        <v>2048</v>
      </c>
      <c r="F811" s="3" t="s">
        <v>16</v>
      </c>
      <c r="G811" s="3" t="s">
        <v>5118</v>
      </c>
    </row>
    <row r="812" spans="1:7">
      <c r="A812" s="6">
        <v>42924</v>
      </c>
      <c r="B812" s="3" t="s">
        <v>4621</v>
      </c>
      <c r="C812" s="3" t="s">
        <v>21</v>
      </c>
      <c r="D812" s="8" t="str">
        <f>HYPERLINK("http://npthd.inbcu.com/ViewContent.aspx?filename=NPMR_FOX_2017-07-08_E.MP4$403$509","COMMERCIAL")</f>
        <v>COMMERCIAL</v>
      </c>
      <c r="E812" s="3" t="s">
        <v>293</v>
      </c>
      <c r="F812" s="3" t="s">
        <v>5118</v>
      </c>
      <c r="G812" s="3" t="s">
        <v>5119</v>
      </c>
    </row>
    <row r="813" spans="1:7">
      <c r="A813" s="6">
        <v>42924</v>
      </c>
      <c r="B813" s="3" t="s">
        <v>4621</v>
      </c>
      <c r="C813" s="3" t="s">
        <v>14</v>
      </c>
      <c r="D813" s="8" t="str">
        <f>HYPERLINK("http://npthd.inbcu.com/ViewContent.aspx?filename=NPMR_FOX_2017-07-08_E.MP4$509$529","MLB All Star Game")</f>
        <v>MLB All Star Game</v>
      </c>
      <c r="E813" s="3" t="s">
        <v>1805</v>
      </c>
      <c r="F813" s="3" t="s">
        <v>5119</v>
      </c>
      <c r="G813" s="3" t="s">
        <v>5120</v>
      </c>
    </row>
    <row r="814" spans="1:7">
      <c r="A814" s="6">
        <v>42924</v>
      </c>
      <c r="B814" s="3" t="s">
        <v>4621</v>
      </c>
      <c r="C814" s="3" t="s">
        <v>14</v>
      </c>
      <c r="D814" s="8" t="str">
        <f>HYPERLINK("http://npthd.inbcu.com/ViewContent.aspx?filename=NPMR_FOX_2017-07-08_E.MP4$529$539","Orville, The")</f>
        <v>Orville, The</v>
      </c>
      <c r="E814" s="3" t="s">
        <v>197</v>
      </c>
      <c r="F814" s="3" t="s">
        <v>5120</v>
      </c>
      <c r="G814" s="3" t="s">
        <v>5121</v>
      </c>
    </row>
    <row r="815" spans="1:7">
      <c r="A815" s="6">
        <v>42924</v>
      </c>
      <c r="B815" s="3" t="s">
        <v>4621</v>
      </c>
      <c r="C815" s="3" t="s">
        <v>18</v>
      </c>
      <c r="D815" s="8" t="str">
        <f>HYPERLINK("http://npthd.inbcu.com/ViewContent.aspx?filename=NPMR_FOX_2017-07-08_E.MP4$539$875","FOX SPORTS SPECIALS:")</f>
        <v>FOX SPORTS SPECIALS:</v>
      </c>
      <c r="E815" s="3" t="s">
        <v>2048</v>
      </c>
      <c r="F815" s="3" t="s">
        <v>5121</v>
      </c>
      <c r="G815" s="3" t="s">
        <v>5122</v>
      </c>
    </row>
    <row r="816" spans="1:7">
      <c r="A816" s="6">
        <v>42924</v>
      </c>
      <c r="B816" s="3" t="s">
        <v>4621</v>
      </c>
      <c r="C816" s="3" t="s">
        <v>21</v>
      </c>
      <c r="D816" s="8" t="str">
        <f>HYPERLINK("http://npthd.inbcu.com/ViewContent.aspx?filename=NPMR_FOX_2017-07-08_E.MP4$875$995","COMMERCIAL")</f>
        <v>COMMERCIAL</v>
      </c>
      <c r="E816" s="3" t="s">
        <v>43</v>
      </c>
      <c r="F816" s="3" t="s">
        <v>5122</v>
      </c>
      <c r="G816" s="3" t="s">
        <v>5123</v>
      </c>
    </row>
    <row r="817" spans="1:7">
      <c r="A817" s="6">
        <v>42924</v>
      </c>
      <c r="B817" s="3" t="s">
        <v>4621</v>
      </c>
      <c r="C817" s="3" t="s">
        <v>18</v>
      </c>
      <c r="D817" s="8" t="str">
        <f>HYPERLINK("http://npthd.inbcu.com/ViewContent.aspx?filename=NPMR_FOX_2017-07-08_E.MP4$995$1698","FOX SPORTS SPECIALS:")</f>
        <v>FOX SPORTS SPECIALS:</v>
      </c>
      <c r="E817" s="3" t="s">
        <v>4978</v>
      </c>
      <c r="F817" s="3" t="s">
        <v>5123</v>
      </c>
      <c r="G817" s="3" t="s">
        <v>3122</v>
      </c>
    </row>
    <row r="818" spans="1:7">
      <c r="A818" s="6">
        <v>42924</v>
      </c>
      <c r="B818" s="3" t="s">
        <v>4621</v>
      </c>
      <c r="C818" s="3" t="s">
        <v>21</v>
      </c>
      <c r="D818" s="8" t="str">
        <f>HYPERLINK("http://npthd.inbcu.com/ViewContent.aspx?filename=NPMR_FOX_2017-07-08_E.MP4$1698$1833","COMMERCIAL")</f>
        <v>COMMERCIAL</v>
      </c>
      <c r="E818" s="3" t="s">
        <v>459</v>
      </c>
      <c r="F818" s="3" t="s">
        <v>3122</v>
      </c>
      <c r="G818" s="3" t="s">
        <v>5124</v>
      </c>
    </row>
    <row r="819" spans="1:7">
      <c r="A819" s="6">
        <v>42924</v>
      </c>
      <c r="B819" s="3" t="s">
        <v>4621</v>
      </c>
      <c r="C819" s="3" t="s">
        <v>18</v>
      </c>
      <c r="D819" s="8" t="str">
        <f>HYPERLINK("http://npthd.inbcu.com/ViewContent.aspx?filename=NPMR_FOX_2017-07-08_E.MP4$1833$2212","FOX SPORTS SPECIALS:")</f>
        <v>FOX SPORTS SPECIALS:</v>
      </c>
      <c r="E819" s="3" t="s">
        <v>1174</v>
      </c>
      <c r="F819" s="3" t="s">
        <v>5124</v>
      </c>
      <c r="G819" s="3" t="s">
        <v>5125</v>
      </c>
    </row>
    <row r="820" spans="1:7">
      <c r="A820" s="6">
        <v>42924</v>
      </c>
      <c r="B820" s="3" t="s">
        <v>4621</v>
      </c>
      <c r="C820" s="3" t="s">
        <v>21</v>
      </c>
      <c r="D820" s="8" t="str">
        <f>HYPERLINK("http://npthd.inbcu.com/ViewContent.aspx?filename=NPMR_FOX_2017-07-08_E.MP4$2212$2346","COMMERCIAL")</f>
        <v>COMMERCIAL</v>
      </c>
      <c r="E820" s="3" t="s">
        <v>1397</v>
      </c>
      <c r="F820" s="3" t="s">
        <v>5125</v>
      </c>
      <c r="G820" s="3" t="s">
        <v>5126</v>
      </c>
    </row>
    <row r="821" spans="1:7">
      <c r="A821" s="6">
        <v>42924</v>
      </c>
      <c r="B821" s="3" t="s">
        <v>4621</v>
      </c>
      <c r="C821" s="3" t="s">
        <v>18</v>
      </c>
      <c r="D821" s="8" t="str">
        <f>HYPERLINK("http://npthd.inbcu.com/ViewContent.aspx?filename=NPMR_FOX_2017-07-08_E.MP4$2346$2751","FOX SPORTS SPECIALS:")</f>
        <v>FOX SPORTS SPECIALS:</v>
      </c>
      <c r="E821" s="3" t="s">
        <v>1531</v>
      </c>
      <c r="F821" s="3" t="s">
        <v>5126</v>
      </c>
      <c r="G821" s="3" t="s">
        <v>5127</v>
      </c>
    </row>
    <row r="822" spans="1:7">
      <c r="A822" s="6">
        <v>42924</v>
      </c>
      <c r="B822" s="3" t="s">
        <v>4621</v>
      </c>
      <c r="C822" s="3" t="s">
        <v>21</v>
      </c>
      <c r="D822" s="8" t="str">
        <f>HYPERLINK("http://npthd.inbcu.com/ViewContent.aspx?filename=NPMR_FOX_2017-07-08_E.MP4$2751$2872","COMMERCIAL")</f>
        <v>COMMERCIAL</v>
      </c>
      <c r="E822" s="3" t="s">
        <v>175</v>
      </c>
      <c r="F822" s="3" t="s">
        <v>5127</v>
      </c>
      <c r="G822" s="3" t="s">
        <v>1780</v>
      </c>
    </row>
    <row r="823" spans="1:7">
      <c r="A823" s="6">
        <v>42924</v>
      </c>
      <c r="B823" s="3" t="s">
        <v>4621</v>
      </c>
      <c r="C823" s="3" t="s">
        <v>18</v>
      </c>
      <c r="D823" s="8" t="str">
        <f>HYPERLINK("http://npthd.inbcu.com/ViewContent.aspx?filename=NPMR_FOX_2017-07-08_E.MP4$2872$3141","FOX SPORTS SPECIALS:")</f>
        <v>FOX SPORTS SPECIALS:</v>
      </c>
      <c r="E823" s="3" t="s">
        <v>2217</v>
      </c>
      <c r="F823" s="3" t="s">
        <v>1780</v>
      </c>
      <c r="G823" s="3" t="s">
        <v>4730</v>
      </c>
    </row>
    <row r="824" spans="1:7">
      <c r="A824" s="6">
        <v>42924</v>
      </c>
      <c r="B824" s="3" t="s">
        <v>4621</v>
      </c>
      <c r="C824" s="3" t="s">
        <v>21</v>
      </c>
      <c r="D824" s="8" t="str">
        <f>HYPERLINK("http://npthd.inbcu.com/ViewContent.aspx?filename=NPMR_FOX_2017-07-08_E.MP4$3141$3262","COMMERCIAL")</f>
        <v>COMMERCIAL</v>
      </c>
      <c r="E824" s="3" t="s">
        <v>175</v>
      </c>
      <c r="F824" s="3" t="s">
        <v>4730</v>
      </c>
      <c r="G824" s="3" t="s">
        <v>5128</v>
      </c>
    </row>
    <row r="825" spans="1:7">
      <c r="A825" s="6">
        <v>42924</v>
      </c>
      <c r="B825" s="3" t="s">
        <v>4621</v>
      </c>
      <c r="C825" s="3" t="s">
        <v>18</v>
      </c>
      <c r="D825" s="8" t="str">
        <f>HYPERLINK("http://npthd.inbcu.com/ViewContent.aspx?filename=NPMR_FOX_2017-07-08_E.MP4$3262$3923","FOX SPORTS SPECIALS:")</f>
        <v>FOX SPORTS SPECIALS:</v>
      </c>
      <c r="E825" s="3" t="s">
        <v>5129</v>
      </c>
      <c r="F825" s="3" t="s">
        <v>5128</v>
      </c>
      <c r="G825" s="3" t="s">
        <v>5130</v>
      </c>
    </row>
    <row r="826" spans="1:7">
      <c r="A826" s="6">
        <v>42924</v>
      </c>
      <c r="B826" s="3" t="s">
        <v>4621</v>
      </c>
      <c r="C826" s="3" t="s">
        <v>21</v>
      </c>
      <c r="D826" s="8" t="str">
        <f>HYPERLINK("http://npthd.inbcu.com/ViewContent.aspx?filename=NPMR_FOX_2017-07-08_E.MP4$3923$4054","COMMERCIAL")</f>
        <v>COMMERCIAL</v>
      </c>
      <c r="E826" s="3" t="s">
        <v>4874</v>
      </c>
      <c r="F826" s="3" t="s">
        <v>5130</v>
      </c>
      <c r="G826" s="3" t="s">
        <v>2347</v>
      </c>
    </row>
    <row r="827" spans="1:7">
      <c r="A827" s="6">
        <v>42924</v>
      </c>
      <c r="B827" s="3" t="s">
        <v>4621</v>
      </c>
      <c r="C827" s="3" t="s">
        <v>18</v>
      </c>
      <c r="D827" s="8" t="str">
        <f>HYPERLINK("http://npthd.inbcu.com/ViewContent.aspx?filename=NPMR_FOX_2017-07-08_E.MP4$4054$4133","FOX SPORTS SPECIALS:")</f>
        <v>FOX SPORTS SPECIALS:</v>
      </c>
      <c r="E827" s="3" t="s">
        <v>1337</v>
      </c>
      <c r="F827" s="3" t="s">
        <v>2347</v>
      </c>
      <c r="G827" s="3" t="s">
        <v>5131</v>
      </c>
    </row>
    <row r="828" spans="1:7">
      <c r="A828" s="6">
        <v>42924</v>
      </c>
      <c r="B828" s="3" t="s">
        <v>4621</v>
      </c>
      <c r="C828" s="3" t="s">
        <v>21</v>
      </c>
      <c r="D828" s="8" t="str">
        <f>HYPERLINK("http://npthd.inbcu.com/ViewContent.aspx?filename=NPMR_FOX_2017-07-08_E.MP4$4133$4239","COMMERCIAL")</f>
        <v>COMMERCIAL</v>
      </c>
      <c r="E828" s="3" t="s">
        <v>293</v>
      </c>
      <c r="F828" s="3" t="s">
        <v>5131</v>
      </c>
      <c r="G828" s="3" t="s">
        <v>5132</v>
      </c>
    </row>
    <row r="829" spans="1:7">
      <c r="A829" s="6">
        <v>42924</v>
      </c>
      <c r="B829" s="3" t="s">
        <v>4621</v>
      </c>
      <c r="C829" s="3" t="s">
        <v>14</v>
      </c>
      <c r="D829" s="8" t="str">
        <f>HYPERLINK("http://npthd.inbcu.com/ViewContent.aspx?filename=NPMR_FOX_2017-07-08_E.MP4$4239$4269","MLB All Star Game")</f>
        <v>MLB All Star Game</v>
      </c>
      <c r="E829" s="3" t="s">
        <v>38</v>
      </c>
      <c r="F829" s="3" t="s">
        <v>5132</v>
      </c>
      <c r="G829" s="3" t="s">
        <v>4700</v>
      </c>
    </row>
    <row r="830" spans="1:7">
      <c r="A830" s="6">
        <v>42924</v>
      </c>
      <c r="B830" s="3" t="s">
        <v>4621</v>
      </c>
      <c r="C830" s="3" t="s">
        <v>18</v>
      </c>
      <c r="D830" s="8" t="str">
        <f>HYPERLINK("http://npthd.inbcu.com/ViewContent.aspx?filename=NPMR_FOX_2017-07-08_E.MP4$4269$4637","FOX SPORTS SPECIALS:")</f>
        <v>FOX SPORTS SPECIALS:</v>
      </c>
      <c r="E830" s="3" t="s">
        <v>1229</v>
      </c>
      <c r="F830" s="3" t="s">
        <v>4700</v>
      </c>
      <c r="G830" s="3" t="s">
        <v>4337</v>
      </c>
    </row>
    <row r="831" spans="1:7">
      <c r="A831" s="6">
        <v>42924</v>
      </c>
      <c r="B831" s="3" t="s">
        <v>4621</v>
      </c>
      <c r="C831" s="3" t="s">
        <v>14</v>
      </c>
      <c r="D831" s="8" t="str">
        <f>HYPERLINK("http://npthd.inbcu.com/ViewContent.aspx?filename=NPMR_FOX_2017-07-08_E.MP4$4637$4642","UFC Fight Night (FS1)")</f>
        <v>UFC Fight Night (FS1)</v>
      </c>
      <c r="E831" s="3" t="s">
        <v>54</v>
      </c>
      <c r="F831" s="3" t="s">
        <v>4337</v>
      </c>
      <c r="G831" s="3" t="s">
        <v>1962</v>
      </c>
    </row>
    <row r="832" spans="1:7">
      <c r="A832" s="6">
        <v>42924</v>
      </c>
      <c r="B832" s="3" t="s">
        <v>4621</v>
      </c>
      <c r="C832" s="3" t="s">
        <v>32</v>
      </c>
      <c r="D832" s="8" t="str">
        <f>HYPERLINK("http://npthd.inbcu.com/ViewContent.aspx?filename=NPMR_FOX_2017-07-08_E.MP4$4642$4769","LOCAL")</f>
        <v>LOCAL</v>
      </c>
      <c r="E832" s="3" t="s">
        <v>5133</v>
      </c>
      <c r="F832" s="3" t="s">
        <v>1962</v>
      </c>
      <c r="G832" s="3" t="s">
        <v>5134</v>
      </c>
    </row>
    <row r="833" spans="1:7">
      <c r="A833" s="6">
        <v>42924</v>
      </c>
      <c r="B833" s="3" t="s">
        <v>4621</v>
      </c>
      <c r="C833" s="3" t="s">
        <v>18</v>
      </c>
      <c r="D833" s="8" t="str">
        <f>HYPERLINK("http://npthd.inbcu.com/ViewContent.aspx?filename=NPMR_FOX_2017-07-08_E.MP4$4769$5079","FOX SPORTS SPECIALS:")</f>
        <v>FOX SPORTS SPECIALS:</v>
      </c>
      <c r="E833" s="3" t="s">
        <v>5135</v>
      </c>
      <c r="F833" s="3" t="s">
        <v>5134</v>
      </c>
      <c r="G833" s="3" t="s">
        <v>4403</v>
      </c>
    </row>
    <row r="834" spans="1:7">
      <c r="A834" s="6">
        <v>42924</v>
      </c>
      <c r="B834" s="3" t="s">
        <v>4621</v>
      </c>
      <c r="C834" s="3" t="s">
        <v>21</v>
      </c>
      <c r="D834" s="8" t="str">
        <f>HYPERLINK("http://npthd.inbcu.com/ViewContent.aspx?filename=NPMR_FOX_2017-07-08_E.MP4$5079$5170","COMMERCIAL")</f>
        <v>COMMERCIAL</v>
      </c>
      <c r="E834" s="3" t="s">
        <v>77</v>
      </c>
      <c r="F834" s="3" t="s">
        <v>4403</v>
      </c>
      <c r="G834" s="3" t="s">
        <v>5136</v>
      </c>
    </row>
    <row r="835" spans="1:7">
      <c r="A835" s="6">
        <v>42924</v>
      </c>
      <c r="B835" s="3" t="s">
        <v>4621</v>
      </c>
      <c r="C835" s="3" t="s">
        <v>14</v>
      </c>
      <c r="D835" s="8" t="str">
        <f>HYPERLINK("http://npthd.inbcu.com/ViewContent.aspx?filename=NPMR_FOX_2017-07-08_E.MP4$5170$5200","MLB Home Run Derby (ESPN)")</f>
        <v>MLB Home Run Derby (ESPN)</v>
      </c>
      <c r="E835" s="3" t="s">
        <v>38</v>
      </c>
      <c r="F835" s="3" t="s">
        <v>5136</v>
      </c>
      <c r="G835" s="3" t="s">
        <v>5137</v>
      </c>
    </row>
    <row r="836" spans="1:7">
      <c r="A836" s="6">
        <v>42924</v>
      </c>
      <c r="B836" s="3" t="s">
        <v>4621</v>
      </c>
      <c r="C836" s="3" t="s">
        <v>18</v>
      </c>
      <c r="D836" s="8" t="str">
        <f>HYPERLINK("http://npthd.inbcu.com/ViewContent.aspx?filename=NPMR_FOX_2017-07-08_E.MP4$5200$5263","FOX SPORTS SPECIALS:")</f>
        <v>FOX SPORTS SPECIALS:</v>
      </c>
      <c r="E836" s="3" t="s">
        <v>1344</v>
      </c>
      <c r="F836" s="3" t="s">
        <v>5137</v>
      </c>
      <c r="G836" s="3" t="s">
        <v>5138</v>
      </c>
    </row>
    <row r="837" spans="1:7">
      <c r="A837" s="6">
        <v>42924</v>
      </c>
      <c r="B837" s="3" t="s">
        <v>4621</v>
      </c>
      <c r="C837" s="3" t="s">
        <v>21</v>
      </c>
      <c r="D837" s="8" t="str">
        <f>HYPERLINK("http://npthd.inbcu.com/ViewContent.aspx?filename=NPMR_FOX_2017-07-08_E.MP4$5263$5383","COMMERCIAL")</f>
        <v>COMMERCIAL</v>
      </c>
      <c r="E837" s="3" t="s">
        <v>43</v>
      </c>
      <c r="F837" s="3" t="s">
        <v>5138</v>
      </c>
      <c r="G837" s="3" t="s">
        <v>5139</v>
      </c>
    </row>
    <row r="838" spans="1:7">
      <c r="A838" s="6">
        <v>42924</v>
      </c>
      <c r="B838" s="3" t="s">
        <v>4621</v>
      </c>
      <c r="C838" s="3" t="s">
        <v>18</v>
      </c>
      <c r="D838" s="8" t="str">
        <f>HYPERLINK("http://npthd.inbcu.com/ViewContent.aspx?filename=NPMR_FOX_2017-07-08_E.MP4$5383$5702","FOX SPORTS SPECIALS:")</f>
        <v>FOX SPORTS SPECIALS:</v>
      </c>
      <c r="E838" s="3" t="s">
        <v>592</v>
      </c>
      <c r="F838" s="3" t="s">
        <v>5139</v>
      </c>
      <c r="G838" s="3" t="s">
        <v>4563</v>
      </c>
    </row>
    <row r="839" spans="1:7">
      <c r="A839" s="6">
        <v>42924</v>
      </c>
      <c r="B839" s="3" t="s">
        <v>4621</v>
      </c>
      <c r="C839" s="3" t="s">
        <v>21</v>
      </c>
      <c r="D839" s="8" t="str">
        <f>HYPERLINK("http://npthd.inbcu.com/ViewContent.aspx?filename=NPMR_FOX_2017-07-08_E.MP4$5702$5821","COMMERCIAL")</f>
        <v>COMMERCIAL</v>
      </c>
      <c r="E839" s="3" t="s">
        <v>119</v>
      </c>
      <c r="F839" s="3" t="s">
        <v>4563</v>
      </c>
      <c r="G839" s="3" t="s">
        <v>5140</v>
      </c>
    </row>
    <row r="840" spans="1:7">
      <c r="A840" s="6">
        <v>42924</v>
      </c>
      <c r="B840" s="3" t="s">
        <v>4621</v>
      </c>
      <c r="C840" s="3" t="s">
        <v>18</v>
      </c>
      <c r="D840" s="8" t="str">
        <f>HYPERLINK("http://npthd.inbcu.com/ViewContent.aspx?filename=NPMR_FOX_2017-07-08_E.MP4$5821$5890","FOX SPORTS SPECIALS:")</f>
        <v>FOX SPORTS SPECIALS:</v>
      </c>
      <c r="E840" s="3" t="s">
        <v>2447</v>
      </c>
      <c r="F840" s="3" t="s">
        <v>5140</v>
      </c>
      <c r="G840" s="3" t="s">
        <v>5141</v>
      </c>
    </row>
    <row r="841" spans="1:7">
      <c r="A841" s="6">
        <v>42924</v>
      </c>
      <c r="B841" s="3" t="s">
        <v>4621</v>
      </c>
      <c r="C841" s="3" t="s">
        <v>21</v>
      </c>
      <c r="D841" s="8" t="str">
        <f>HYPERLINK("http://npthd.inbcu.com/ViewContent.aspx?filename=NPMR_FOX_2017-07-08_E.MP4$5890$6025","COMMERCIAL")</f>
        <v>COMMERCIAL</v>
      </c>
      <c r="E841" s="3" t="s">
        <v>459</v>
      </c>
      <c r="F841" s="3" t="s">
        <v>5141</v>
      </c>
      <c r="G841" s="3" t="s">
        <v>5142</v>
      </c>
    </row>
    <row r="842" spans="1:7">
      <c r="A842" s="6">
        <v>42924</v>
      </c>
      <c r="B842" s="3" t="s">
        <v>4621</v>
      </c>
      <c r="C842" s="3" t="s">
        <v>18</v>
      </c>
      <c r="D842" s="8" t="str">
        <f>HYPERLINK("http://npthd.inbcu.com/ViewContent.aspx?filename=NPMR_FOX_2017-07-08_E.MP4$6025$6345","FOX SPORTS SPECIALS:")</f>
        <v>FOX SPORTS SPECIALS:</v>
      </c>
      <c r="E842" s="3" t="s">
        <v>3958</v>
      </c>
      <c r="F842" s="3" t="s">
        <v>5142</v>
      </c>
      <c r="G842" s="3" t="s">
        <v>2422</v>
      </c>
    </row>
    <row r="843" spans="1:7">
      <c r="A843" s="6">
        <v>42924</v>
      </c>
      <c r="B843" s="3" t="s">
        <v>4621</v>
      </c>
      <c r="C843" s="3" t="s">
        <v>21</v>
      </c>
      <c r="D843" s="8" t="str">
        <f>HYPERLINK("http://npthd.inbcu.com/ViewContent.aspx?filename=NPMR_FOX_2017-07-08_E.MP4$6345$6465","COMMERCIAL")</f>
        <v>COMMERCIAL</v>
      </c>
      <c r="E843" s="3" t="s">
        <v>43</v>
      </c>
      <c r="F843" s="3" t="s">
        <v>2422</v>
      </c>
      <c r="G843" s="3" t="s">
        <v>2721</v>
      </c>
    </row>
    <row r="844" spans="1:7">
      <c r="A844" s="6">
        <v>42924</v>
      </c>
      <c r="B844" s="3" t="s">
        <v>4621</v>
      </c>
      <c r="C844" s="3" t="s">
        <v>18</v>
      </c>
      <c r="D844" s="8" t="str">
        <f>HYPERLINK("http://npthd.inbcu.com/ViewContent.aspx?filename=NPMR_FOX_2017-07-08_E.MP4$6465$6936","FOX SPORTS SPECIALS:")</f>
        <v>FOX SPORTS SPECIALS:</v>
      </c>
      <c r="E844" s="3" t="s">
        <v>795</v>
      </c>
      <c r="F844" s="3" t="s">
        <v>2721</v>
      </c>
      <c r="G844" s="3" t="s">
        <v>4645</v>
      </c>
    </row>
    <row r="845" spans="1:7">
      <c r="A845" s="6">
        <v>42924</v>
      </c>
      <c r="B845" s="3" t="s">
        <v>4621</v>
      </c>
      <c r="C845" s="3" t="s">
        <v>21</v>
      </c>
      <c r="D845" s="8" t="str">
        <f>HYPERLINK("http://npthd.inbcu.com/ViewContent.aspx?filename=NPMR_FOX_2017-07-08_E.MP4$6936$7057","COMMERCIAL")</f>
        <v>COMMERCIAL</v>
      </c>
      <c r="E845" s="3" t="s">
        <v>175</v>
      </c>
      <c r="F845" s="3" t="s">
        <v>4645</v>
      </c>
      <c r="G845" s="3" t="s">
        <v>5143</v>
      </c>
    </row>
    <row r="846" spans="1:7">
      <c r="A846" s="6">
        <v>42924</v>
      </c>
      <c r="B846" s="3" t="s">
        <v>4621</v>
      </c>
      <c r="C846" s="3" t="s">
        <v>18</v>
      </c>
      <c r="D846" s="8" t="str">
        <f>HYPERLINK("http://npthd.inbcu.com/ViewContent.aspx?filename=NPMR_FOX_2017-07-08_E.MP4$7057$7267","FOX SPORTS SPECIALS:")</f>
        <v>FOX SPORTS SPECIALS:</v>
      </c>
      <c r="E846" s="3" t="s">
        <v>150</v>
      </c>
      <c r="F846" s="3" t="s">
        <v>5143</v>
      </c>
      <c r="G846" s="3" t="s">
        <v>394</v>
      </c>
    </row>
    <row r="847" spans="1:7">
      <c r="A847" s="6">
        <v>42925</v>
      </c>
      <c r="B847" s="3" t="s">
        <v>4621</v>
      </c>
      <c r="C847" s="3" t="s">
        <v>18</v>
      </c>
      <c r="D847" s="8" t="str">
        <f>HYPERLINK("http://npthd.inbcu.com/ViewContent.aspx?filename=NPMR_FOX_2017-07-09_E.MP4$103$428","BOBS BURGERS: into the mild")</f>
        <v>BOBS BURGERS: into the mild</v>
      </c>
      <c r="E847" s="3" t="s">
        <v>609</v>
      </c>
      <c r="F847" s="3" t="s">
        <v>311</v>
      </c>
      <c r="G847" s="3" t="s">
        <v>5144</v>
      </c>
    </row>
    <row r="848" spans="1:7">
      <c r="A848" s="6">
        <v>42925</v>
      </c>
      <c r="B848" s="3" t="s">
        <v>4621</v>
      </c>
      <c r="C848" s="3" t="s">
        <v>21</v>
      </c>
      <c r="D848" s="8" t="str">
        <f>HYPERLINK("http://npthd.inbcu.com/ViewContent.aspx?filename=NPMR_FOX_2017-07-09_E.MP4$428$554","COMMERCIAL")</f>
        <v>COMMERCIAL</v>
      </c>
      <c r="E848" s="3" t="s">
        <v>2828</v>
      </c>
      <c r="F848" s="3" t="s">
        <v>5144</v>
      </c>
      <c r="G848" s="3" t="s">
        <v>5145</v>
      </c>
    </row>
    <row r="849" spans="1:7">
      <c r="A849" s="6">
        <v>42925</v>
      </c>
      <c r="B849" s="3" t="s">
        <v>4621</v>
      </c>
      <c r="C849" s="3" t="s">
        <v>14</v>
      </c>
      <c r="D849" s="8" t="str">
        <f>HYPERLINK("http://npthd.inbcu.com/ViewContent.aspx?filename=NPMR_FOX_2017-07-09_E.MP4$554$574","Orville, The")</f>
        <v>Orville, The</v>
      </c>
      <c r="E849" s="3" t="s">
        <v>1805</v>
      </c>
      <c r="F849" s="3" t="s">
        <v>5145</v>
      </c>
      <c r="G849" s="3" t="s">
        <v>5146</v>
      </c>
    </row>
    <row r="850" spans="1:7">
      <c r="A850" s="6">
        <v>42925</v>
      </c>
      <c r="B850" s="3" t="s">
        <v>4621</v>
      </c>
      <c r="C850" s="3" t="s">
        <v>18</v>
      </c>
      <c r="D850" s="8" t="str">
        <f>HYPERLINK("http://npthd.inbcu.com/ViewContent.aspx?filename=NPMR_FOX_2017-07-09_E.MP4$574$921","BOBS BURGERS: into the mild")</f>
        <v>BOBS BURGERS: into the mild</v>
      </c>
      <c r="E850" s="3" t="s">
        <v>713</v>
      </c>
      <c r="F850" s="3" t="s">
        <v>5146</v>
      </c>
      <c r="G850" s="3" t="s">
        <v>5147</v>
      </c>
    </row>
    <row r="851" spans="1:7">
      <c r="A851" s="6">
        <v>42925</v>
      </c>
      <c r="B851" s="3" t="s">
        <v>4621</v>
      </c>
      <c r="C851" s="3" t="s">
        <v>21</v>
      </c>
      <c r="D851" s="8" t="str">
        <f>HYPERLINK("http://npthd.inbcu.com/ViewContent.aspx?filename=NPMR_FOX_2017-07-09_E.MP4$921$1132","COMMERCIAL")</f>
        <v>COMMERCIAL</v>
      </c>
      <c r="E851" s="3" t="s">
        <v>334</v>
      </c>
      <c r="F851" s="3" t="s">
        <v>5147</v>
      </c>
      <c r="G851" s="3" t="s">
        <v>5148</v>
      </c>
    </row>
    <row r="852" spans="1:7">
      <c r="A852" s="6">
        <v>42925</v>
      </c>
      <c r="B852" s="3" t="s">
        <v>4621</v>
      </c>
      <c r="C852" s="3" t="s">
        <v>14</v>
      </c>
      <c r="D852" s="8" t="str">
        <f>HYPERLINK("http://npthd.inbcu.com/ViewContent.aspx?filename=NPMR_FOX_2017-07-09_E.MP4$1132$1149","Earth Live (Nat Geo)")</f>
        <v>Earth Live (Nat Geo)</v>
      </c>
      <c r="E852" s="3" t="s">
        <v>576</v>
      </c>
      <c r="F852" s="3" t="s">
        <v>5148</v>
      </c>
      <c r="G852" s="3" t="s">
        <v>5149</v>
      </c>
    </row>
    <row r="853" spans="1:7">
      <c r="A853" s="6">
        <v>42925</v>
      </c>
      <c r="B853" s="3" t="s">
        <v>4621</v>
      </c>
      <c r="C853" s="3" t="s">
        <v>18</v>
      </c>
      <c r="D853" s="8" t="str">
        <f>HYPERLINK("http://npthd.inbcu.com/ViewContent.aspx?filename=NPMR_FOX_2017-07-09_E.MP4$1149$1419","BOBS BURGERS: into the mild")</f>
        <v>BOBS BURGERS: into the mild</v>
      </c>
      <c r="E853" s="3" t="s">
        <v>35</v>
      </c>
      <c r="F853" s="3" t="s">
        <v>5149</v>
      </c>
      <c r="G853" s="3" t="s">
        <v>5150</v>
      </c>
    </row>
    <row r="854" spans="1:7">
      <c r="A854" s="6">
        <v>42925</v>
      </c>
      <c r="B854" s="3" t="s">
        <v>4621</v>
      </c>
      <c r="C854" s="3" t="s">
        <v>21</v>
      </c>
      <c r="D854" s="8" t="str">
        <f>HYPERLINK("http://npthd.inbcu.com/ViewContent.aspx?filename=NPMR_FOX_2017-07-09_E.MP4$1419$1539","COMMERCIAL")</f>
        <v>COMMERCIAL</v>
      </c>
      <c r="E854" s="3" t="s">
        <v>43</v>
      </c>
      <c r="F854" s="3" t="s">
        <v>5150</v>
      </c>
      <c r="G854" s="3" t="s">
        <v>5151</v>
      </c>
    </row>
    <row r="855" spans="1:7">
      <c r="A855" s="6">
        <v>42925</v>
      </c>
      <c r="B855" s="3" t="s">
        <v>4621</v>
      </c>
      <c r="C855" s="3" t="s">
        <v>14</v>
      </c>
      <c r="D855" s="8" t="str">
        <f>HYPERLINK("http://npthd.inbcu.com/ViewContent.aspx?filename=NPMR_FOX_2017-07-09_E.MP4$1539$1555","Ghosted")</f>
        <v>Ghosted</v>
      </c>
      <c r="E855" s="3" t="s">
        <v>64</v>
      </c>
      <c r="F855" s="3" t="s">
        <v>5151</v>
      </c>
      <c r="G855" s="3" t="s">
        <v>5152</v>
      </c>
    </row>
    <row r="856" spans="1:7">
      <c r="A856" s="6">
        <v>42925</v>
      </c>
      <c r="B856" s="3" t="s">
        <v>4621</v>
      </c>
      <c r="C856" s="3" t="s">
        <v>32</v>
      </c>
      <c r="D856" s="8" t="str">
        <f>HYPERLINK("http://npthd.inbcu.com/ViewContent.aspx?filename=NPMR_FOX_2017-07-09_E.MP4$1555$1566","LOCAL")</f>
        <v>LOCAL</v>
      </c>
      <c r="E856" s="3" t="s">
        <v>1940</v>
      </c>
      <c r="F856" s="3" t="s">
        <v>5152</v>
      </c>
      <c r="G856" s="3" t="s">
        <v>5153</v>
      </c>
    </row>
    <row r="857" spans="1:7">
      <c r="A857" s="6">
        <v>42925</v>
      </c>
      <c r="B857" s="3" t="s">
        <v>4621</v>
      </c>
      <c r="C857" s="3" t="s">
        <v>18</v>
      </c>
      <c r="D857" s="8" t="str">
        <f>HYPERLINK("http://npthd.inbcu.com/ViewContent.aspx?filename=NPMR_FOX_2017-07-09_E.MP4$1566$1915","BOBS BURGERS: into the mild")</f>
        <v>BOBS BURGERS: into the mild</v>
      </c>
      <c r="E857" s="3" t="s">
        <v>4933</v>
      </c>
      <c r="F857" s="3" t="s">
        <v>5153</v>
      </c>
      <c r="G857" s="3" t="s">
        <v>5154</v>
      </c>
    </row>
    <row r="858" spans="1:7">
      <c r="A858" s="6">
        <v>42925</v>
      </c>
      <c r="B858" s="3" t="s">
        <v>4621</v>
      </c>
      <c r="C858" s="3" t="s">
        <v>18</v>
      </c>
      <c r="D858" s="8" t="str">
        <f>HYPERLINK("http://npthd.inbcu.com/ViewContent.aspx?filename=NPMR_FOX_2017-07-09_E.MP4$1915$2310","BOBS BURGERS: sea me now")</f>
        <v>BOBS BURGERS: sea me now</v>
      </c>
      <c r="E858" s="3" t="s">
        <v>1655</v>
      </c>
      <c r="F858" s="3" t="s">
        <v>5154</v>
      </c>
      <c r="G858" s="3" t="s">
        <v>5155</v>
      </c>
    </row>
    <row r="859" spans="1:7">
      <c r="A859" s="6">
        <v>42925</v>
      </c>
      <c r="B859" s="3" t="s">
        <v>4621</v>
      </c>
      <c r="C859" s="3" t="s">
        <v>21</v>
      </c>
      <c r="D859" s="8" t="str">
        <f>HYPERLINK("http://npthd.inbcu.com/ViewContent.aspx?filename=NPMR_FOX_2017-07-09_E.MP4$2310$2416","COMMERCIAL")</f>
        <v>COMMERCIAL</v>
      </c>
      <c r="E859" s="3" t="s">
        <v>293</v>
      </c>
      <c r="F859" s="3" t="s">
        <v>5155</v>
      </c>
      <c r="G859" s="3" t="s">
        <v>5156</v>
      </c>
    </row>
    <row r="860" spans="1:7">
      <c r="A860" s="6">
        <v>42925</v>
      </c>
      <c r="B860" s="3" t="s">
        <v>4621</v>
      </c>
      <c r="C860" s="3" t="s">
        <v>14</v>
      </c>
      <c r="D860" s="8" t="str">
        <f>HYPERLINK("http://npthd.inbcu.com/ViewContent.aspx?filename=NPMR_FOX_2017-07-09_E.MP4$2416$2436","Orville, The")</f>
        <v>Orville, The</v>
      </c>
      <c r="E860" s="3" t="s">
        <v>1805</v>
      </c>
      <c r="F860" s="3" t="s">
        <v>5156</v>
      </c>
      <c r="G860" s="3" t="s">
        <v>5157</v>
      </c>
    </row>
    <row r="861" spans="1:7">
      <c r="A861" s="6">
        <v>42925</v>
      </c>
      <c r="B861" s="3" t="s">
        <v>4621</v>
      </c>
      <c r="C861" s="3" t="s">
        <v>18</v>
      </c>
      <c r="D861" s="8" t="str">
        <f>HYPERLINK("http://npthd.inbcu.com/ViewContent.aspx?filename=NPMR_FOX_2017-07-09_E.MP4$2436$2703","BOBS BURGERS: sea me now")</f>
        <v>BOBS BURGERS: sea me now</v>
      </c>
      <c r="E861" s="3" t="s">
        <v>4245</v>
      </c>
      <c r="F861" s="3" t="s">
        <v>5157</v>
      </c>
      <c r="G861" s="3" t="s">
        <v>5158</v>
      </c>
    </row>
    <row r="862" spans="1:7">
      <c r="A862" s="6">
        <v>42925</v>
      </c>
      <c r="B862" s="3" t="s">
        <v>4621</v>
      </c>
      <c r="C862" s="3" t="s">
        <v>21</v>
      </c>
      <c r="D862" s="8" t="str">
        <f>HYPERLINK("http://npthd.inbcu.com/ViewContent.aspx?filename=NPMR_FOX_2017-07-09_E.MP4$2703$2778","COMMERCIAL")</f>
        <v>COMMERCIAL</v>
      </c>
      <c r="E862" s="3" t="s">
        <v>531</v>
      </c>
      <c r="F862" s="3" t="s">
        <v>5158</v>
      </c>
      <c r="G862" s="3" t="s">
        <v>5159</v>
      </c>
    </row>
    <row r="863" spans="1:7">
      <c r="A863" s="6">
        <v>42925</v>
      </c>
      <c r="B863" s="3" t="s">
        <v>4621</v>
      </c>
      <c r="C863" s="3" t="s">
        <v>14</v>
      </c>
      <c r="D863" s="8" t="str">
        <f>HYPERLINK("http://npthd.inbcu.com/ViewContent.aspx?filename=NPMR_FOX_2017-07-09_E.MP4$2778$2794","Strain (FX)")</f>
        <v>Strain (FX)</v>
      </c>
      <c r="E863" s="3" t="s">
        <v>64</v>
      </c>
      <c r="F863" s="3" t="s">
        <v>5159</v>
      </c>
      <c r="G863" s="3" t="s">
        <v>5160</v>
      </c>
    </row>
    <row r="864" spans="1:7">
      <c r="A864" s="6">
        <v>42925</v>
      </c>
      <c r="B864" s="3" t="s">
        <v>4621</v>
      </c>
      <c r="C864" s="3" t="s">
        <v>32</v>
      </c>
      <c r="D864" s="8" t="str">
        <f>HYPERLINK("http://npthd.inbcu.com/ViewContent.aspx?filename=NPMR_FOX_2017-07-09_E.MP4$2794$2854","LOCAL")</f>
        <v>LOCAL</v>
      </c>
      <c r="E864" s="3" t="s">
        <v>66</v>
      </c>
      <c r="F864" s="3" t="s">
        <v>5160</v>
      </c>
      <c r="G864" s="3" t="s">
        <v>5161</v>
      </c>
    </row>
    <row r="865" spans="1:7">
      <c r="A865" s="6">
        <v>42925</v>
      </c>
      <c r="B865" s="3" t="s">
        <v>4621</v>
      </c>
      <c r="C865" s="3" t="s">
        <v>14</v>
      </c>
      <c r="D865" s="8" t="str">
        <f>HYPERLINK("http://npthd.inbcu.com/ViewContent.aspx?filename=NPMR_FOX_2017-07-09_E.MP4$2854$2871","Ghosted")</f>
        <v>Ghosted</v>
      </c>
      <c r="E865" s="3" t="s">
        <v>576</v>
      </c>
      <c r="F865" s="3" t="s">
        <v>5161</v>
      </c>
      <c r="G865" s="3" t="s">
        <v>5162</v>
      </c>
    </row>
    <row r="866" spans="1:7">
      <c r="A866" s="6">
        <v>42925</v>
      </c>
      <c r="B866" s="3" t="s">
        <v>4621</v>
      </c>
      <c r="C866" s="3" t="s">
        <v>18</v>
      </c>
      <c r="D866" s="8" t="str">
        <f>HYPERLINK("http://npthd.inbcu.com/ViewContent.aspx?filename=NPMR_FOX_2017-07-09_E.MP4$2871$3128","BOBS BURGERS: sea me now")</f>
        <v>BOBS BURGERS: sea me now</v>
      </c>
      <c r="E866" s="3" t="s">
        <v>5090</v>
      </c>
      <c r="F866" s="3" t="s">
        <v>5162</v>
      </c>
      <c r="G866" s="3" t="s">
        <v>333</v>
      </c>
    </row>
    <row r="867" spans="1:7">
      <c r="A867" s="6">
        <v>42925</v>
      </c>
      <c r="B867" s="3" t="s">
        <v>4621</v>
      </c>
      <c r="C867" s="3" t="s">
        <v>21</v>
      </c>
      <c r="D867" s="8" t="str">
        <f>HYPERLINK("http://npthd.inbcu.com/ViewContent.aspx?filename=NPMR_FOX_2017-07-09_E.MP4$3128$3219","COMMERCIAL")</f>
        <v>COMMERCIAL</v>
      </c>
      <c r="E867" s="3" t="s">
        <v>77</v>
      </c>
      <c r="F867" s="3" t="s">
        <v>333</v>
      </c>
      <c r="G867" s="3" t="s">
        <v>5163</v>
      </c>
    </row>
    <row r="868" spans="1:7">
      <c r="A868" s="6">
        <v>42925</v>
      </c>
      <c r="B868" s="3" t="s">
        <v>4621</v>
      </c>
      <c r="C868" s="3" t="s">
        <v>14</v>
      </c>
      <c r="D868" s="8" t="str">
        <f>HYPERLINK("http://npthd.inbcu.com/ViewContent.aspx?filename=NPMR_FOX_2017-07-09_E.MP4$3219$3249","Earth Live (Nat Geo)")</f>
        <v>Earth Live (Nat Geo)</v>
      </c>
      <c r="E868" s="3" t="s">
        <v>38</v>
      </c>
      <c r="F868" s="3" t="s">
        <v>5163</v>
      </c>
      <c r="G868" s="3" t="s">
        <v>5164</v>
      </c>
    </row>
    <row r="869" spans="1:7">
      <c r="A869" s="6">
        <v>42925</v>
      </c>
      <c r="B869" s="3" t="s">
        <v>4621</v>
      </c>
      <c r="C869" s="3" t="s">
        <v>18</v>
      </c>
      <c r="D869" s="8" t="str">
        <f>HYPERLINK("http://npthd.inbcu.com/ViewContent.aspx?filename=NPMR_FOX_2017-07-09_E.MP4$3249$3616","BOBS BURGERS: sea me now")</f>
        <v>BOBS BURGERS: sea me now</v>
      </c>
      <c r="E869" s="3" t="s">
        <v>3590</v>
      </c>
      <c r="F869" s="3" t="s">
        <v>5164</v>
      </c>
      <c r="G869" s="3" t="s">
        <v>5165</v>
      </c>
    </row>
    <row r="870" spans="1:7">
      <c r="A870" s="6">
        <v>42925</v>
      </c>
      <c r="B870" s="3" t="s">
        <v>4621</v>
      </c>
      <c r="C870" s="3" t="s">
        <v>32</v>
      </c>
      <c r="D870" s="8" t="str">
        <f>HYPERLINK("http://npthd.inbcu.com/ViewContent.aspx?filename=NPMR_FOX_2017-07-09_E.MP4$3616$3687","LOCAL")</f>
        <v>LOCAL</v>
      </c>
      <c r="E870" s="3" t="s">
        <v>5166</v>
      </c>
      <c r="F870" s="3" t="s">
        <v>5165</v>
      </c>
      <c r="G870" s="3" t="s">
        <v>5167</v>
      </c>
    </row>
    <row r="871" spans="1:7">
      <c r="A871" s="6">
        <v>42925</v>
      </c>
      <c r="B871" s="3" t="s">
        <v>4621</v>
      </c>
      <c r="C871" s="3" t="s">
        <v>18</v>
      </c>
      <c r="D871" s="8" t="str">
        <f>HYPERLINK("http://npthd.inbcu.com/ViewContent.aspx?filename=NPMR_FOX_2017-07-09_E.MP4$3687$4211","THE SIMPSONS: moho house")</f>
        <v>THE SIMPSONS: moho house</v>
      </c>
      <c r="E871" s="3" t="s">
        <v>1139</v>
      </c>
      <c r="F871" s="3" t="s">
        <v>5167</v>
      </c>
      <c r="G871" s="3" t="s">
        <v>5168</v>
      </c>
    </row>
    <row r="872" spans="1:7">
      <c r="A872" s="6">
        <v>42925</v>
      </c>
      <c r="B872" s="3" t="s">
        <v>4621</v>
      </c>
      <c r="C872" s="3" t="s">
        <v>21</v>
      </c>
      <c r="D872" s="8" t="str">
        <f>HYPERLINK("http://npthd.inbcu.com/ViewContent.aspx?filename=NPMR_FOX_2017-07-09_E.MP4$4211$4332","COMMERCIAL")</f>
        <v>COMMERCIAL</v>
      </c>
      <c r="E872" s="3" t="s">
        <v>175</v>
      </c>
      <c r="F872" s="3" t="s">
        <v>5168</v>
      </c>
      <c r="G872" s="3" t="s">
        <v>5169</v>
      </c>
    </row>
    <row r="873" spans="1:7">
      <c r="A873" s="6">
        <v>42925</v>
      </c>
      <c r="B873" s="3" t="s">
        <v>4621</v>
      </c>
      <c r="C873" s="3" t="s">
        <v>14</v>
      </c>
      <c r="D873" s="8" t="str">
        <f>HYPERLINK("http://npthd.inbcu.com/ViewContent.aspx?filename=NPMR_FOX_2017-07-09_E.MP4$4332$4352","Orville, The")</f>
        <v>Orville, The</v>
      </c>
      <c r="E873" s="3" t="s">
        <v>1805</v>
      </c>
      <c r="F873" s="3" t="s">
        <v>5169</v>
      </c>
      <c r="G873" s="3" t="s">
        <v>5170</v>
      </c>
    </row>
    <row r="874" spans="1:7">
      <c r="A874" s="6">
        <v>42925</v>
      </c>
      <c r="B874" s="3" t="s">
        <v>4621</v>
      </c>
      <c r="C874" s="3" t="s">
        <v>18</v>
      </c>
      <c r="D874" s="8" t="str">
        <f>HYPERLINK("http://npthd.inbcu.com/ViewContent.aspx?filename=NPMR_FOX_2017-07-09_E.MP4$4352$4728","THE SIMPSONS: moho house")</f>
        <v>THE SIMPSONS: moho house</v>
      </c>
      <c r="E874" s="3" t="s">
        <v>79</v>
      </c>
      <c r="F874" s="3" t="s">
        <v>5170</v>
      </c>
      <c r="G874" s="3" t="s">
        <v>2132</v>
      </c>
    </row>
    <row r="875" spans="1:7">
      <c r="A875" s="6">
        <v>42925</v>
      </c>
      <c r="B875" s="3" t="s">
        <v>4621</v>
      </c>
      <c r="C875" s="3" t="s">
        <v>21</v>
      </c>
      <c r="D875" s="8" t="str">
        <f>HYPERLINK("http://npthd.inbcu.com/ViewContent.aspx?filename=NPMR_FOX_2017-07-09_E.MP4$4728$4834","COMMERCIAL")</f>
        <v>COMMERCIAL</v>
      </c>
      <c r="E875" s="3" t="s">
        <v>293</v>
      </c>
      <c r="F875" s="3" t="s">
        <v>2132</v>
      </c>
      <c r="G875" s="3" t="s">
        <v>5171</v>
      </c>
    </row>
    <row r="876" spans="1:7">
      <c r="A876" s="6">
        <v>42925</v>
      </c>
      <c r="B876" s="3" t="s">
        <v>4621</v>
      </c>
      <c r="C876" s="3" t="s">
        <v>14</v>
      </c>
      <c r="D876" s="8" t="str">
        <f>HYPERLINK("http://npthd.inbcu.com/ViewContent.aspx?filename=NPMR_FOX_2017-07-09_E.MP4$4834$4848","MLB All Star Game")</f>
        <v>MLB All Star Game</v>
      </c>
      <c r="E876" s="3" t="s">
        <v>342</v>
      </c>
      <c r="F876" s="3" t="s">
        <v>5171</v>
      </c>
      <c r="G876" s="3" t="s">
        <v>5172</v>
      </c>
    </row>
    <row r="877" spans="1:7">
      <c r="A877" s="6">
        <v>42925</v>
      </c>
      <c r="B877" s="3" t="s">
        <v>4621</v>
      </c>
      <c r="C877" s="3" t="s">
        <v>32</v>
      </c>
      <c r="D877" s="8" t="str">
        <f>HYPERLINK("http://npthd.inbcu.com/ViewContent.aspx?filename=NPMR_FOX_2017-07-09_E.MP4$4848$4959","LOCAL")</f>
        <v>LOCAL</v>
      </c>
      <c r="E877" s="3" t="s">
        <v>2656</v>
      </c>
      <c r="F877" s="3" t="s">
        <v>5172</v>
      </c>
      <c r="G877" s="3" t="s">
        <v>430</v>
      </c>
    </row>
    <row r="878" spans="1:7">
      <c r="A878" s="6">
        <v>42925</v>
      </c>
      <c r="B878" s="3" t="s">
        <v>4621</v>
      </c>
      <c r="C878" s="3" t="s">
        <v>18</v>
      </c>
      <c r="D878" s="8" t="str">
        <f>HYPERLINK("http://npthd.inbcu.com/ViewContent.aspx?filename=NPMR_FOX_2017-07-09_E.MP4$4959$5282","THE SIMPSONS: moho house")</f>
        <v>THE SIMPSONS: moho house</v>
      </c>
      <c r="E878" s="3" t="s">
        <v>544</v>
      </c>
      <c r="F878" s="3" t="s">
        <v>430</v>
      </c>
      <c r="G878" s="3" t="s">
        <v>615</v>
      </c>
    </row>
    <row r="879" spans="1:7">
      <c r="A879" s="6">
        <v>42925</v>
      </c>
      <c r="B879" s="3" t="s">
        <v>4621</v>
      </c>
      <c r="C879" s="3" t="s">
        <v>21</v>
      </c>
      <c r="D879" s="8" t="str">
        <f>HYPERLINK("http://npthd.inbcu.com/ViewContent.aspx?filename=NPMR_FOX_2017-07-09_E.MP4$5282$5403","COMMERCIAL")</f>
        <v>COMMERCIAL</v>
      </c>
      <c r="E879" s="3" t="s">
        <v>175</v>
      </c>
      <c r="F879" s="3" t="s">
        <v>615</v>
      </c>
      <c r="G879" s="3" t="s">
        <v>5173</v>
      </c>
    </row>
    <row r="880" spans="1:7">
      <c r="A880" s="6">
        <v>42925</v>
      </c>
      <c r="B880" s="3" t="s">
        <v>4621</v>
      </c>
      <c r="C880" s="3" t="s">
        <v>14</v>
      </c>
      <c r="D880" s="8" t="str">
        <f>HYPERLINK("http://npthd.inbcu.com/ViewContent.aspx?filename=NPMR_FOX_2017-07-09_E.MP4$5403$5418","American Grit")</f>
        <v>American Grit</v>
      </c>
      <c r="E880" s="3" t="s">
        <v>30</v>
      </c>
      <c r="F880" s="3" t="s">
        <v>5173</v>
      </c>
      <c r="G880" s="3" t="s">
        <v>3003</v>
      </c>
    </row>
    <row r="881" spans="1:7">
      <c r="A881" s="6">
        <v>42925</v>
      </c>
      <c r="B881" s="3" t="s">
        <v>4621</v>
      </c>
      <c r="C881" s="3" t="s">
        <v>32</v>
      </c>
      <c r="D881" s="8" t="str">
        <f>HYPERLINK("http://npthd.inbcu.com/ViewContent.aspx?filename=NPMR_FOX_2017-07-09_E.MP4$5418$5424","LOCAL")</f>
        <v>LOCAL</v>
      </c>
      <c r="E881" s="3" t="s">
        <v>15</v>
      </c>
      <c r="F881" s="3" t="s">
        <v>3003</v>
      </c>
      <c r="G881" s="3" t="s">
        <v>5174</v>
      </c>
    </row>
    <row r="882" spans="1:7">
      <c r="A882" s="6">
        <v>42925</v>
      </c>
      <c r="B882" s="3" t="s">
        <v>4621</v>
      </c>
      <c r="C882" s="3" t="s">
        <v>14</v>
      </c>
      <c r="D882" s="8" t="str">
        <f>HYPERLINK("http://npthd.inbcu.com/ViewContent.aspx?filename=NPMR_FOX_2017-07-09_E.MP4$5424$5440","Ghosted")</f>
        <v>Ghosted</v>
      </c>
      <c r="E882" s="3" t="s">
        <v>64</v>
      </c>
      <c r="F882" s="3" t="s">
        <v>5174</v>
      </c>
      <c r="G882" s="3" t="s">
        <v>5175</v>
      </c>
    </row>
    <row r="883" spans="1:7">
      <c r="A883" s="6">
        <v>42925</v>
      </c>
      <c r="B883" s="3" t="s">
        <v>4621</v>
      </c>
      <c r="C883" s="3" t="s">
        <v>18</v>
      </c>
      <c r="D883" s="8" t="str">
        <f>HYPERLINK("http://npthd.inbcu.com/ViewContent.aspx?filename=NPMR_FOX_2017-07-09_E.MP4$5440$5510","THE SIMPSONS: moho house")</f>
        <v>THE SIMPSONS: moho house</v>
      </c>
      <c r="E883" s="3" t="s">
        <v>4926</v>
      </c>
      <c r="F883" s="3" t="s">
        <v>5175</v>
      </c>
      <c r="G883" s="3" t="s">
        <v>5176</v>
      </c>
    </row>
    <row r="884" spans="1:7">
      <c r="A884" s="6">
        <v>42925</v>
      </c>
      <c r="B884" s="3" t="s">
        <v>4621</v>
      </c>
      <c r="C884" s="3" t="s">
        <v>18</v>
      </c>
      <c r="D884" s="8" t="str">
        <f>HYPERLINK("http://npthd.inbcu.com/ViewContent.aspx?filename=NPMR_FOX_2017-07-09_E.MP4$5510$5944","FAMILY GUY: the finer strings")</f>
        <v>FAMILY GUY: the finer strings</v>
      </c>
      <c r="E884" s="3" t="s">
        <v>930</v>
      </c>
      <c r="F884" s="3" t="s">
        <v>5176</v>
      </c>
      <c r="G884" s="3" t="s">
        <v>5177</v>
      </c>
    </row>
    <row r="885" spans="1:7">
      <c r="A885" s="6">
        <v>42925</v>
      </c>
      <c r="B885" s="3" t="s">
        <v>4621</v>
      </c>
      <c r="C885" s="3" t="s">
        <v>21</v>
      </c>
      <c r="D885" s="8" t="str">
        <f>HYPERLINK("http://npthd.inbcu.com/ViewContent.aspx?filename=NPMR_FOX_2017-07-09_E.MP4$5944$6065","COMMERCIAL")</f>
        <v>COMMERCIAL</v>
      </c>
      <c r="E885" s="3" t="s">
        <v>175</v>
      </c>
      <c r="F885" s="3" t="s">
        <v>5177</v>
      </c>
      <c r="G885" s="3" t="s">
        <v>5178</v>
      </c>
    </row>
    <row r="886" spans="1:7">
      <c r="A886" s="6">
        <v>42925</v>
      </c>
      <c r="B886" s="3" t="s">
        <v>4621</v>
      </c>
      <c r="C886" s="3" t="s">
        <v>14</v>
      </c>
      <c r="D886" s="8" t="str">
        <f>HYPERLINK("http://npthd.inbcu.com/ViewContent.aspx?filename=NPMR_FOX_2017-07-09_E.MP4$6065$6080","Ghosted")</f>
        <v>Ghosted</v>
      </c>
      <c r="E886" s="3" t="s">
        <v>30</v>
      </c>
      <c r="F886" s="3" t="s">
        <v>5178</v>
      </c>
      <c r="G886" s="3" t="s">
        <v>5179</v>
      </c>
    </row>
    <row r="887" spans="1:7">
      <c r="A887" s="6">
        <v>42925</v>
      </c>
      <c r="B887" s="3" t="s">
        <v>4621</v>
      </c>
      <c r="C887" s="3" t="s">
        <v>18</v>
      </c>
      <c r="D887" s="8" t="str">
        <f>HYPERLINK("http://npthd.inbcu.com/ViewContent.aspx?filename=NPMR_FOX_2017-07-09_E.MP4$6080$6384","FAMILY GUY: the finer strings")</f>
        <v>FAMILY GUY: the finer strings</v>
      </c>
      <c r="E887" s="3" t="s">
        <v>1425</v>
      </c>
      <c r="F887" s="3" t="s">
        <v>5179</v>
      </c>
      <c r="G887" s="3" t="s">
        <v>3340</v>
      </c>
    </row>
    <row r="888" spans="1:7">
      <c r="A888" s="6">
        <v>42925</v>
      </c>
      <c r="B888" s="3" t="s">
        <v>4621</v>
      </c>
      <c r="C888" s="3" t="s">
        <v>21</v>
      </c>
      <c r="D888" s="8" t="str">
        <f>HYPERLINK("http://npthd.inbcu.com/ViewContent.aspx?filename=NPMR_FOX_2017-07-09_E.MP4$6384$6459","COMMERCIAL")</f>
        <v>COMMERCIAL</v>
      </c>
      <c r="E888" s="3" t="s">
        <v>531</v>
      </c>
      <c r="F888" s="3" t="s">
        <v>3340</v>
      </c>
      <c r="G888" s="3" t="s">
        <v>5180</v>
      </c>
    </row>
    <row r="889" spans="1:7">
      <c r="A889" s="6">
        <v>42925</v>
      </c>
      <c r="B889" s="3" t="s">
        <v>4621</v>
      </c>
      <c r="C889" s="3" t="s">
        <v>14</v>
      </c>
      <c r="D889" s="8" t="str">
        <f>HYPERLINK("http://npthd.inbcu.com/ViewContent.aspx?filename=NPMR_FOX_2017-07-09_E.MP4$6459$6474","MLB All Star Game")</f>
        <v>MLB All Star Game</v>
      </c>
      <c r="E889" s="3" t="s">
        <v>30</v>
      </c>
      <c r="F889" s="3" t="s">
        <v>5180</v>
      </c>
      <c r="G889" s="3" t="s">
        <v>628</v>
      </c>
    </row>
    <row r="890" spans="1:7">
      <c r="A890" s="6">
        <v>42925</v>
      </c>
      <c r="B890" s="3" t="s">
        <v>4621</v>
      </c>
      <c r="C890" s="3" t="s">
        <v>32</v>
      </c>
      <c r="D890" s="8" t="str">
        <f>HYPERLINK("http://npthd.inbcu.com/ViewContent.aspx?filename=NPMR_FOX_2017-07-09_E.MP4$6474$6535","LOCAL")</f>
        <v>LOCAL</v>
      </c>
      <c r="E890" s="3" t="s">
        <v>33</v>
      </c>
      <c r="F890" s="3" t="s">
        <v>628</v>
      </c>
      <c r="G890" s="3" t="s">
        <v>2338</v>
      </c>
    </row>
    <row r="891" spans="1:7">
      <c r="A891" s="6">
        <v>42925</v>
      </c>
      <c r="B891" s="3" t="s">
        <v>4621</v>
      </c>
      <c r="C891" s="3" t="s">
        <v>14</v>
      </c>
      <c r="D891" s="8" t="str">
        <f>HYPERLINK("http://npthd.inbcu.com/ViewContent.aspx?filename=NPMR_FOX_2017-07-09_E.MP4$6535$6551","Strain (FX)")</f>
        <v>Strain (FX)</v>
      </c>
      <c r="E891" s="3" t="s">
        <v>64</v>
      </c>
      <c r="F891" s="3" t="s">
        <v>2338</v>
      </c>
      <c r="G891" s="3" t="s">
        <v>3179</v>
      </c>
    </row>
    <row r="892" spans="1:7">
      <c r="A892" s="6">
        <v>42925</v>
      </c>
      <c r="B892" s="3" t="s">
        <v>4621</v>
      </c>
      <c r="C892" s="3" t="s">
        <v>18</v>
      </c>
      <c r="D892" s="8" t="str">
        <f>HYPERLINK("http://npthd.inbcu.com/ViewContent.aspx?filename=NPMR_FOX_2017-07-09_E.MP4$6551$7073","FAMILY GUY: the finer strings")</f>
        <v>FAMILY GUY: the finer strings</v>
      </c>
      <c r="E892" s="3" t="s">
        <v>1560</v>
      </c>
      <c r="F892" s="3" t="s">
        <v>3179</v>
      </c>
      <c r="G892" s="3" t="s">
        <v>3724</v>
      </c>
    </row>
    <row r="893" spans="1:7">
      <c r="A893" s="6">
        <v>42925</v>
      </c>
      <c r="B893" s="3" t="s">
        <v>4621</v>
      </c>
      <c r="C893" s="3" t="s">
        <v>21</v>
      </c>
      <c r="D893" s="8" t="str">
        <f>HYPERLINK("http://npthd.inbcu.com/ViewContent.aspx?filename=NPMR_FOX_2017-07-09_E.MP4$7073$7179","COMMERCIAL")</f>
        <v>COMMERCIAL</v>
      </c>
      <c r="E893" s="3" t="s">
        <v>293</v>
      </c>
      <c r="F893" s="3" t="s">
        <v>3724</v>
      </c>
      <c r="G893" s="3" t="s">
        <v>5181</v>
      </c>
    </row>
    <row r="894" spans="1:7">
      <c r="A894" s="6">
        <v>42925</v>
      </c>
      <c r="B894" s="3" t="s">
        <v>4621</v>
      </c>
      <c r="C894" s="3" t="s">
        <v>14</v>
      </c>
      <c r="D894" s="8" t="str">
        <f>HYPERLINK("http://npthd.inbcu.com/ViewContent.aspx?filename=NPMR_FOX_2017-07-09_E.MP4$7179$7194","American Grit")</f>
        <v>American Grit</v>
      </c>
      <c r="E894" s="3" t="s">
        <v>30</v>
      </c>
      <c r="F894" s="3" t="s">
        <v>5181</v>
      </c>
      <c r="G894" s="3" t="s">
        <v>4631</v>
      </c>
    </row>
    <row r="895" spans="1:7">
      <c r="A895" s="6">
        <v>42925</v>
      </c>
      <c r="B895" s="3" t="s">
        <v>4621</v>
      </c>
      <c r="C895" s="3" t="s">
        <v>18</v>
      </c>
      <c r="D895" s="8" t="str">
        <f>HYPERLINK("http://npthd.inbcu.com/ViewContent.aspx?filename=NPMR_FOX_2017-07-09_E.MP4$7194$7200","FAMILY GUY: the finer strings")</f>
        <v>FAMILY GUY: the finer strings</v>
      </c>
      <c r="E895" s="3" t="s">
        <v>15</v>
      </c>
      <c r="F895" s="3" t="s">
        <v>4631</v>
      </c>
      <c r="G895" s="3" t="s">
        <v>2012</v>
      </c>
    </row>
    <row r="896" spans="1:7">
      <c r="A896" s="6">
        <v>42925</v>
      </c>
      <c r="B896" s="3" t="s">
        <v>4621</v>
      </c>
      <c r="C896" s="3" t="s">
        <v>14</v>
      </c>
      <c r="D896" s="8" t="str">
        <f>HYPERLINK("http://npthd.inbcu.com/ViewContent.aspx?filename=NPMR_FOX_2017-07-09_E.MP4$7200$7230","Orville, The")</f>
        <v>Orville, The</v>
      </c>
      <c r="E896" s="3" t="s">
        <v>38</v>
      </c>
      <c r="F896" s="3" t="s">
        <v>2012</v>
      </c>
      <c r="G896" s="3" t="s">
        <v>1840</v>
      </c>
    </row>
    <row r="897" spans="1:7">
      <c r="A897" s="6">
        <v>42925</v>
      </c>
      <c r="B897" s="3" t="s">
        <v>4621</v>
      </c>
      <c r="C897" s="3" t="s">
        <v>32</v>
      </c>
      <c r="D897" s="8" t="str">
        <f>HYPERLINK("http://npthd.inbcu.com/ViewContent.aspx?filename=NPMR_FOX_2017-07-09_E.MP4$7230$7241","LOCAL")</f>
        <v>LOCAL</v>
      </c>
      <c r="E897" s="3" t="s">
        <v>1940</v>
      </c>
      <c r="F897" s="3" t="s">
        <v>1840</v>
      </c>
      <c r="G897" s="3" t="s">
        <v>633</v>
      </c>
    </row>
    <row r="898" spans="1:7">
      <c r="A898" s="6">
        <v>42925</v>
      </c>
      <c r="B898" s="3" t="s">
        <v>4621</v>
      </c>
      <c r="C898" s="3" t="s">
        <v>32</v>
      </c>
      <c r="D898" s="8" t="str">
        <f>HYPERLINK("http://npthd.inbcu.com/ViewContent.aspx?filename=NPMR_FOX_2017-07-09_E.MP4$7241$7302","LOCAL")</f>
        <v>LOCAL</v>
      </c>
      <c r="E898" s="3" t="s">
        <v>33</v>
      </c>
      <c r="F898" s="3" t="s">
        <v>633</v>
      </c>
      <c r="G898" s="3" t="s">
        <v>2283</v>
      </c>
    </row>
    <row r="899" spans="1:7">
      <c r="A899" s="6">
        <v>42925</v>
      </c>
      <c r="B899" s="3" t="s">
        <v>4621</v>
      </c>
      <c r="C899" s="3" t="s">
        <v>18</v>
      </c>
      <c r="D899" s="8" t="str">
        <f>HYPERLINK("http://npthd.inbcu.com/ViewContent.aspx?filename=NPMR_FOX_2017-07-09_E.MP4$7302$7977","AMERICAN GRIT: camp love")</f>
        <v>AMERICAN GRIT: camp love</v>
      </c>
      <c r="E899" s="3" t="s">
        <v>2730</v>
      </c>
      <c r="F899" s="3" t="s">
        <v>2283</v>
      </c>
      <c r="G899" s="3" t="s">
        <v>249</v>
      </c>
    </row>
    <row r="900" spans="1:7">
      <c r="A900" s="6">
        <v>42925</v>
      </c>
      <c r="B900" s="3" t="s">
        <v>4621</v>
      </c>
      <c r="C900" s="3" t="s">
        <v>21</v>
      </c>
      <c r="D900" s="8" t="str">
        <f>HYPERLINK("http://npthd.inbcu.com/ViewContent.aspx?filename=NPMR_FOX_2017-07-09_E.MP4$7977$8112","COMMERCIAL")</f>
        <v>COMMERCIAL</v>
      </c>
      <c r="E900" s="3" t="s">
        <v>459</v>
      </c>
      <c r="F900" s="3" t="s">
        <v>249</v>
      </c>
      <c r="G900" s="3" t="s">
        <v>5182</v>
      </c>
    </row>
    <row r="901" spans="1:7">
      <c r="A901" s="6">
        <v>42925</v>
      </c>
      <c r="B901" s="3" t="s">
        <v>4621</v>
      </c>
      <c r="C901" s="3" t="s">
        <v>14</v>
      </c>
      <c r="D901" s="8" t="str">
        <f>HYPERLINK("http://npthd.inbcu.com/ViewContent.aspx?filename=NPMR_FOX_2017-07-09_E.MP4$8112$8133","Beat Shazam / Love Connection")</f>
        <v>Beat Shazam / Love Connection</v>
      </c>
      <c r="E901" s="3" t="s">
        <v>2067</v>
      </c>
      <c r="F901" s="3" t="s">
        <v>5182</v>
      </c>
      <c r="G901" s="3" t="s">
        <v>2349</v>
      </c>
    </row>
    <row r="902" spans="1:7">
      <c r="A902" s="6">
        <v>42925</v>
      </c>
      <c r="B902" s="3" t="s">
        <v>4621</v>
      </c>
      <c r="C902" s="3" t="s">
        <v>18</v>
      </c>
      <c r="D902" s="8" t="str">
        <f>HYPERLINK("http://npthd.inbcu.com/ViewContent.aspx?filename=NPMR_FOX_2017-07-09_E.MP4$8133$8609","AMERICAN GRIT: camp love")</f>
        <v>AMERICAN GRIT: camp love</v>
      </c>
      <c r="E902" s="3" t="s">
        <v>2308</v>
      </c>
      <c r="F902" s="3" t="s">
        <v>2349</v>
      </c>
      <c r="G902" s="3" t="s">
        <v>5183</v>
      </c>
    </row>
    <row r="903" spans="1:7">
      <c r="A903" s="6">
        <v>42925</v>
      </c>
      <c r="B903" s="3" t="s">
        <v>4621</v>
      </c>
      <c r="C903" s="3" t="s">
        <v>21</v>
      </c>
      <c r="D903" s="8" t="str">
        <f>HYPERLINK("http://npthd.inbcu.com/ViewContent.aspx?filename=NPMR_FOX_2017-07-09_E.MP4$8609$8700","COMMERCIAL")</f>
        <v>COMMERCIAL</v>
      </c>
      <c r="E903" s="3" t="s">
        <v>77</v>
      </c>
      <c r="F903" s="3" t="s">
        <v>5183</v>
      </c>
      <c r="G903" s="3" t="s">
        <v>5184</v>
      </c>
    </row>
    <row r="904" spans="1:7">
      <c r="A904" s="6">
        <v>42925</v>
      </c>
      <c r="B904" s="3" t="s">
        <v>4621</v>
      </c>
      <c r="C904" s="3" t="s">
        <v>14</v>
      </c>
      <c r="D904" s="8" t="str">
        <f>HYPERLINK("http://npthd.inbcu.com/ViewContent.aspx?filename=NPMR_FOX_2017-07-09_E.MP4$8700$8714","MLB All Star Game")</f>
        <v>MLB All Star Game</v>
      </c>
      <c r="E904" s="3" t="s">
        <v>342</v>
      </c>
      <c r="F904" s="3" t="s">
        <v>5184</v>
      </c>
      <c r="G904" s="3" t="s">
        <v>5185</v>
      </c>
    </row>
    <row r="905" spans="1:7">
      <c r="A905" s="6">
        <v>42925</v>
      </c>
      <c r="B905" s="3" t="s">
        <v>4621</v>
      </c>
      <c r="C905" s="3" t="s">
        <v>32</v>
      </c>
      <c r="D905" s="8" t="str">
        <f>HYPERLINK("http://npthd.inbcu.com/ViewContent.aspx?filename=NPMR_FOX_2017-07-09_E.MP4$8714$8855","LOCAL")</f>
        <v>LOCAL</v>
      </c>
      <c r="E905" s="3" t="s">
        <v>1753</v>
      </c>
      <c r="F905" s="3" t="s">
        <v>5185</v>
      </c>
      <c r="G905" s="3" t="s">
        <v>5186</v>
      </c>
    </row>
    <row r="906" spans="1:7">
      <c r="A906" s="6">
        <v>42925</v>
      </c>
      <c r="B906" s="3" t="s">
        <v>4621</v>
      </c>
      <c r="C906" s="3" t="s">
        <v>18</v>
      </c>
      <c r="D906" s="8" t="str">
        <f>HYPERLINK("http://npthd.inbcu.com/ViewContent.aspx?filename=NPMR_FOX_2017-07-09_E.MP4$8855$9096","AMERICAN GRIT: camp love")</f>
        <v>AMERICAN GRIT: camp love</v>
      </c>
      <c r="E906" s="3" t="s">
        <v>1484</v>
      </c>
      <c r="F906" s="3" t="s">
        <v>5186</v>
      </c>
      <c r="G906" s="3" t="s">
        <v>5187</v>
      </c>
    </row>
    <row r="907" spans="1:7">
      <c r="A907" s="6">
        <v>42925</v>
      </c>
      <c r="B907" s="3" t="s">
        <v>4621</v>
      </c>
      <c r="C907" s="3" t="s">
        <v>21</v>
      </c>
      <c r="D907" s="8" t="str">
        <f>HYPERLINK("http://npthd.inbcu.com/ViewContent.aspx?filename=NPMR_FOX_2017-07-09_E.MP4$9096$9277","COMMERCIAL")</f>
        <v>COMMERCIAL</v>
      </c>
      <c r="E907" s="3" t="s">
        <v>108</v>
      </c>
      <c r="F907" s="3" t="s">
        <v>5187</v>
      </c>
      <c r="G907" s="3" t="s">
        <v>5188</v>
      </c>
    </row>
    <row r="908" spans="1:7">
      <c r="A908" s="6">
        <v>42925</v>
      </c>
      <c r="B908" s="3" t="s">
        <v>4621</v>
      </c>
      <c r="C908" s="3" t="s">
        <v>14</v>
      </c>
      <c r="D908" s="8" t="str">
        <f>HYPERLINK("http://npthd.inbcu.com/ViewContent.aspx?filename=NPMR_FOX_2017-07-09_E.MP4$9277$9307","Gifted")</f>
        <v>Gifted</v>
      </c>
      <c r="E908" s="3" t="s">
        <v>38</v>
      </c>
      <c r="F908" s="3" t="s">
        <v>5188</v>
      </c>
      <c r="G908" s="3" t="s">
        <v>5189</v>
      </c>
    </row>
    <row r="909" spans="1:7">
      <c r="A909" s="6">
        <v>42925</v>
      </c>
      <c r="B909" s="3" t="s">
        <v>4621</v>
      </c>
      <c r="C909" s="3" t="s">
        <v>18</v>
      </c>
      <c r="D909" s="8" t="str">
        <f>HYPERLINK("http://npthd.inbcu.com/ViewContent.aspx?filename=NPMR_FOX_2017-07-09_E.MP4$9307$9762","AMERICAN GRIT: camp love")</f>
        <v>AMERICAN GRIT: camp love</v>
      </c>
      <c r="E909" s="3" t="s">
        <v>1245</v>
      </c>
      <c r="F909" s="3" t="s">
        <v>5189</v>
      </c>
      <c r="G909" s="3" t="s">
        <v>5190</v>
      </c>
    </row>
    <row r="910" spans="1:7">
      <c r="A910" s="6">
        <v>42925</v>
      </c>
      <c r="B910" s="3" t="s">
        <v>4621</v>
      </c>
      <c r="C910" s="3" t="s">
        <v>21</v>
      </c>
      <c r="D910" s="8" t="str">
        <f>HYPERLINK("http://npthd.inbcu.com/ViewContent.aspx?filename=NPMR_FOX_2017-07-09_E.MP4$9762$9882","COMMERCIAL")</f>
        <v>COMMERCIAL</v>
      </c>
      <c r="E910" s="3" t="s">
        <v>43</v>
      </c>
      <c r="F910" s="3" t="s">
        <v>5190</v>
      </c>
      <c r="G910" s="3" t="s">
        <v>5191</v>
      </c>
    </row>
    <row r="911" spans="1:7">
      <c r="A911" s="6">
        <v>42925</v>
      </c>
      <c r="B911" s="3" t="s">
        <v>4621</v>
      </c>
      <c r="C911" s="3" t="s">
        <v>14</v>
      </c>
      <c r="D911" s="8" t="str">
        <f>HYPERLINK("http://npthd.inbcu.com/ViewContent.aspx?filename=NPMR_FOX_2017-07-09_E.MP4$9882$9897","Strain (FX)")</f>
        <v>Strain (FX)</v>
      </c>
      <c r="E911" s="3" t="s">
        <v>30</v>
      </c>
      <c r="F911" s="3" t="s">
        <v>5191</v>
      </c>
      <c r="G911" s="3" t="s">
        <v>5192</v>
      </c>
    </row>
    <row r="912" spans="1:7">
      <c r="A912" s="6">
        <v>42925</v>
      </c>
      <c r="B912" s="3" t="s">
        <v>4621</v>
      </c>
      <c r="C912" s="3" t="s">
        <v>32</v>
      </c>
      <c r="D912" s="8" t="str">
        <f>HYPERLINK("http://npthd.inbcu.com/ViewContent.aspx?filename=NPMR_FOX_2017-07-09_E.MP4$9897$9988","LOCAL")</f>
        <v>LOCAL</v>
      </c>
      <c r="E912" s="3" t="s">
        <v>77</v>
      </c>
      <c r="F912" s="3" t="s">
        <v>5192</v>
      </c>
      <c r="G912" s="3" t="s">
        <v>4930</v>
      </c>
    </row>
    <row r="913" spans="1:7">
      <c r="A913" s="6">
        <v>42925</v>
      </c>
      <c r="B913" s="3" t="s">
        <v>4621</v>
      </c>
      <c r="C913" s="3" t="s">
        <v>18</v>
      </c>
      <c r="D913" s="8" t="str">
        <f>HYPERLINK("http://npthd.inbcu.com/ViewContent.aspx?filename=NPMR_FOX_2017-07-09_E.MP4$9988$10427","AMERICAN GRIT: camp love")</f>
        <v>AMERICAN GRIT: camp love</v>
      </c>
      <c r="E913" s="3" t="s">
        <v>1674</v>
      </c>
      <c r="F913" s="3" t="s">
        <v>4930</v>
      </c>
      <c r="G913" s="3" t="s">
        <v>5193</v>
      </c>
    </row>
    <row r="914" spans="1:7">
      <c r="A914" s="6">
        <v>42925</v>
      </c>
      <c r="B914" s="3" t="s">
        <v>4621</v>
      </c>
      <c r="C914" s="3" t="s">
        <v>21</v>
      </c>
      <c r="D914" s="8" t="str">
        <f>HYPERLINK("http://npthd.inbcu.com/ViewContent.aspx?filename=NPMR_FOX_2017-07-09_E.MP4$10427$10533","COMMERCIAL")</f>
        <v>COMMERCIAL</v>
      </c>
      <c r="E914" s="3" t="s">
        <v>293</v>
      </c>
      <c r="F914" s="3" t="s">
        <v>5193</v>
      </c>
      <c r="G914" s="3" t="s">
        <v>5194</v>
      </c>
    </row>
    <row r="915" spans="1:7">
      <c r="A915" s="6">
        <v>42925</v>
      </c>
      <c r="B915" s="3" t="s">
        <v>4621</v>
      </c>
      <c r="C915" s="3" t="s">
        <v>14</v>
      </c>
      <c r="D915" s="8" t="str">
        <f>HYPERLINK("http://npthd.inbcu.com/ViewContent.aspx?filename=NPMR_FOX_2017-07-09_E.MP4$10533$10553","Master Chef / F Word")</f>
        <v>Master Chef / F Word</v>
      </c>
      <c r="E915" s="3" t="s">
        <v>1805</v>
      </c>
      <c r="F915" s="3" t="s">
        <v>5194</v>
      </c>
      <c r="G915" s="3" t="s">
        <v>1005</v>
      </c>
    </row>
    <row r="916" spans="1:7">
      <c r="A916" s="6">
        <v>42925</v>
      </c>
      <c r="B916" s="3" t="s">
        <v>4621</v>
      </c>
      <c r="C916" s="3" t="s">
        <v>32</v>
      </c>
      <c r="D916" s="8" t="str">
        <f>HYPERLINK("http://npthd.inbcu.com/ViewContent.aspx?filename=NPMR_FOX_2017-07-09_E.MP4$10553$10576","LOCAL")</f>
        <v>LOCAL</v>
      </c>
      <c r="E916" s="3" t="s">
        <v>2512</v>
      </c>
      <c r="F916" s="3" t="s">
        <v>1005</v>
      </c>
      <c r="G916" s="3" t="s">
        <v>5114</v>
      </c>
    </row>
    <row r="917" spans="1:7">
      <c r="A917" s="6">
        <v>42925</v>
      </c>
      <c r="B917" s="3" t="s">
        <v>4621</v>
      </c>
      <c r="C917" s="3" t="s">
        <v>14</v>
      </c>
      <c r="D917" s="8" t="str">
        <f>HYPERLINK("http://npthd.inbcu.com/ViewContent.aspx?filename=NPMR_FOX_2017-07-09_E.MP4$10576$10594","So You Think You Can Dance?")</f>
        <v>So You Think You Can Dance?</v>
      </c>
      <c r="E917" s="3" t="s">
        <v>932</v>
      </c>
      <c r="F917" s="3" t="s">
        <v>5114</v>
      </c>
      <c r="G917" s="3" t="s">
        <v>5195</v>
      </c>
    </row>
    <row r="918" spans="1:7">
      <c r="A918" s="6">
        <v>42925</v>
      </c>
      <c r="B918" s="3" t="s">
        <v>4621</v>
      </c>
      <c r="C918" s="3" t="s">
        <v>18</v>
      </c>
      <c r="D918" s="8" t="str">
        <f>HYPERLINK("http://npthd.inbcu.com/ViewContent.aspx?filename=NPMR_FOX_2017-07-09_E.MP4$10594$10851","AMERICAN GRIT: camp love")</f>
        <v>AMERICAN GRIT: camp love</v>
      </c>
      <c r="E918" s="3" t="s">
        <v>5090</v>
      </c>
      <c r="F918" s="3" t="s">
        <v>5195</v>
      </c>
      <c r="G918" s="3" t="s">
        <v>4938</v>
      </c>
    </row>
    <row r="919" spans="1:7">
      <c r="A919" s="6">
        <v>42925</v>
      </c>
      <c r="B919" s="3" t="s">
        <v>4621</v>
      </c>
      <c r="C919" s="3" t="s">
        <v>14</v>
      </c>
      <c r="D919" s="8" t="str">
        <f>HYPERLINK("http://npthd.inbcu.com/ViewContent.aspx?filename=NPMR_FOX_2017-07-09_E.MP4$10851$10881","American Grit")</f>
        <v>American Grit</v>
      </c>
      <c r="E919" s="3" t="s">
        <v>38</v>
      </c>
      <c r="F919" s="3" t="s">
        <v>4938</v>
      </c>
      <c r="G919" s="3" t="s">
        <v>3989</v>
      </c>
    </row>
    <row r="920" spans="1:7">
      <c r="A920" s="6">
        <v>42925</v>
      </c>
      <c r="B920" s="3" t="s">
        <v>4621</v>
      </c>
      <c r="C920" s="3" t="s">
        <v>18</v>
      </c>
      <c r="D920" s="8" t="str">
        <f>HYPERLINK("http://npthd.inbcu.com/ViewContent.aspx?filename=NPMR_FOX_2017-07-09_E.MP4$10881$10892","AMERICAN GRIT: camp love")</f>
        <v>AMERICAN GRIT: camp love</v>
      </c>
      <c r="E920" s="3" t="s">
        <v>1940</v>
      </c>
      <c r="F920" s="3" t="s">
        <v>3989</v>
      </c>
      <c r="G920" s="3" t="s">
        <v>3393</v>
      </c>
    </row>
    <row r="921" spans="1:7">
      <c r="A921" s="6">
        <v>42925</v>
      </c>
      <c r="B921" s="3" t="s">
        <v>4621</v>
      </c>
      <c r="C921" s="3" t="s">
        <v>32</v>
      </c>
      <c r="D921" s="8" t="str">
        <f>HYPERLINK("http://npthd.inbcu.com/ViewContent.aspx?filename=NPMR_FOX_2017-07-09_E.MP4$10892$10903","LOCAL")</f>
        <v>LOCAL</v>
      </c>
      <c r="E921" s="3" t="s">
        <v>1940</v>
      </c>
      <c r="F921" s="3" t="s">
        <v>3393</v>
      </c>
      <c r="G921" s="3" t="s">
        <v>394</v>
      </c>
    </row>
    <row r="922" spans="1:7">
      <c r="A922" s="6">
        <v>42926</v>
      </c>
      <c r="B922" s="3" t="s">
        <v>4621</v>
      </c>
      <c r="C922" s="3" t="s">
        <v>18</v>
      </c>
      <c r="D922" s="8" t="str">
        <f>HYPERLINK("http://npthd.inbcu.com/ViewContent.aspx?filename=NPMR_FOX_2017-07-10_E.MP4$60$559","SO YOU THINK YOU CAN DANCE? : new york auditions #2")</f>
        <v>SO YOU THINK YOU CAN DANCE? : new york auditions #2</v>
      </c>
      <c r="E922" s="3" t="s">
        <v>723</v>
      </c>
      <c r="F922" s="3" t="s">
        <v>16</v>
      </c>
      <c r="G922" s="3" t="s">
        <v>5196</v>
      </c>
    </row>
    <row r="923" spans="1:7">
      <c r="A923" s="6">
        <v>42926</v>
      </c>
      <c r="B923" s="3" t="s">
        <v>4621</v>
      </c>
      <c r="C923" s="3" t="s">
        <v>21</v>
      </c>
      <c r="D923" s="8" t="str">
        <f>HYPERLINK("http://npthd.inbcu.com/ViewContent.aspx?filename=NPMR_FOX_2017-07-10_E.MP4$559$695","COMMERCIAL")</f>
        <v>COMMERCIAL</v>
      </c>
      <c r="E923" s="3" t="s">
        <v>668</v>
      </c>
      <c r="F923" s="3" t="s">
        <v>5196</v>
      </c>
      <c r="G923" s="3" t="s">
        <v>700</v>
      </c>
    </row>
    <row r="924" spans="1:7">
      <c r="A924" s="6">
        <v>42926</v>
      </c>
      <c r="B924" s="3" t="s">
        <v>4621</v>
      </c>
      <c r="C924" s="3" t="s">
        <v>14</v>
      </c>
      <c r="D924" s="8" t="str">
        <f>HYPERLINK("http://npthd.inbcu.com/ViewContent.aspx?filename=NPMR_FOX_2017-07-10_E.MP4$695$725","Gifted")</f>
        <v>Gifted</v>
      </c>
      <c r="E924" s="3" t="s">
        <v>38</v>
      </c>
      <c r="F924" s="3" t="s">
        <v>700</v>
      </c>
      <c r="G924" s="3" t="s">
        <v>5197</v>
      </c>
    </row>
    <row r="925" spans="1:7">
      <c r="A925" s="6">
        <v>42926</v>
      </c>
      <c r="B925" s="3" t="s">
        <v>4621</v>
      </c>
      <c r="C925" s="3" t="s">
        <v>18</v>
      </c>
      <c r="D925" s="8" t="str">
        <f>HYPERLINK("http://npthd.inbcu.com/ViewContent.aspx?filename=NPMR_FOX_2017-07-10_E.MP4$725$1158","SO YOU THINK YOU CAN DANCE? : new york auditions #2")</f>
        <v>SO YOU THINK YOU CAN DANCE? : new york auditions #2</v>
      </c>
      <c r="E925" s="3" t="s">
        <v>2211</v>
      </c>
      <c r="F925" s="3" t="s">
        <v>5197</v>
      </c>
      <c r="G925" s="3" t="s">
        <v>5198</v>
      </c>
    </row>
    <row r="926" spans="1:7">
      <c r="A926" s="6">
        <v>42926</v>
      </c>
      <c r="B926" s="3" t="s">
        <v>4621</v>
      </c>
      <c r="C926" s="3" t="s">
        <v>21</v>
      </c>
      <c r="D926" s="8" t="str">
        <f>HYPERLINK("http://npthd.inbcu.com/ViewContent.aspx?filename=NPMR_FOX_2017-07-10_E.MP4$1158$1278","COMMERCIAL")</f>
        <v>COMMERCIAL</v>
      </c>
      <c r="E926" s="3" t="s">
        <v>43</v>
      </c>
      <c r="F926" s="3" t="s">
        <v>5198</v>
      </c>
      <c r="G926" s="3" t="s">
        <v>2808</v>
      </c>
    </row>
    <row r="927" spans="1:7">
      <c r="A927" s="6">
        <v>42926</v>
      </c>
      <c r="B927" s="3" t="s">
        <v>4621</v>
      </c>
      <c r="C927" s="3" t="s">
        <v>14</v>
      </c>
      <c r="D927" s="8" t="str">
        <f>HYPERLINK("http://npthd.inbcu.com/ViewContent.aspx?filename=NPMR_FOX_2017-07-10_E.MP4$1278$1293","MLB All Star Game")</f>
        <v>MLB All Star Game</v>
      </c>
      <c r="E927" s="3" t="s">
        <v>30</v>
      </c>
      <c r="F927" s="3" t="s">
        <v>2808</v>
      </c>
      <c r="G927" s="3" t="s">
        <v>5199</v>
      </c>
    </row>
    <row r="928" spans="1:7">
      <c r="A928" s="6">
        <v>42926</v>
      </c>
      <c r="B928" s="3" t="s">
        <v>4621</v>
      </c>
      <c r="C928" s="3" t="s">
        <v>32</v>
      </c>
      <c r="D928" s="8" t="str">
        <f>HYPERLINK("http://npthd.inbcu.com/ViewContent.aspx?filename=NPMR_FOX_2017-07-10_E.MP4$1293$1385","LOCAL")</f>
        <v>LOCAL</v>
      </c>
      <c r="E928" s="3" t="s">
        <v>267</v>
      </c>
      <c r="F928" s="3" t="s">
        <v>5199</v>
      </c>
      <c r="G928" s="3" t="s">
        <v>1610</v>
      </c>
    </row>
    <row r="929" spans="1:7">
      <c r="A929" s="6">
        <v>42926</v>
      </c>
      <c r="B929" s="3" t="s">
        <v>4621</v>
      </c>
      <c r="C929" s="3" t="s">
        <v>14</v>
      </c>
      <c r="D929" s="8" t="str">
        <f>HYPERLINK("http://npthd.inbcu.com/ViewContent.aspx?filename=NPMR_FOX_2017-07-10_E.MP4$1385$1405","Beat Shazam / Love Connection")</f>
        <v>Beat Shazam / Love Connection</v>
      </c>
      <c r="E929" s="3" t="s">
        <v>1805</v>
      </c>
      <c r="F929" s="3" t="s">
        <v>1610</v>
      </c>
      <c r="G929" s="3" t="s">
        <v>5200</v>
      </c>
    </row>
    <row r="930" spans="1:7">
      <c r="A930" s="6">
        <v>42926</v>
      </c>
      <c r="B930" s="3" t="s">
        <v>4621</v>
      </c>
      <c r="C930" s="3" t="s">
        <v>18</v>
      </c>
      <c r="D930" s="8" t="str">
        <f>HYPERLINK("http://npthd.inbcu.com/ViewContent.aspx?filename=NPMR_FOX_2017-07-10_E.MP4$1405$1873","SO YOU THINK YOU CAN DANCE? : new york auditions #2")</f>
        <v>SO YOU THINK YOU CAN DANCE? : new york auditions #2</v>
      </c>
      <c r="E930" s="3" t="s">
        <v>678</v>
      </c>
      <c r="F930" s="3" t="s">
        <v>5200</v>
      </c>
      <c r="G930" s="3" t="s">
        <v>5201</v>
      </c>
    </row>
    <row r="931" spans="1:7">
      <c r="A931" s="6">
        <v>42926</v>
      </c>
      <c r="B931" s="3" t="s">
        <v>4621</v>
      </c>
      <c r="C931" s="3" t="s">
        <v>21</v>
      </c>
      <c r="D931" s="8" t="str">
        <f>HYPERLINK("http://npthd.inbcu.com/ViewContent.aspx?filename=NPMR_FOX_2017-07-10_E.MP4$1873$2054","COMMERCIAL")</f>
        <v>COMMERCIAL</v>
      </c>
      <c r="E931" s="3" t="s">
        <v>108</v>
      </c>
      <c r="F931" s="3" t="s">
        <v>5201</v>
      </c>
      <c r="G931" s="3" t="s">
        <v>5202</v>
      </c>
    </row>
    <row r="932" spans="1:7">
      <c r="A932" s="6">
        <v>42926</v>
      </c>
      <c r="B932" s="3" t="s">
        <v>4621</v>
      </c>
      <c r="C932" s="3" t="s">
        <v>14</v>
      </c>
      <c r="D932" s="8" t="str">
        <f>HYPERLINK("http://npthd.inbcu.com/ViewContent.aspx?filename=NPMR_FOX_2017-07-10_E.MP4$2054$2074","Master Chef / F Word")</f>
        <v>Master Chef / F Word</v>
      </c>
      <c r="E932" s="3" t="s">
        <v>1805</v>
      </c>
      <c r="F932" s="3" t="s">
        <v>5202</v>
      </c>
      <c r="G932" s="3" t="s">
        <v>2901</v>
      </c>
    </row>
    <row r="933" spans="1:7">
      <c r="A933" s="6">
        <v>42926</v>
      </c>
      <c r="B933" s="3" t="s">
        <v>4621</v>
      </c>
      <c r="C933" s="3" t="s">
        <v>18</v>
      </c>
      <c r="D933" s="8" t="str">
        <f>HYPERLINK("http://npthd.inbcu.com/ViewContent.aspx?filename=NPMR_FOX_2017-07-10_E.MP4$2074$2421","SO YOU THINK YOU CAN DANCE? : new york auditions #2")</f>
        <v>SO YOU THINK YOU CAN DANCE? : new york auditions #2</v>
      </c>
      <c r="E933" s="3" t="s">
        <v>713</v>
      </c>
      <c r="F933" s="3" t="s">
        <v>2901</v>
      </c>
      <c r="G933" s="3" t="s">
        <v>4628</v>
      </c>
    </row>
    <row r="934" spans="1:7">
      <c r="A934" s="6">
        <v>42926</v>
      </c>
      <c r="B934" s="3" t="s">
        <v>4621</v>
      </c>
      <c r="C934" s="3" t="s">
        <v>21</v>
      </c>
      <c r="D934" s="8" t="str">
        <f>HYPERLINK("http://npthd.inbcu.com/ViewContent.aspx?filename=NPMR_FOX_2017-07-10_E.MP4$2421$2527","COMMERCIAL")</f>
        <v>COMMERCIAL</v>
      </c>
      <c r="E934" s="3" t="s">
        <v>293</v>
      </c>
      <c r="F934" s="3" t="s">
        <v>4628</v>
      </c>
      <c r="G934" s="3" t="s">
        <v>5203</v>
      </c>
    </row>
    <row r="935" spans="1:7">
      <c r="A935" s="6">
        <v>42926</v>
      </c>
      <c r="B935" s="3" t="s">
        <v>4621</v>
      </c>
      <c r="C935" s="3" t="s">
        <v>14</v>
      </c>
      <c r="D935" s="8" t="str">
        <f>HYPERLINK("http://npthd.inbcu.com/ViewContent.aspx?filename=NPMR_FOX_2017-07-10_E.MP4$2527$2547","MLB All Star Game")</f>
        <v>MLB All Star Game</v>
      </c>
      <c r="E935" s="3" t="s">
        <v>1805</v>
      </c>
      <c r="F935" s="3" t="s">
        <v>5203</v>
      </c>
      <c r="G935" s="3" t="s">
        <v>4514</v>
      </c>
    </row>
    <row r="936" spans="1:7">
      <c r="A936" s="6">
        <v>42926</v>
      </c>
      <c r="B936" s="3" t="s">
        <v>4621</v>
      </c>
      <c r="C936" s="3" t="s">
        <v>32</v>
      </c>
      <c r="D936" s="8" t="str">
        <f>HYPERLINK("http://npthd.inbcu.com/ViewContent.aspx?filename=NPMR_FOX_2017-07-10_E.MP4$2547$2690","LOCAL")</f>
        <v>LOCAL</v>
      </c>
      <c r="E936" s="3" t="s">
        <v>3327</v>
      </c>
      <c r="F936" s="3" t="s">
        <v>4514</v>
      </c>
      <c r="G936" s="3" t="s">
        <v>2460</v>
      </c>
    </row>
    <row r="937" spans="1:7">
      <c r="A937" s="6">
        <v>42926</v>
      </c>
      <c r="B937" s="3" t="s">
        <v>4621</v>
      </c>
      <c r="C937" s="3" t="s">
        <v>18</v>
      </c>
      <c r="D937" s="8" t="str">
        <f>HYPERLINK("http://npthd.inbcu.com/ViewContent.aspx?filename=NPMR_FOX_2017-07-10_E.MP4$2690$2993","SO YOU THINK YOU CAN DANCE? : new york auditions #2")</f>
        <v>SO YOU THINK YOU CAN DANCE? : new york auditions #2</v>
      </c>
      <c r="E937" s="3" t="s">
        <v>1849</v>
      </c>
      <c r="F937" s="3" t="s">
        <v>2460</v>
      </c>
      <c r="G937" s="3" t="s">
        <v>5204</v>
      </c>
    </row>
    <row r="938" spans="1:7">
      <c r="A938" s="6">
        <v>42926</v>
      </c>
      <c r="B938" s="3" t="s">
        <v>4621</v>
      </c>
      <c r="C938" s="3" t="s">
        <v>21</v>
      </c>
      <c r="D938" s="8" t="str">
        <f>HYPERLINK("http://npthd.inbcu.com/ViewContent.aspx?filename=NPMR_FOX_2017-07-10_E.MP4$2993$3114","COMMERCIAL")</f>
        <v>COMMERCIAL</v>
      </c>
      <c r="E938" s="3" t="s">
        <v>175</v>
      </c>
      <c r="F938" s="3" t="s">
        <v>5204</v>
      </c>
      <c r="G938" s="3" t="s">
        <v>5205</v>
      </c>
    </row>
    <row r="939" spans="1:7">
      <c r="A939" s="6">
        <v>42926</v>
      </c>
      <c r="B939" s="3" t="s">
        <v>4621</v>
      </c>
      <c r="C939" s="3" t="s">
        <v>14</v>
      </c>
      <c r="D939" s="8" t="str">
        <f>HYPERLINK("http://npthd.inbcu.com/ViewContent.aspx?filename=NPMR_FOX_2017-07-10_E.MP4$3114$3134","Strain (FX)")</f>
        <v>Strain (FX)</v>
      </c>
      <c r="E939" s="3" t="s">
        <v>1805</v>
      </c>
      <c r="F939" s="3" t="s">
        <v>5205</v>
      </c>
      <c r="G939" s="3" t="s">
        <v>4730</v>
      </c>
    </row>
    <row r="940" spans="1:7">
      <c r="A940" s="6">
        <v>42926</v>
      </c>
      <c r="B940" s="3" t="s">
        <v>4621</v>
      </c>
      <c r="C940" s="3" t="s">
        <v>14</v>
      </c>
      <c r="D940" s="8" t="str">
        <f>HYPERLINK("http://npthd.inbcu.com/ViewContent.aspx?filename=NPMR_FOX_2017-07-10_E.MP4$3134$3154","Love Connection")</f>
        <v>Love Connection</v>
      </c>
      <c r="E940" s="3" t="s">
        <v>1805</v>
      </c>
      <c r="F940" s="3" t="s">
        <v>4730</v>
      </c>
      <c r="G940" s="3" t="s">
        <v>3419</v>
      </c>
    </row>
    <row r="941" spans="1:7">
      <c r="A941" s="6">
        <v>42926</v>
      </c>
      <c r="B941" s="3" t="s">
        <v>4621</v>
      </c>
      <c r="C941" s="3" t="s">
        <v>32</v>
      </c>
      <c r="D941" s="8" t="str">
        <f>HYPERLINK("http://npthd.inbcu.com/ViewContent.aspx?filename=NPMR_FOX_2017-07-10_E.MP4$3154$3166","LOCAL")</f>
        <v>LOCAL</v>
      </c>
      <c r="E941" s="3" t="s">
        <v>2057</v>
      </c>
      <c r="F941" s="3" t="s">
        <v>3419</v>
      </c>
      <c r="G941" s="3" t="s">
        <v>2193</v>
      </c>
    </row>
    <row r="942" spans="1:7">
      <c r="A942" s="6">
        <v>42926</v>
      </c>
      <c r="B942" s="3" t="s">
        <v>4621</v>
      </c>
      <c r="C942" s="3" t="s">
        <v>14</v>
      </c>
      <c r="D942" s="8" t="str">
        <f>HYPERLINK("http://npthd.inbcu.com/ViewContent.aspx?filename=NPMR_FOX_2017-07-10_E.MP4$3166$3186","Beat Shazam")</f>
        <v>Beat Shazam</v>
      </c>
      <c r="E942" s="3" t="s">
        <v>1805</v>
      </c>
      <c r="F942" s="3" t="s">
        <v>2193</v>
      </c>
      <c r="G942" s="3" t="s">
        <v>4480</v>
      </c>
    </row>
    <row r="943" spans="1:7">
      <c r="A943" s="6">
        <v>42926</v>
      </c>
      <c r="B943" s="3" t="s">
        <v>4621</v>
      </c>
      <c r="C943" s="3" t="s">
        <v>18</v>
      </c>
      <c r="D943" s="8" t="str">
        <f>HYPERLINK("http://npthd.inbcu.com/ViewContent.aspx?filename=NPMR_FOX_2017-07-10_E.MP4$3186$3656","SO YOU THINK YOU CAN DANCE? : new york auditions #2")</f>
        <v>SO YOU THINK YOU CAN DANCE? : new york auditions #2</v>
      </c>
      <c r="E943" s="3" t="s">
        <v>2576</v>
      </c>
      <c r="F943" s="3" t="s">
        <v>4480</v>
      </c>
      <c r="G943" s="3" t="s">
        <v>2768</v>
      </c>
    </row>
    <row r="944" spans="1:7">
      <c r="A944" s="6">
        <v>42926</v>
      </c>
      <c r="B944" s="3" t="s">
        <v>4621</v>
      </c>
      <c r="C944" s="3" t="s">
        <v>14</v>
      </c>
      <c r="D944" s="8" t="str">
        <f>HYPERLINK("http://npthd.inbcu.com/ViewContent.aspx?filename=NPMR_FOX_2017-07-10_E.MP4$3656$3711","So You Think You Can Dance?")</f>
        <v>So You Think You Can Dance?</v>
      </c>
      <c r="E944" s="3" t="s">
        <v>5206</v>
      </c>
      <c r="F944" s="3" t="s">
        <v>2768</v>
      </c>
      <c r="G944" s="3" t="s">
        <v>5207</v>
      </c>
    </row>
    <row r="945" spans="1:7">
      <c r="A945" s="6">
        <v>42926</v>
      </c>
      <c r="B945" s="3" t="s">
        <v>4621</v>
      </c>
      <c r="C945" s="3" t="s">
        <v>18</v>
      </c>
      <c r="D945" s="8" t="str">
        <f>HYPERLINK("http://npthd.inbcu.com/ViewContent.aspx?filename=NPMR_FOX_2017-07-10_E.MP4$3711$3717","SO YOU THINK YOU CAN DANCE? : new york auditions #2")</f>
        <v>SO YOU THINK YOU CAN DANCE? : new york auditions #2</v>
      </c>
      <c r="E945" s="3" t="s">
        <v>15</v>
      </c>
      <c r="F945" s="3" t="s">
        <v>5207</v>
      </c>
      <c r="G945" s="3" t="s">
        <v>5208</v>
      </c>
    </row>
    <row r="946" spans="1:7">
      <c r="A946" s="6">
        <v>42926</v>
      </c>
      <c r="B946" s="3" t="s">
        <v>4621</v>
      </c>
      <c r="C946" s="3" t="s">
        <v>18</v>
      </c>
      <c r="D946" s="8" t="str">
        <f>HYPERLINK("http://npthd.inbcu.com/ViewContent.aspx?filename=NPMR_FOX_2017-07-10_E.MP4$3717$4181","SUPERHUMAN: all parts extraordinary")</f>
        <v>SUPERHUMAN: all parts extraordinary</v>
      </c>
      <c r="E946" s="3" t="s">
        <v>1582</v>
      </c>
      <c r="F946" s="3" t="s">
        <v>5208</v>
      </c>
      <c r="G946" s="3" t="s">
        <v>639</v>
      </c>
    </row>
    <row r="947" spans="1:7">
      <c r="A947" s="6">
        <v>42926</v>
      </c>
      <c r="B947" s="3" t="s">
        <v>4621</v>
      </c>
      <c r="C947" s="3" t="s">
        <v>21</v>
      </c>
      <c r="D947" s="8" t="str">
        <f>HYPERLINK("http://npthd.inbcu.com/ViewContent.aspx?filename=NPMR_FOX_2017-07-10_E.MP4$4181$4332","COMMERCIAL")</f>
        <v>COMMERCIAL</v>
      </c>
      <c r="E947" s="3" t="s">
        <v>91</v>
      </c>
      <c r="F947" s="3" t="s">
        <v>639</v>
      </c>
      <c r="G947" s="3" t="s">
        <v>5209</v>
      </c>
    </row>
    <row r="948" spans="1:7">
      <c r="A948" s="6">
        <v>42926</v>
      </c>
      <c r="B948" s="3" t="s">
        <v>4621</v>
      </c>
      <c r="C948" s="3" t="s">
        <v>18</v>
      </c>
      <c r="D948" s="8" t="str">
        <f>HYPERLINK("http://npthd.inbcu.com/ViewContent.aspx?filename=NPMR_FOX_2017-07-10_E.MP4$4332$4816","SUPERHUMAN: all parts extraordinary")</f>
        <v>SUPERHUMAN: all parts extraordinary</v>
      </c>
      <c r="E948" s="3" t="s">
        <v>73</v>
      </c>
      <c r="F948" s="3" t="s">
        <v>5209</v>
      </c>
      <c r="G948" s="3" t="s">
        <v>3024</v>
      </c>
    </row>
    <row r="949" spans="1:7">
      <c r="A949" s="6">
        <v>42926</v>
      </c>
      <c r="B949" s="3" t="s">
        <v>4621</v>
      </c>
      <c r="C949" s="3" t="s">
        <v>21</v>
      </c>
      <c r="D949" s="8" t="str">
        <f>HYPERLINK("http://npthd.inbcu.com/ViewContent.aspx?filename=NPMR_FOX_2017-07-10_E.MP4$4816$4907","COMMERCIAL")</f>
        <v>COMMERCIAL</v>
      </c>
      <c r="E949" s="3" t="s">
        <v>77</v>
      </c>
      <c r="F949" s="3" t="s">
        <v>3024</v>
      </c>
      <c r="G949" s="3" t="s">
        <v>5210</v>
      </c>
    </row>
    <row r="950" spans="1:7">
      <c r="A950" s="6">
        <v>42926</v>
      </c>
      <c r="B950" s="3" t="s">
        <v>4621</v>
      </c>
      <c r="C950" s="3" t="s">
        <v>14</v>
      </c>
      <c r="D950" s="8" t="str">
        <f>HYPERLINK("http://npthd.inbcu.com/ViewContent.aspx?filename=NPMR_FOX_2017-07-10_E.MP4$4907$4917","MLB All Star Game")</f>
        <v>MLB All Star Game</v>
      </c>
      <c r="E950" s="3" t="s">
        <v>197</v>
      </c>
      <c r="F950" s="3" t="s">
        <v>5210</v>
      </c>
      <c r="G950" s="3" t="s">
        <v>5211</v>
      </c>
    </row>
    <row r="951" spans="1:7">
      <c r="A951" s="6">
        <v>42926</v>
      </c>
      <c r="B951" s="3" t="s">
        <v>4621</v>
      </c>
      <c r="C951" s="3" t="s">
        <v>32</v>
      </c>
      <c r="D951" s="8" t="str">
        <f>HYPERLINK("http://npthd.inbcu.com/ViewContent.aspx?filename=NPMR_FOX_2017-07-10_E.MP4$4917$5059","LOCAL")</f>
        <v>LOCAL</v>
      </c>
      <c r="E951" s="3" t="s">
        <v>2082</v>
      </c>
      <c r="F951" s="3" t="s">
        <v>5211</v>
      </c>
      <c r="G951" s="3" t="s">
        <v>1499</v>
      </c>
    </row>
    <row r="952" spans="1:7">
      <c r="A952" s="6">
        <v>42926</v>
      </c>
      <c r="B952" s="3" t="s">
        <v>4621</v>
      </c>
      <c r="C952" s="3" t="s">
        <v>18</v>
      </c>
      <c r="D952" s="8" t="str">
        <f>HYPERLINK("http://npthd.inbcu.com/ViewContent.aspx?filename=NPMR_FOX_2017-07-10_E.MP4$5059$5415","SUPERHUMAN: all parts extraordinary")</f>
        <v>SUPERHUMAN: all parts extraordinary</v>
      </c>
      <c r="E952" s="3" t="s">
        <v>4055</v>
      </c>
      <c r="F952" s="3" t="s">
        <v>1499</v>
      </c>
      <c r="G952" s="3" t="s">
        <v>1350</v>
      </c>
    </row>
    <row r="953" spans="1:7">
      <c r="A953" s="6">
        <v>42926</v>
      </c>
      <c r="B953" s="3" t="s">
        <v>4621</v>
      </c>
      <c r="C953" s="3" t="s">
        <v>21</v>
      </c>
      <c r="D953" s="8" t="str">
        <f>HYPERLINK("http://npthd.inbcu.com/ViewContent.aspx?filename=NPMR_FOX_2017-07-10_E.MP4$5415$5596","COMMERCIAL")</f>
        <v>COMMERCIAL</v>
      </c>
      <c r="E953" s="3" t="s">
        <v>108</v>
      </c>
      <c r="F953" s="3" t="s">
        <v>1350</v>
      </c>
      <c r="G953" s="3" t="s">
        <v>4822</v>
      </c>
    </row>
    <row r="954" spans="1:7">
      <c r="A954" s="6">
        <v>42926</v>
      </c>
      <c r="B954" s="3" t="s">
        <v>4621</v>
      </c>
      <c r="C954" s="3" t="s">
        <v>18</v>
      </c>
      <c r="D954" s="8" t="str">
        <f>HYPERLINK("http://npthd.inbcu.com/ViewContent.aspx?filename=NPMR_FOX_2017-07-10_E.MP4$5596$6074","SUPERHUMAN: all parts extraordinary")</f>
        <v>SUPERHUMAN: all parts extraordinary</v>
      </c>
      <c r="E954" s="3" t="s">
        <v>908</v>
      </c>
      <c r="F954" s="3" t="s">
        <v>4822</v>
      </c>
      <c r="G954" s="3" t="s">
        <v>3738</v>
      </c>
    </row>
    <row r="955" spans="1:7">
      <c r="A955" s="6">
        <v>42926</v>
      </c>
      <c r="B955" s="3" t="s">
        <v>4621</v>
      </c>
      <c r="C955" s="3" t="s">
        <v>21</v>
      </c>
      <c r="D955" s="8" t="str">
        <f>HYPERLINK("http://npthd.inbcu.com/ViewContent.aspx?filename=NPMR_FOX_2017-07-10_E.MP4$6074$6195","COMMERCIAL")</f>
        <v>COMMERCIAL</v>
      </c>
      <c r="E955" s="3" t="s">
        <v>175</v>
      </c>
      <c r="F955" s="3" t="s">
        <v>3738</v>
      </c>
      <c r="G955" s="3" t="s">
        <v>5212</v>
      </c>
    </row>
    <row r="956" spans="1:7">
      <c r="A956" s="6">
        <v>42926</v>
      </c>
      <c r="B956" s="3" t="s">
        <v>4621</v>
      </c>
      <c r="C956" s="3" t="s">
        <v>14</v>
      </c>
      <c r="D956" s="8" t="str">
        <f>HYPERLINK("http://npthd.inbcu.com/ViewContent.aspx?filename=NPMR_FOX_2017-07-10_E.MP4$6195$6205","MLB All Star Game")</f>
        <v>MLB All Star Game</v>
      </c>
      <c r="E956" s="3" t="s">
        <v>197</v>
      </c>
      <c r="F956" s="3" t="s">
        <v>5212</v>
      </c>
      <c r="G956" s="3" t="s">
        <v>5213</v>
      </c>
    </row>
    <row r="957" spans="1:7">
      <c r="A957" s="6">
        <v>42926</v>
      </c>
      <c r="B957" s="3" t="s">
        <v>4621</v>
      </c>
      <c r="C957" s="3" t="s">
        <v>32</v>
      </c>
      <c r="D957" s="8" t="str">
        <f>HYPERLINK("http://npthd.inbcu.com/ViewContent.aspx?filename=NPMR_FOX_2017-07-10_E.MP4$6205$6296","LOCAL")</f>
        <v>LOCAL</v>
      </c>
      <c r="E957" s="3" t="s">
        <v>77</v>
      </c>
      <c r="F957" s="3" t="s">
        <v>5213</v>
      </c>
      <c r="G957" s="3" t="s">
        <v>4255</v>
      </c>
    </row>
    <row r="958" spans="1:7">
      <c r="A958" s="6">
        <v>42926</v>
      </c>
      <c r="B958" s="3" t="s">
        <v>4621</v>
      </c>
      <c r="C958" s="3" t="s">
        <v>18</v>
      </c>
      <c r="D958" s="8" t="str">
        <f>HYPERLINK("http://npthd.inbcu.com/ViewContent.aspx?filename=NPMR_FOX_2017-07-10_E.MP4$6296$6764","SUPERHUMAN: all parts extraordinary")</f>
        <v>SUPERHUMAN: all parts extraordinary</v>
      </c>
      <c r="E958" s="3" t="s">
        <v>678</v>
      </c>
      <c r="F958" s="3" t="s">
        <v>4255</v>
      </c>
      <c r="G958" s="3" t="s">
        <v>5214</v>
      </c>
    </row>
    <row r="959" spans="1:7">
      <c r="A959" s="6">
        <v>42926</v>
      </c>
      <c r="B959" s="3" t="s">
        <v>4621</v>
      </c>
      <c r="C959" s="3" t="s">
        <v>21</v>
      </c>
      <c r="D959" s="8" t="str">
        <f>HYPERLINK("http://npthd.inbcu.com/ViewContent.aspx?filename=NPMR_FOX_2017-07-10_E.MP4$6764$6854","COMMERCIAL")</f>
        <v>COMMERCIAL</v>
      </c>
      <c r="E959" s="3" t="s">
        <v>46</v>
      </c>
      <c r="F959" s="3" t="s">
        <v>5214</v>
      </c>
      <c r="G959" s="3" t="s">
        <v>5215</v>
      </c>
    </row>
    <row r="960" spans="1:7">
      <c r="A960" s="6">
        <v>42926</v>
      </c>
      <c r="B960" s="3" t="s">
        <v>4621</v>
      </c>
      <c r="C960" s="3" t="s">
        <v>14</v>
      </c>
      <c r="D960" s="8" t="str">
        <f>HYPERLINK("http://npthd.inbcu.com/ViewContent.aspx?filename=NPMR_FOX_2017-07-10_E.MP4$6854$6874","Beat Shazam / Love Connection")</f>
        <v>Beat Shazam / Love Connection</v>
      </c>
      <c r="E960" s="3" t="s">
        <v>1805</v>
      </c>
      <c r="F960" s="3" t="s">
        <v>5215</v>
      </c>
      <c r="G960" s="3" t="s">
        <v>5216</v>
      </c>
    </row>
    <row r="961" spans="1:7">
      <c r="A961" s="6">
        <v>42926</v>
      </c>
      <c r="B961" s="3" t="s">
        <v>4621</v>
      </c>
      <c r="C961" s="3" t="s">
        <v>32</v>
      </c>
      <c r="D961" s="8" t="str">
        <f>HYPERLINK("http://npthd.inbcu.com/ViewContent.aspx?filename=NPMR_FOX_2017-07-10_E.MP4$6874$6895","LOCAL")</f>
        <v>LOCAL</v>
      </c>
      <c r="E961" s="3" t="s">
        <v>2067</v>
      </c>
      <c r="F961" s="3" t="s">
        <v>5216</v>
      </c>
      <c r="G961" s="3" t="s">
        <v>1004</v>
      </c>
    </row>
    <row r="962" spans="1:7">
      <c r="A962" s="6">
        <v>42926</v>
      </c>
      <c r="B962" s="3" t="s">
        <v>4621</v>
      </c>
      <c r="C962" s="3" t="s">
        <v>14</v>
      </c>
      <c r="D962" s="8" t="str">
        <f>HYPERLINK("http://npthd.inbcu.com/ViewContent.aspx?filename=NPMR_FOX_2017-07-10_E.MP4$6895$6915","Master Chef / F Word")</f>
        <v>Master Chef / F Word</v>
      </c>
      <c r="E962" s="3" t="s">
        <v>1805</v>
      </c>
      <c r="F962" s="3" t="s">
        <v>1004</v>
      </c>
      <c r="G962" s="3" t="s">
        <v>5217</v>
      </c>
    </row>
    <row r="963" spans="1:7">
      <c r="A963" s="6">
        <v>42926</v>
      </c>
      <c r="B963" s="3" t="s">
        <v>4621</v>
      </c>
      <c r="C963" s="3" t="s">
        <v>18</v>
      </c>
      <c r="D963" s="8" t="str">
        <f>HYPERLINK("http://npthd.inbcu.com/ViewContent.aspx?filename=NPMR_FOX_2017-07-10_E.MP4$6915$7216","SUPERHUMAN: all parts extraordinary")</f>
        <v>SUPERHUMAN: all parts extraordinary</v>
      </c>
      <c r="E963" s="3" t="s">
        <v>3722</v>
      </c>
      <c r="F963" s="3" t="s">
        <v>5217</v>
      </c>
      <c r="G963" s="3" t="s">
        <v>4976</v>
      </c>
    </row>
    <row r="964" spans="1:7">
      <c r="A964" s="6">
        <v>42926</v>
      </c>
      <c r="B964" s="3" t="s">
        <v>4621</v>
      </c>
      <c r="C964" s="3" t="s">
        <v>14</v>
      </c>
      <c r="D964" s="8" t="str">
        <f>HYPERLINK("http://npthd.inbcu.com/ViewContent.aspx?filename=NPMR_FOX_2017-07-10_E.MP4$7216$7246","Super Human")</f>
        <v>Super Human</v>
      </c>
      <c r="E964" s="3" t="s">
        <v>38</v>
      </c>
      <c r="F964" s="3" t="s">
        <v>4976</v>
      </c>
      <c r="G964" s="3" t="s">
        <v>4977</v>
      </c>
    </row>
    <row r="965" spans="1:7">
      <c r="A965" s="6">
        <v>42926</v>
      </c>
      <c r="B965" s="3" t="s">
        <v>4621</v>
      </c>
      <c r="C965" s="3" t="s">
        <v>18</v>
      </c>
      <c r="D965" s="8" t="str">
        <f>HYPERLINK("http://npthd.inbcu.com/ViewContent.aspx?filename=NPMR_FOX_2017-07-10_E.MP4$7246$7250","SUPERHUMAN: all parts extraordinary")</f>
        <v>SUPERHUMAN: all parts extraordinary</v>
      </c>
      <c r="E965" s="3" t="s">
        <v>84</v>
      </c>
      <c r="F965" s="3" t="s">
        <v>4977</v>
      </c>
      <c r="G965" s="3" t="s">
        <v>3097</v>
      </c>
    </row>
    <row r="966" spans="1:7">
      <c r="A966" s="6">
        <v>42926</v>
      </c>
      <c r="B966" s="3" t="s">
        <v>4621</v>
      </c>
      <c r="C966" s="3" t="s">
        <v>32</v>
      </c>
      <c r="D966" s="8" t="str">
        <f>HYPERLINK("http://npthd.inbcu.com/ViewContent.aspx?filename=NPMR_FOX_2017-07-10_E.MP4$7250$7260","LOCAL")</f>
        <v>LOCAL</v>
      </c>
      <c r="E966" s="3" t="s">
        <v>197</v>
      </c>
      <c r="F966" s="3" t="s">
        <v>3097</v>
      </c>
      <c r="G966" s="3" t="s">
        <v>394</v>
      </c>
    </row>
    <row r="967" spans="1:7">
      <c r="A967" s="6">
        <v>42927</v>
      </c>
      <c r="B967" s="3" t="s">
        <v>4621</v>
      </c>
      <c r="C967" s="3" t="s">
        <v>18</v>
      </c>
      <c r="D967" s="8" t="str">
        <f>HYPERLINK("http://npthd.inbcu.com/ViewContent.aspx?filename=NPMR_FOX_2017-07-11_E.MP4$141$291","PROGRAM")</f>
        <v>PROGRAM</v>
      </c>
      <c r="E967" s="3" t="s">
        <v>28</v>
      </c>
      <c r="F967" s="3" t="s">
        <v>16</v>
      </c>
      <c r="G967" s="3" t="s">
        <v>5218</v>
      </c>
    </row>
    <row r="968" spans="1:7">
      <c r="A968" s="6">
        <v>42927</v>
      </c>
      <c r="B968" s="3" t="s">
        <v>4621</v>
      </c>
      <c r="C968" s="3" t="s">
        <v>21</v>
      </c>
      <c r="D968" s="8" t="str">
        <f>HYPERLINK("http://npthd.inbcu.com/ViewContent.aspx?filename=NPMR_FOX_2017-07-11_E.MP4$291$426","COMMERCIAL")</f>
        <v>COMMERCIAL</v>
      </c>
      <c r="E968" s="3" t="s">
        <v>459</v>
      </c>
      <c r="F968" s="3" t="s">
        <v>5218</v>
      </c>
      <c r="G968" s="3" t="s">
        <v>5219</v>
      </c>
    </row>
    <row r="969" spans="1:7">
      <c r="A969" s="6">
        <v>42927</v>
      </c>
      <c r="B969" s="3" t="s">
        <v>4621</v>
      </c>
      <c r="C969" s="3" t="s">
        <v>14</v>
      </c>
      <c r="D969" s="8" t="str">
        <f>HYPERLINK("http://npthd.inbcu.com/ViewContent.aspx?filename=NPMR_FOX_2017-07-11_E.MP4$426$441","Premiere Boxing Championship")</f>
        <v>Premiere Boxing Championship</v>
      </c>
      <c r="E969" s="3" t="s">
        <v>30</v>
      </c>
      <c r="F969" s="3" t="s">
        <v>5219</v>
      </c>
      <c r="G969" s="3" t="s">
        <v>5220</v>
      </c>
    </row>
    <row r="970" spans="1:7">
      <c r="A970" s="6">
        <v>42927</v>
      </c>
      <c r="B970" s="3" t="s">
        <v>4621</v>
      </c>
      <c r="C970" s="3" t="s">
        <v>18</v>
      </c>
      <c r="D970" s="8" t="str">
        <f>HYPERLINK("http://npthd.inbcu.com/ViewContent.aspx?filename=NPMR_FOX_2017-07-11_E.MP4$441$1003","PROGRAM")</f>
        <v>PROGRAM</v>
      </c>
      <c r="E970" s="3" t="s">
        <v>2909</v>
      </c>
      <c r="F970" s="3" t="s">
        <v>5220</v>
      </c>
      <c r="G970" s="3" t="s">
        <v>3408</v>
      </c>
    </row>
    <row r="971" spans="1:7">
      <c r="A971" s="6">
        <v>42927</v>
      </c>
      <c r="B971" s="3" t="s">
        <v>4621</v>
      </c>
      <c r="C971" s="3" t="s">
        <v>21</v>
      </c>
      <c r="D971" s="8" t="str">
        <f>HYPERLINK("http://npthd.inbcu.com/ViewContent.aspx?filename=NPMR_FOX_2017-07-11_E.MP4$1003$1124","COMMERCIAL")</f>
        <v>COMMERCIAL</v>
      </c>
      <c r="E971" s="3" t="s">
        <v>175</v>
      </c>
      <c r="F971" s="3" t="s">
        <v>3408</v>
      </c>
      <c r="G971" s="3" t="s">
        <v>4805</v>
      </c>
    </row>
    <row r="972" spans="1:7">
      <c r="A972" s="6">
        <v>42927</v>
      </c>
      <c r="B972" s="3" t="s">
        <v>4621</v>
      </c>
      <c r="C972" s="3" t="s">
        <v>14</v>
      </c>
      <c r="D972" s="8" t="str">
        <f>HYPERLINK("http://npthd.inbcu.com/ViewContent.aspx?filename=NPMR_FOX_2017-07-11_E.MP4$1124$1153","College Football on FOX")</f>
        <v>College Football on FOX</v>
      </c>
      <c r="E972" s="3" t="s">
        <v>24</v>
      </c>
      <c r="F972" s="3" t="s">
        <v>4805</v>
      </c>
      <c r="G972" s="3" t="s">
        <v>505</v>
      </c>
    </row>
    <row r="973" spans="1:7">
      <c r="A973" s="6">
        <v>42927</v>
      </c>
      <c r="B973" s="3" t="s">
        <v>4621</v>
      </c>
      <c r="C973" s="3" t="s">
        <v>18</v>
      </c>
      <c r="D973" s="8" t="str">
        <f>HYPERLINK("http://npthd.inbcu.com/ViewContent.aspx?filename=NPMR_FOX_2017-07-11_E.MP4$1153$1848","PROGRAM")</f>
        <v>PROGRAM</v>
      </c>
      <c r="E973" s="3" t="s">
        <v>3778</v>
      </c>
      <c r="F973" s="3" t="s">
        <v>505</v>
      </c>
      <c r="G973" s="3" t="s">
        <v>2895</v>
      </c>
    </row>
    <row r="974" spans="1:7">
      <c r="A974" s="6">
        <v>42927</v>
      </c>
      <c r="B974" s="3" t="s">
        <v>4621</v>
      </c>
      <c r="C974" s="3" t="s">
        <v>21</v>
      </c>
      <c r="D974" s="8" t="str">
        <f>HYPERLINK("http://npthd.inbcu.com/ViewContent.aspx?filename=NPMR_FOX_2017-07-11_E.MP4$1848$1984","COMMERCIAL")</f>
        <v>COMMERCIAL</v>
      </c>
      <c r="E974" s="3" t="s">
        <v>668</v>
      </c>
      <c r="F974" s="3" t="s">
        <v>2895</v>
      </c>
      <c r="G974" s="3" t="s">
        <v>5221</v>
      </c>
    </row>
    <row r="975" spans="1:7">
      <c r="A975" s="6">
        <v>42927</v>
      </c>
      <c r="B975" s="3" t="s">
        <v>4621</v>
      </c>
      <c r="C975" s="3" t="s">
        <v>18</v>
      </c>
      <c r="D975" s="8" t="str">
        <f>HYPERLINK("http://npthd.inbcu.com/ViewContent.aspx?filename=NPMR_FOX_2017-07-11_E.MP4$1984$2471","PROGRAM")</f>
        <v>PROGRAM</v>
      </c>
      <c r="E975" s="3" t="s">
        <v>1733</v>
      </c>
      <c r="F975" s="3" t="s">
        <v>5221</v>
      </c>
      <c r="G975" s="3" t="s">
        <v>5222</v>
      </c>
    </row>
    <row r="976" spans="1:7">
      <c r="A976" s="6">
        <v>42927</v>
      </c>
      <c r="B976" s="3" t="s">
        <v>4621</v>
      </c>
      <c r="C976" s="3" t="s">
        <v>21</v>
      </c>
      <c r="D976" s="8" t="str">
        <f>HYPERLINK("http://npthd.inbcu.com/ViewContent.aspx?filename=NPMR_FOX_2017-07-11_E.MP4$2471$2532","COMMERCIAL")</f>
        <v>COMMERCIAL</v>
      </c>
      <c r="E976" s="3" t="s">
        <v>33</v>
      </c>
      <c r="F976" s="3" t="s">
        <v>5222</v>
      </c>
      <c r="G976" s="3" t="s">
        <v>1269</v>
      </c>
    </row>
    <row r="977" spans="1:7">
      <c r="A977" s="6">
        <v>42927</v>
      </c>
      <c r="B977" s="3" t="s">
        <v>4621</v>
      </c>
      <c r="C977" s="3" t="s">
        <v>18</v>
      </c>
      <c r="D977" s="8" t="str">
        <f>HYPERLINK("http://npthd.inbcu.com/ViewContent.aspx?filename=NPMR_FOX_2017-07-11_E.MP4$2532$2945","PROGRAM")</f>
        <v>PROGRAM</v>
      </c>
      <c r="E977" s="3" t="s">
        <v>2603</v>
      </c>
      <c r="F977" s="3" t="s">
        <v>1269</v>
      </c>
      <c r="G977" s="3" t="s">
        <v>3341</v>
      </c>
    </row>
    <row r="978" spans="1:7">
      <c r="A978" s="6">
        <v>42927</v>
      </c>
      <c r="B978" s="3" t="s">
        <v>4621</v>
      </c>
      <c r="C978" s="3" t="s">
        <v>21</v>
      </c>
      <c r="D978" s="8" t="str">
        <f>HYPERLINK("http://npthd.inbcu.com/ViewContent.aspx?filename=NPMR_FOX_2017-07-11_E.MP4$2945$3111","COMMERCIAL")</f>
        <v>COMMERCIAL</v>
      </c>
      <c r="E978" s="3" t="s">
        <v>144</v>
      </c>
      <c r="F978" s="3" t="s">
        <v>3341</v>
      </c>
      <c r="G978" s="3" t="s">
        <v>5223</v>
      </c>
    </row>
    <row r="979" spans="1:7">
      <c r="A979" s="6">
        <v>42927</v>
      </c>
      <c r="B979" s="3" t="s">
        <v>4621</v>
      </c>
      <c r="C979" s="3" t="s">
        <v>18</v>
      </c>
      <c r="D979" s="8" t="str">
        <f>HYPERLINK("http://npthd.inbcu.com/ViewContent.aspx?filename=NPMR_FOX_2017-07-11_E.MP4$3111$3382","PROGRAM")</f>
        <v>PROGRAM</v>
      </c>
      <c r="E979" s="3" t="s">
        <v>994</v>
      </c>
      <c r="F979" s="3" t="s">
        <v>5223</v>
      </c>
      <c r="G979" s="3" t="s">
        <v>5224</v>
      </c>
    </row>
    <row r="980" spans="1:7">
      <c r="A980" s="6">
        <v>42927</v>
      </c>
      <c r="B980" s="3" t="s">
        <v>4621</v>
      </c>
      <c r="C980" s="3" t="s">
        <v>14</v>
      </c>
      <c r="D980" s="8" t="str">
        <f>HYPERLINK("http://npthd.inbcu.com/ViewContent.aspx?filename=NPMR_FOX_2017-07-11_E.MP4$3382$3385","Skip and Shannon (FS1)")</f>
        <v>Skip and Shannon (FS1)</v>
      </c>
      <c r="E980" s="3" t="s">
        <v>393</v>
      </c>
      <c r="F980" s="3" t="s">
        <v>5224</v>
      </c>
      <c r="G980" s="3" t="s">
        <v>4811</v>
      </c>
    </row>
    <row r="981" spans="1:7">
      <c r="A981" s="6">
        <v>42927</v>
      </c>
      <c r="B981" s="3" t="s">
        <v>4621</v>
      </c>
      <c r="C981" s="3" t="s">
        <v>14</v>
      </c>
      <c r="D981" s="8" t="str">
        <f>HYPERLINK("http://npthd.inbcu.com/ViewContent.aspx?filename=NPMR_FOX_2017-07-11_E.MP4$3385$3400","MLB (Fox Sports 1)")</f>
        <v>MLB (Fox Sports 1)</v>
      </c>
      <c r="E981" s="3" t="s">
        <v>30</v>
      </c>
      <c r="F981" s="3" t="s">
        <v>4811</v>
      </c>
      <c r="G981" s="3" t="s">
        <v>1492</v>
      </c>
    </row>
    <row r="982" spans="1:7">
      <c r="A982" s="6">
        <v>42927</v>
      </c>
      <c r="B982" s="3" t="s">
        <v>4621</v>
      </c>
      <c r="C982" s="3" t="s">
        <v>21</v>
      </c>
      <c r="D982" s="8" t="str">
        <f>HYPERLINK("http://npthd.inbcu.com/ViewContent.aspx?filename=NPMR_FOX_2017-07-11_E.MP4$3400$3522","COMMERCIAL")</f>
        <v>COMMERCIAL</v>
      </c>
      <c r="E982" s="3" t="s">
        <v>252</v>
      </c>
      <c r="F982" s="3" t="s">
        <v>1492</v>
      </c>
      <c r="G982" s="3" t="s">
        <v>5083</v>
      </c>
    </row>
    <row r="983" spans="1:7">
      <c r="A983" s="6">
        <v>42927</v>
      </c>
      <c r="B983" s="3" t="s">
        <v>4621</v>
      </c>
      <c r="C983" s="3" t="s">
        <v>18</v>
      </c>
      <c r="D983" s="8" t="str">
        <f>HYPERLINK("http://npthd.inbcu.com/ViewContent.aspx?filename=NPMR_FOX_2017-07-11_E.MP4$3522$3865","PROGRAM")</f>
        <v>PROGRAM</v>
      </c>
      <c r="E983" s="3" t="s">
        <v>1170</v>
      </c>
      <c r="F983" s="3" t="s">
        <v>5083</v>
      </c>
      <c r="G983" s="3" t="s">
        <v>5225</v>
      </c>
    </row>
    <row r="984" spans="1:7">
      <c r="A984" s="6">
        <v>42927</v>
      </c>
      <c r="B984" s="3" t="s">
        <v>4621</v>
      </c>
      <c r="C984" s="3" t="s">
        <v>21</v>
      </c>
      <c r="D984" s="8" t="str">
        <f>HYPERLINK("http://npthd.inbcu.com/ViewContent.aspx?filename=NPMR_FOX_2017-07-11_E.MP4$3865$4015","COMMERCIAL")</f>
        <v>COMMERCIAL</v>
      </c>
      <c r="E984" s="3" t="s">
        <v>28</v>
      </c>
      <c r="F984" s="3" t="s">
        <v>5225</v>
      </c>
      <c r="G984" s="3" t="s">
        <v>4760</v>
      </c>
    </row>
    <row r="985" spans="1:7">
      <c r="A985" s="6">
        <v>42927</v>
      </c>
      <c r="B985" s="3" t="s">
        <v>4621</v>
      </c>
      <c r="C985" s="3" t="s">
        <v>18</v>
      </c>
      <c r="D985" s="8" t="str">
        <f>HYPERLINK("http://npthd.inbcu.com/ViewContent.aspx?filename=NPMR_FOX_2017-07-11_E.MP4$4015$4635","PROGRAM")</f>
        <v>PROGRAM</v>
      </c>
      <c r="E985" s="3" t="s">
        <v>367</v>
      </c>
      <c r="F985" s="3" t="s">
        <v>4760</v>
      </c>
      <c r="G985" s="3" t="s">
        <v>5226</v>
      </c>
    </row>
    <row r="986" spans="1:7">
      <c r="A986" s="6">
        <v>42927</v>
      </c>
      <c r="B986" s="3" t="s">
        <v>4621</v>
      </c>
      <c r="C986" s="3" t="s">
        <v>21</v>
      </c>
      <c r="D986" s="8" t="str">
        <f>HYPERLINK("http://npthd.inbcu.com/ViewContent.aspx?filename=NPMR_FOX_2017-07-11_E.MP4$4635$4801","COMMERCIAL")</f>
        <v>COMMERCIAL</v>
      </c>
      <c r="E986" s="3" t="s">
        <v>144</v>
      </c>
      <c r="F986" s="3" t="s">
        <v>5226</v>
      </c>
      <c r="G986" s="3" t="s">
        <v>5227</v>
      </c>
    </row>
    <row r="987" spans="1:7">
      <c r="A987" s="6">
        <v>42927</v>
      </c>
      <c r="B987" s="3" t="s">
        <v>4621</v>
      </c>
      <c r="C987" s="3" t="s">
        <v>18</v>
      </c>
      <c r="D987" s="8" t="str">
        <f>HYPERLINK("http://npthd.inbcu.com/ViewContent.aspx?filename=NPMR_FOX_2017-07-11_E.MP4$4801$5255","PROGRAM")</f>
        <v>PROGRAM</v>
      </c>
      <c r="E987" s="3" t="s">
        <v>3558</v>
      </c>
      <c r="F987" s="3" t="s">
        <v>5227</v>
      </c>
      <c r="G987" s="3" t="s">
        <v>5228</v>
      </c>
    </row>
    <row r="988" spans="1:7">
      <c r="A988" s="6">
        <v>42927</v>
      </c>
      <c r="B988" s="3" t="s">
        <v>4621</v>
      </c>
      <c r="C988" s="3" t="s">
        <v>21</v>
      </c>
      <c r="D988" s="8" t="str">
        <f>HYPERLINK("http://npthd.inbcu.com/ViewContent.aspx?filename=NPMR_FOX_2017-07-11_E.MP4$5255$5421","COMMERCIAL")</f>
        <v>COMMERCIAL</v>
      </c>
      <c r="E988" s="3" t="s">
        <v>144</v>
      </c>
      <c r="F988" s="3" t="s">
        <v>5228</v>
      </c>
      <c r="G988" s="3" t="s">
        <v>2288</v>
      </c>
    </row>
    <row r="989" spans="1:7">
      <c r="A989" s="6">
        <v>42927</v>
      </c>
      <c r="B989" s="3" t="s">
        <v>4621</v>
      </c>
      <c r="C989" s="3" t="s">
        <v>18</v>
      </c>
      <c r="D989" s="8" t="str">
        <f>HYPERLINK("http://npthd.inbcu.com/ViewContent.aspx?filename=NPMR_FOX_2017-07-11_E.MP4$5421$5655","PROGRAM")</f>
        <v>PROGRAM</v>
      </c>
      <c r="E989" s="3" t="s">
        <v>1419</v>
      </c>
      <c r="F989" s="3" t="s">
        <v>2288</v>
      </c>
      <c r="G989" s="3" t="s">
        <v>5229</v>
      </c>
    </row>
    <row r="990" spans="1:7">
      <c r="A990" s="6">
        <v>42927</v>
      </c>
      <c r="B990" s="3" t="s">
        <v>4621</v>
      </c>
      <c r="C990" s="3" t="s">
        <v>21</v>
      </c>
      <c r="D990" s="8" t="str">
        <f>HYPERLINK("http://npthd.inbcu.com/ViewContent.aspx?filename=NPMR_FOX_2017-07-11_E.MP4$5655$5811","COMMERCIAL")</f>
        <v>COMMERCIAL</v>
      </c>
      <c r="E990" s="3" t="s">
        <v>3147</v>
      </c>
      <c r="F990" s="3" t="s">
        <v>5229</v>
      </c>
      <c r="G990" s="3" t="s">
        <v>3084</v>
      </c>
    </row>
    <row r="991" spans="1:7">
      <c r="A991" s="6">
        <v>42927</v>
      </c>
      <c r="B991" s="3" t="s">
        <v>4621</v>
      </c>
      <c r="C991" s="3" t="s">
        <v>18</v>
      </c>
      <c r="D991" s="8" t="str">
        <f>HYPERLINK("http://npthd.inbcu.com/ViewContent.aspx?filename=NPMR_FOX_2017-07-11_E.MP4$5811$6235","PROGRAM")</f>
        <v>PROGRAM</v>
      </c>
      <c r="E991" s="3" t="s">
        <v>1818</v>
      </c>
      <c r="F991" s="3" t="s">
        <v>3084</v>
      </c>
      <c r="G991" s="3" t="s">
        <v>3308</v>
      </c>
    </row>
    <row r="992" spans="1:7">
      <c r="A992" s="6">
        <v>42927</v>
      </c>
      <c r="B992" s="3" t="s">
        <v>4621</v>
      </c>
      <c r="C992" s="3" t="s">
        <v>21</v>
      </c>
      <c r="D992" s="8" t="str">
        <f>HYPERLINK("http://npthd.inbcu.com/ViewContent.aspx?filename=NPMR_FOX_2017-07-11_E.MP4$6235$6401","COMMERCIAL")</f>
        <v>COMMERCIAL</v>
      </c>
      <c r="E992" s="3" t="s">
        <v>144</v>
      </c>
      <c r="F992" s="3" t="s">
        <v>3308</v>
      </c>
      <c r="G992" s="3" t="s">
        <v>5027</v>
      </c>
    </row>
    <row r="993" spans="1:7">
      <c r="A993" s="6">
        <v>42927</v>
      </c>
      <c r="B993" s="3" t="s">
        <v>4621</v>
      </c>
      <c r="C993" s="3" t="s">
        <v>18</v>
      </c>
      <c r="D993" s="8" t="str">
        <f>HYPERLINK("http://npthd.inbcu.com/ViewContent.aspx?filename=NPMR_FOX_2017-07-11_E.MP4$6401$6716","PROGRAM")</f>
        <v>PROGRAM</v>
      </c>
      <c r="E993" s="3" t="s">
        <v>5230</v>
      </c>
      <c r="F993" s="3" t="s">
        <v>5027</v>
      </c>
      <c r="G993" s="3" t="s">
        <v>2099</v>
      </c>
    </row>
    <row r="994" spans="1:7">
      <c r="A994" s="6">
        <v>42927</v>
      </c>
      <c r="B994" s="3" t="s">
        <v>4621</v>
      </c>
      <c r="C994" s="3" t="s">
        <v>21</v>
      </c>
      <c r="D994" s="8" t="str">
        <f>HYPERLINK("http://npthd.inbcu.com/ViewContent.aspx?filename=NPMR_FOX_2017-07-11_E.MP4$6716$6776","COMMERCIAL")</f>
        <v>COMMERCIAL</v>
      </c>
      <c r="E994" s="3" t="s">
        <v>66</v>
      </c>
      <c r="F994" s="3" t="s">
        <v>2099</v>
      </c>
      <c r="G994" s="3" t="s">
        <v>1358</v>
      </c>
    </row>
    <row r="995" spans="1:7">
      <c r="A995" s="6">
        <v>42927</v>
      </c>
      <c r="B995" s="3" t="s">
        <v>4621</v>
      </c>
      <c r="C995" s="3" t="s">
        <v>21</v>
      </c>
      <c r="D995" s="8" t="str">
        <f>HYPERLINK("http://npthd.inbcu.com/ViewContent.aspx?filename=NPMR_FOX_2017-07-11_E.MP4$6776$6977","COMMERCIAL")</f>
        <v>COMMERCIAL</v>
      </c>
      <c r="E995" s="3" t="s">
        <v>137</v>
      </c>
      <c r="F995" s="3" t="s">
        <v>1358</v>
      </c>
      <c r="G995" s="3" t="s">
        <v>1511</v>
      </c>
    </row>
    <row r="996" spans="1:7">
      <c r="A996" s="6">
        <v>42927</v>
      </c>
      <c r="B996" s="3" t="s">
        <v>4621</v>
      </c>
      <c r="C996" s="3" t="s">
        <v>18</v>
      </c>
      <c r="D996" s="8" t="str">
        <f>HYPERLINK("http://npthd.inbcu.com/ViewContent.aspx?filename=NPMR_FOX_2017-07-11_E.MP4$6977$7341","PROGRAM")</f>
        <v>PROGRAM</v>
      </c>
      <c r="E996" s="3" t="s">
        <v>626</v>
      </c>
      <c r="F996" s="3" t="s">
        <v>1511</v>
      </c>
      <c r="G996" s="3" t="s">
        <v>394</v>
      </c>
    </row>
    <row r="997" spans="1:7">
      <c r="A997" s="6">
        <v>42928</v>
      </c>
      <c r="B997" s="3" t="s">
        <v>4621</v>
      </c>
      <c r="C997" s="3" t="s">
        <v>18</v>
      </c>
      <c r="D997" s="8" t="str">
        <f>HYPERLINK("http://npthd.inbcu.com/ViewContent.aspx?filename=NPMR_FOX_2017-07-12_E.MP4$67$681","MASTERCHEF: silenced by the lambs")</f>
        <v>MASTERCHEF: silenced by the lambs</v>
      </c>
      <c r="E997" s="3" t="s">
        <v>2834</v>
      </c>
      <c r="F997" s="3" t="s">
        <v>16</v>
      </c>
      <c r="G997" s="3" t="s">
        <v>5034</v>
      </c>
    </row>
    <row r="998" spans="1:7">
      <c r="A998" s="6">
        <v>42928</v>
      </c>
      <c r="B998" s="3" t="s">
        <v>4621</v>
      </c>
      <c r="C998" s="3" t="s">
        <v>21</v>
      </c>
      <c r="D998" s="8" t="str">
        <f>HYPERLINK("http://npthd.inbcu.com/ViewContent.aspx?filename=NPMR_FOX_2017-07-12_E.MP4$681$846","COMMERCIAL")</f>
        <v>COMMERCIAL</v>
      </c>
      <c r="E998" s="3" t="s">
        <v>428</v>
      </c>
      <c r="F998" s="3" t="s">
        <v>5034</v>
      </c>
      <c r="G998" s="3" t="s">
        <v>5231</v>
      </c>
    </row>
    <row r="999" spans="1:7">
      <c r="A999" s="6">
        <v>42928</v>
      </c>
      <c r="B999" s="3" t="s">
        <v>4621</v>
      </c>
      <c r="C999" s="3" t="s">
        <v>14</v>
      </c>
      <c r="D999" s="8" t="str">
        <f>HYPERLINK("http://npthd.inbcu.com/ViewContent.aspx?filename=NPMR_FOX_2017-07-12_E.MP4$846$866","F Word, The")</f>
        <v>F Word, The</v>
      </c>
      <c r="E999" s="3" t="s">
        <v>1805</v>
      </c>
      <c r="F999" s="3" t="s">
        <v>5231</v>
      </c>
      <c r="G999" s="3" t="s">
        <v>5232</v>
      </c>
    </row>
    <row r="1000" spans="1:7">
      <c r="A1000" s="6">
        <v>42928</v>
      </c>
      <c r="B1000" s="3" t="s">
        <v>4621</v>
      </c>
      <c r="C1000" s="3" t="s">
        <v>18</v>
      </c>
      <c r="D1000" s="8" t="str">
        <f>HYPERLINK("http://npthd.inbcu.com/ViewContent.aspx?filename=NPMR_FOX_2017-07-12_E.MP4$866$1215","MASTERCHEF: silenced by the lambs")</f>
        <v>MASTERCHEF: silenced by the lambs</v>
      </c>
      <c r="E1000" s="3" t="s">
        <v>4933</v>
      </c>
      <c r="F1000" s="3" t="s">
        <v>5232</v>
      </c>
      <c r="G1000" s="3" t="s">
        <v>5233</v>
      </c>
    </row>
    <row r="1001" spans="1:7">
      <c r="A1001" s="6">
        <v>42928</v>
      </c>
      <c r="B1001" s="3" t="s">
        <v>4621</v>
      </c>
      <c r="C1001" s="3" t="s">
        <v>21</v>
      </c>
      <c r="D1001" s="8" t="str">
        <f>HYPERLINK("http://npthd.inbcu.com/ViewContent.aspx?filename=NPMR_FOX_2017-07-12_E.MP4$1215$1306","COMMERCIAL")</f>
        <v>COMMERCIAL</v>
      </c>
      <c r="E1001" s="3" t="s">
        <v>77</v>
      </c>
      <c r="F1001" s="3" t="s">
        <v>5233</v>
      </c>
      <c r="G1001" s="3" t="s">
        <v>5234</v>
      </c>
    </row>
    <row r="1002" spans="1:7">
      <c r="A1002" s="6">
        <v>42928</v>
      </c>
      <c r="B1002" s="3" t="s">
        <v>4621</v>
      </c>
      <c r="C1002" s="3" t="s">
        <v>14</v>
      </c>
      <c r="D1002" s="8" t="str">
        <f>HYPERLINK("http://npthd.inbcu.com/ViewContent.aspx?filename=NPMR_FOX_2017-07-12_E.MP4$1306$1321","Strain (FX)")</f>
        <v>Strain (FX)</v>
      </c>
      <c r="E1002" s="3" t="s">
        <v>30</v>
      </c>
      <c r="F1002" s="3" t="s">
        <v>5234</v>
      </c>
      <c r="G1002" s="3" t="s">
        <v>4915</v>
      </c>
    </row>
    <row r="1003" spans="1:7">
      <c r="A1003" s="6">
        <v>42928</v>
      </c>
      <c r="B1003" s="3" t="s">
        <v>4621</v>
      </c>
      <c r="C1003" s="3" t="s">
        <v>32</v>
      </c>
      <c r="D1003" s="8" t="str">
        <f>HYPERLINK("http://npthd.inbcu.com/ViewContent.aspx?filename=NPMR_FOX_2017-07-12_E.MP4$1321$1442","LOCAL")</f>
        <v>LOCAL</v>
      </c>
      <c r="E1003" s="3" t="s">
        <v>175</v>
      </c>
      <c r="F1003" s="3" t="s">
        <v>4915</v>
      </c>
      <c r="G1003" s="3" t="s">
        <v>5235</v>
      </c>
    </row>
    <row r="1004" spans="1:7">
      <c r="A1004" s="6">
        <v>42928</v>
      </c>
      <c r="B1004" s="3" t="s">
        <v>4621</v>
      </c>
      <c r="C1004" s="3" t="s">
        <v>14</v>
      </c>
      <c r="D1004" s="8" t="str">
        <f>HYPERLINK("http://npthd.inbcu.com/ViewContent.aspx?filename=NPMR_FOX_2017-07-12_E.MP4$1442$1462","Beat Shazam")</f>
        <v>Beat Shazam</v>
      </c>
      <c r="E1004" s="3" t="s">
        <v>1805</v>
      </c>
      <c r="F1004" s="3" t="s">
        <v>5235</v>
      </c>
      <c r="G1004" s="3" t="s">
        <v>5236</v>
      </c>
    </row>
    <row r="1005" spans="1:7">
      <c r="A1005" s="6">
        <v>42928</v>
      </c>
      <c r="B1005" s="3" t="s">
        <v>4621</v>
      </c>
      <c r="C1005" s="3" t="s">
        <v>18</v>
      </c>
      <c r="D1005" s="8" t="str">
        <f>HYPERLINK("http://npthd.inbcu.com/ViewContent.aspx?filename=NPMR_FOX_2017-07-12_E.MP4$1462$1963","MASTERCHEF: silenced by the lambs")</f>
        <v>MASTERCHEF: silenced by the lambs</v>
      </c>
      <c r="E1005" s="3" t="s">
        <v>1633</v>
      </c>
      <c r="F1005" s="3" t="s">
        <v>5236</v>
      </c>
      <c r="G1005" s="3" t="s">
        <v>5237</v>
      </c>
    </row>
    <row r="1006" spans="1:7">
      <c r="A1006" s="6">
        <v>42928</v>
      </c>
      <c r="B1006" s="3" t="s">
        <v>4621</v>
      </c>
      <c r="C1006" s="3" t="s">
        <v>21</v>
      </c>
      <c r="D1006" s="8" t="str">
        <f>HYPERLINK("http://npthd.inbcu.com/ViewContent.aspx?filename=NPMR_FOX_2017-07-12_E.MP4$1963$2158","COMMERCIAL")</f>
        <v>COMMERCIAL</v>
      </c>
      <c r="E1006" s="3" t="s">
        <v>388</v>
      </c>
      <c r="F1006" s="3" t="s">
        <v>5237</v>
      </c>
      <c r="G1006" s="3" t="s">
        <v>5238</v>
      </c>
    </row>
    <row r="1007" spans="1:7">
      <c r="A1007" s="6">
        <v>42928</v>
      </c>
      <c r="B1007" s="3" t="s">
        <v>4621</v>
      </c>
      <c r="C1007" s="3" t="s">
        <v>14</v>
      </c>
      <c r="D1007" s="8" t="str">
        <f>HYPERLINK("http://npthd.inbcu.com/ViewContent.aspx?filename=NPMR_FOX_2017-07-12_E.MP4$2158$2188","Gifted")</f>
        <v>Gifted</v>
      </c>
      <c r="E1007" s="3" t="s">
        <v>38</v>
      </c>
      <c r="F1007" s="3" t="s">
        <v>5238</v>
      </c>
      <c r="G1007" s="3" t="s">
        <v>4833</v>
      </c>
    </row>
    <row r="1008" spans="1:7">
      <c r="A1008" s="6">
        <v>42928</v>
      </c>
      <c r="B1008" s="3" t="s">
        <v>4621</v>
      </c>
      <c r="C1008" s="3" t="s">
        <v>18</v>
      </c>
      <c r="D1008" s="8" t="str">
        <f>HYPERLINK("http://npthd.inbcu.com/ViewContent.aspx?filename=NPMR_FOX_2017-07-12_E.MP4$2188$2604","MASTERCHEF: silenced by the lambs")</f>
        <v>MASTERCHEF: silenced by the lambs</v>
      </c>
      <c r="E1008" s="3" t="s">
        <v>3577</v>
      </c>
      <c r="F1008" s="3" t="s">
        <v>4833</v>
      </c>
      <c r="G1008" s="3" t="s">
        <v>5239</v>
      </c>
    </row>
    <row r="1009" spans="1:7">
      <c r="A1009" s="6">
        <v>42928</v>
      </c>
      <c r="B1009" s="3" t="s">
        <v>4621</v>
      </c>
      <c r="C1009" s="3" t="s">
        <v>21</v>
      </c>
      <c r="D1009" s="8" t="str">
        <f>HYPERLINK("http://npthd.inbcu.com/ViewContent.aspx?filename=NPMR_FOX_2017-07-12_E.MP4$2604$2709","COMMERCIAL")</f>
        <v>COMMERCIAL</v>
      </c>
      <c r="E1009" s="3" t="s">
        <v>199</v>
      </c>
      <c r="F1009" s="3" t="s">
        <v>5239</v>
      </c>
      <c r="G1009" s="3" t="s">
        <v>5240</v>
      </c>
    </row>
    <row r="1010" spans="1:7">
      <c r="A1010" s="6">
        <v>42928</v>
      </c>
      <c r="B1010" s="3" t="s">
        <v>4621</v>
      </c>
      <c r="C1010" s="3" t="s">
        <v>14</v>
      </c>
      <c r="D1010" s="8" t="str">
        <f>HYPERLINK("http://npthd.inbcu.com/ViewContent.aspx?filename=NPMR_FOX_2017-07-12_E.MP4$2709$2739","Strain (FX)")</f>
        <v>Strain (FX)</v>
      </c>
      <c r="E1010" s="3" t="s">
        <v>38</v>
      </c>
      <c r="F1010" s="3" t="s">
        <v>5240</v>
      </c>
      <c r="G1010" s="3" t="s">
        <v>5241</v>
      </c>
    </row>
    <row r="1011" spans="1:7">
      <c r="A1011" s="6">
        <v>42928</v>
      </c>
      <c r="B1011" s="3" t="s">
        <v>4621</v>
      </c>
      <c r="C1011" s="3" t="s">
        <v>32</v>
      </c>
      <c r="D1011" s="8" t="str">
        <f>HYPERLINK("http://npthd.inbcu.com/ViewContent.aspx?filename=NPMR_FOX_2017-07-12_E.MP4$2739$2850","LOCAL")</f>
        <v>LOCAL</v>
      </c>
      <c r="E1011" s="3" t="s">
        <v>2656</v>
      </c>
      <c r="F1011" s="3" t="s">
        <v>5241</v>
      </c>
      <c r="G1011" s="3" t="s">
        <v>5242</v>
      </c>
    </row>
    <row r="1012" spans="1:7">
      <c r="A1012" s="6">
        <v>42928</v>
      </c>
      <c r="B1012" s="3" t="s">
        <v>4621</v>
      </c>
      <c r="C1012" s="3" t="s">
        <v>18</v>
      </c>
      <c r="D1012" s="8" t="str">
        <f>HYPERLINK("http://npthd.inbcu.com/ViewContent.aspx?filename=NPMR_FOX_2017-07-12_E.MP4$2850$3191","MASTERCHEF: silenced by the lambs")</f>
        <v>MASTERCHEF: silenced by the lambs</v>
      </c>
      <c r="E1012" s="3" t="s">
        <v>2483</v>
      </c>
      <c r="F1012" s="3" t="s">
        <v>5242</v>
      </c>
      <c r="G1012" s="3" t="s">
        <v>983</v>
      </c>
    </row>
    <row r="1013" spans="1:7">
      <c r="A1013" s="6">
        <v>42928</v>
      </c>
      <c r="B1013" s="3" t="s">
        <v>4621</v>
      </c>
      <c r="C1013" s="3" t="s">
        <v>21</v>
      </c>
      <c r="D1013" s="8" t="str">
        <f>HYPERLINK("http://npthd.inbcu.com/ViewContent.aspx?filename=NPMR_FOX_2017-07-12_E.MP4$3191$3311","COMMERCIAL")</f>
        <v>COMMERCIAL</v>
      </c>
      <c r="E1013" s="3" t="s">
        <v>43</v>
      </c>
      <c r="F1013" s="3" t="s">
        <v>983</v>
      </c>
      <c r="G1013" s="3" t="s">
        <v>4811</v>
      </c>
    </row>
    <row r="1014" spans="1:7">
      <c r="A1014" s="6">
        <v>42928</v>
      </c>
      <c r="B1014" s="3" t="s">
        <v>4621</v>
      </c>
      <c r="C1014" s="3" t="s">
        <v>18</v>
      </c>
      <c r="D1014" s="8" t="str">
        <f>HYPERLINK("http://npthd.inbcu.com/ViewContent.aspx?filename=NPMR_FOX_2017-07-12_E.MP4$3311$3630","MASTERCHEF: silenced by the lambs")</f>
        <v>MASTERCHEF: silenced by the lambs</v>
      </c>
      <c r="E1014" s="3" t="s">
        <v>592</v>
      </c>
      <c r="F1014" s="3" t="s">
        <v>4811</v>
      </c>
      <c r="G1014" s="3" t="s">
        <v>1782</v>
      </c>
    </row>
    <row r="1015" spans="1:7">
      <c r="A1015" s="6">
        <v>42928</v>
      </c>
      <c r="B1015" s="3" t="s">
        <v>4621</v>
      </c>
      <c r="C1015" s="3" t="s">
        <v>14</v>
      </c>
      <c r="D1015" s="8" t="str">
        <f>HYPERLINK("http://npthd.inbcu.com/ViewContent.aspx?filename=NPMR_FOX_2017-07-12_E.MP4$3630$3660","MasterChef")</f>
        <v>MasterChef</v>
      </c>
      <c r="E1015" s="3" t="s">
        <v>38</v>
      </c>
      <c r="F1015" s="3" t="s">
        <v>1782</v>
      </c>
      <c r="G1015" s="3" t="s">
        <v>3673</v>
      </c>
    </row>
    <row r="1016" spans="1:7">
      <c r="A1016" s="6">
        <v>42928</v>
      </c>
      <c r="B1016" s="3" t="s">
        <v>4621</v>
      </c>
      <c r="C1016" s="3" t="s">
        <v>18</v>
      </c>
      <c r="D1016" s="8" t="str">
        <f>HYPERLINK("http://npthd.inbcu.com/ViewContent.aspx?filename=NPMR_FOX_2017-07-12_E.MP4$3660$3666","MASTERCHEF: silenced by the lambs")</f>
        <v>MASTERCHEF: silenced by the lambs</v>
      </c>
      <c r="E1016" s="3" t="s">
        <v>15</v>
      </c>
      <c r="F1016" s="3" t="s">
        <v>3673</v>
      </c>
      <c r="G1016" s="3" t="s">
        <v>2283</v>
      </c>
    </row>
    <row r="1017" spans="1:7">
      <c r="A1017" s="6">
        <v>42928</v>
      </c>
      <c r="B1017" s="3" t="s">
        <v>4621</v>
      </c>
      <c r="C1017" s="3" t="s">
        <v>18</v>
      </c>
      <c r="D1017" s="8" t="str">
        <f>HYPERLINK("http://npthd.inbcu.com/ViewContent.aspx?filename=NPMR_FOX_2017-07-12_E.MP4$3666$4412","THE F WORD WITH GORDAN RAMSEY: 106")</f>
        <v>THE F WORD WITH GORDAN RAMSEY: 106</v>
      </c>
      <c r="E1017" s="3" t="s">
        <v>401</v>
      </c>
      <c r="F1017" s="3" t="s">
        <v>2283</v>
      </c>
      <c r="G1017" s="3" t="s">
        <v>5243</v>
      </c>
    </row>
    <row r="1018" spans="1:7">
      <c r="A1018" s="6">
        <v>42928</v>
      </c>
      <c r="B1018" s="3" t="s">
        <v>4621</v>
      </c>
      <c r="C1018" s="3" t="s">
        <v>21</v>
      </c>
      <c r="D1018" s="8" t="str">
        <f>HYPERLINK("http://npthd.inbcu.com/ViewContent.aspx?filename=NPMR_FOX_2017-07-12_E.MP4$4412$4533","COMMERCIAL")</f>
        <v>COMMERCIAL</v>
      </c>
      <c r="E1018" s="3" t="s">
        <v>175</v>
      </c>
      <c r="F1018" s="3" t="s">
        <v>5243</v>
      </c>
      <c r="G1018" s="3" t="s">
        <v>5244</v>
      </c>
    </row>
    <row r="1019" spans="1:7">
      <c r="A1019" s="6">
        <v>42928</v>
      </c>
      <c r="B1019" s="3" t="s">
        <v>4621</v>
      </c>
      <c r="C1019" s="3" t="s">
        <v>14</v>
      </c>
      <c r="D1019" s="8" t="str">
        <f>HYPERLINK("http://npthd.inbcu.com/ViewContent.aspx?filename=NPMR_FOX_2017-07-12_E.MP4$4533$4563","Gifted")</f>
        <v>Gifted</v>
      </c>
      <c r="E1019" s="3" t="s">
        <v>38</v>
      </c>
      <c r="F1019" s="3" t="s">
        <v>5244</v>
      </c>
      <c r="G1019" s="3" t="s">
        <v>5245</v>
      </c>
    </row>
    <row r="1020" spans="1:7">
      <c r="A1020" s="6">
        <v>42928</v>
      </c>
      <c r="B1020" s="3" t="s">
        <v>4621</v>
      </c>
      <c r="C1020" s="3" t="s">
        <v>18</v>
      </c>
      <c r="D1020" s="8" t="str">
        <f>HYPERLINK("http://npthd.inbcu.com/ViewContent.aspx?filename=NPMR_FOX_2017-07-12_E.MP4$4563$5049","THE F WORD WITH GORDAN RAMSEY: 106")</f>
        <v>THE F WORD WITH GORDAN RAMSEY: 106</v>
      </c>
      <c r="E1020" s="3" t="s">
        <v>588</v>
      </c>
      <c r="F1020" s="3" t="s">
        <v>5245</v>
      </c>
      <c r="G1020" s="3" t="s">
        <v>1905</v>
      </c>
    </row>
    <row r="1021" spans="1:7">
      <c r="A1021" s="6">
        <v>42928</v>
      </c>
      <c r="B1021" s="3" t="s">
        <v>4621</v>
      </c>
      <c r="C1021" s="3" t="s">
        <v>21</v>
      </c>
      <c r="D1021" s="8" t="str">
        <f>HYPERLINK("http://npthd.inbcu.com/ViewContent.aspx?filename=NPMR_FOX_2017-07-12_E.MP4$5049$5140","COMMERCIAL")</f>
        <v>COMMERCIAL</v>
      </c>
      <c r="E1021" s="3" t="s">
        <v>77</v>
      </c>
      <c r="F1021" s="3" t="s">
        <v>1905</v>
      </c>
      <c r="G1021" s="3" t="s">
        <v>5110</v>
      </c>
    </row>
    <row r="1022" spans="1:7">
      <c r="A1022" s="6">
        <v>42928</v>
      </c>
      <c r="B1022" s="3" t="s">
        <v>4621</v>
      </c>
      <c r="C1022" s="3" t="s">
        <v>14</v>
      </c>
      <c r="D1022" s="8" t="str">
        <f>HYPERLINK("http://npthd.inbcu.com/ViewContent.aspx?filename=NPMR_FOX_2017-07-12_E.MP4$5140$5155","Safari Live Migration (Nat Geo)")</f>
        <v>Safari Live Migration (Nat Geo)</v>
      </c>
      <c r="E1022" s="3" t="s">
        <v>30</v>
      </c>
      <c r="F1022" s="3" t="s">
        <v>5110</v>
      </c>
      <c r="G1022" s="3" t="s">
        <v>5111</v>
      </c>
    </row>
    <row r="1023" spans="1:7">
      <c r="A1023" s="6">
        <v>42928</v>
      </c>
      <c r="B1023" s="3" t="s">
        <v>4621</v>
      </c>
      <c r="C1023" s="3" t="s">
        <v>32</v>
      </c>
      <c r="D1023" s="8" t="str">
        <f>HYPERLINK("http://npthd.inbcu.com/ViewContent.aspx?filename=NPMR_FOX_2017-07-12_E.MP4$5155$5297","LOCAL")</f>
        <v>LOCAL</v>
      </c>
      <c r="E1023" s="3" t="s">
        <v>2082</v>
      </c>
      <c r="F1023" s="3" t="s">
        <v>5111</v>
      </c>
      <c r="G1023" s="3" t="s">
        <v>5246</v>
      </c>
    </row>
    <row r="1024" spans="1:7">
      <c r="A1024" s="6">
        <v>42928</v>
      </c>
      <c r="B1024" s="3" t="s">
        <v>4621</v>
      </c>
      <c r="C1024" s="3" t="s">
        <v>18</v>
      </c>
      <c r="D1024" s="8" t="str">
        <f>HYPERLINK("http://npthd.inbcu.com/ViewContent.aspx?filename=NPMR_FOX_2017-07-12_E.MP4$5297$5715","THE F WORD WITH GORDAN RAMSEY: 106")</f>
        <v>THE F WORD WITH GORDAN RAMSEY: 106</v>
      </c>
      <c r="E1024" s="3" t="s">
        <v>1743</v>
      </c>
      <c r="F1024" s="3" t="s">
        <v>5246</v>
      </c>
      <c r="G1024" s="3" t="s">
        <v>5247</v>
      </c>
    </row>
    <row r="1025" spans="1:7">
      <c r="A1025" s="6">
        <v>42928</v>
      </c>
      <c r="B1025" s="3" t="s">
        <v>4621</v>
      </c>
      <c r="C1025" s="3" t="s">
        <v>21</v>
      </c>
      <c r="D1025" s="8" t="str">
        <f>HYPERLINK("http://npthd.inbcu.com/ViewContent.aspx?filename=NPMR_FOX_2017-07-12_E.MP4$5715$5895","COMMERCIAL")</f>
        <v>COMMERCIAL</v>
      </c>
      <c r="E1025" s="3" t="s">
        <v>22</v>
      </c>
      <c r="F1025" s="3" t="s">
        <v>5247</v>
      </c>
      <c r="G1025" s="3" t="s">
        <v>3353</v>
      </c>
    </row>
    <row r="1026" spans="1:7">
      <c r="A1026" s="6">
        <v>42928</v>
      </c>
      <c r="B1026" s="3" t="s">
        <v>4621</v>
      </c>
      <c r="C1026" s="3" t="s">
        <v>14</v>
      </c>
      <c r="D1026" s="8" t="str">
        <f>HYPERLINK("http://npthd.inbcu.com/ViewContent.aspx?filename=NPMR_FOX_2017-07-12_E.MP4$5895$5910","So You Think You Can Dance?")</f>
        <v>So You Think You Can Dance?</v>
      </c>
      <c r="E1026" s="3" t="s">
        <v>30</v>
      </c>
      <c r="F1026" s="3" t="s">
        <v>3353</v>
      </c>
      <c r="G1026" s="3" t="s">
        <v>893</v>
      </c>
    </row>
    <row r="1027" spans="1:7">
      <c r="A1027" s="6">
        <v>42928</v>
      </c>
      <c r="B1027" s="3" t="s">
        <v>4621</v>
      </c>
      <c r="C1027" s="3" t="s">
        <v>18</v>
      </c>
      <c r="D1027" s="8" t="str">
        <f>HYPERLINK("http://npthd.inbcu.com/ViewContent.aspx?filename=NPMR_FOX_2017-07-12_E.MP4$5910$6337","THE F WORD WITH GORDAN RAMSEY: 106")</f>
        <v>THE F WORD WITH GORDAN RAMSEY: 106</v>
      </c>
      <c r="E1027" s="3" t="s">
        <v>1709</v>
      </c>
      <c r="F1027" s="3" t="s">
        <v>893</v>
      </c>
      <c r="G1027" s="3" t="s">
        <v>5248</v>
      </c>
    </row>
    <row r="1028" spans="1:7">
      <c r="A1028" s="6">
        <v>42928</v>
      </c>
      <c r="B1028" s="3" t="s">
        <v>4621</v>
      </c>
      <c r="C1028" s="3" t="s">
        <v>21</v>
      </c>
      <c r="D1028" s="8" t="str">
        <f>HYPERLINK("http://npthd.inbcu.com/ViewContent.aspx?filename=NPMR_FOX_2017-07-12_E.MP4$6337$6472","COMMERCIAL")</f>
        <v>COMMERCIAL</v>
      </c>
      <c r="E1028" s="3" t="s">
        <v>459</v>
      </c>
      <c r="F1028" s="3" t="s">
        <v>5248</v>
      </c>
      <c r="G1028" s="3" t="s">
        <v>5249</v>
      </c>
    </row>
    <row r="1029" spans="1:7">
      <c r="A1029" s="6">
        <v>42928</v>
      </c>
      <c r="B1029" s="3" t="s">
        <v>4621</v>
      </c>
      <c r="C1029" s="3" t="s">
        <v>14</v>
      </c>
      <c r="D1029" s="8" t="str">
        <f>HYPERLINK("http://npthd.inbcu.com/ViewContent.aspx?filename=NPMR_FOX_2017-07-12_E.MP4$6472$6487","Strain (FX)")</f>
        <v>Strain (FX)</v>
      </c>
      <c r="E1029" s="3" t="s">
        <v>30</v>
      </c>
      <c r="F1029" s="3" t="s">
        <v>5249</v>
      </c>
      <c r="G1029" s="3" t="s">
        <v>5250</v>
      </c>
    </row>
    <row r="1030" spans="1:7">
      <c r="A1030" s="6">
        <v>42928</v>
      </c>
      <c r="B1030" s="3" t="s">
        <v>4621</v>
      </c>
      <c r="C1030" s="3" t="s">
        <v>32</v>
      </c>
      <c r="D1030" s="8" t="str">
        <f>HYPERLINK("http://npthd.inbcu.com/ViewContent.aspx?filename=NPMR_FOX_2017-07-12_E.MP4$6487$6579","LOCAL")</f>
        <v>LOCAL</v>
      </c>
      <c r="E1030" s="3" t="s">
        <v>267</v>
      </c>
      <c r="F1030" s="3" t="s">
        <v>5250</v>
      </c>
      <c r="G1030" s="3" t="s">
        <v>270</v>
      </c>
    </row>
    <row r="1031" spans="1:7">
      <c r="A1031" s="6">
        <v>42928</v>
      </c>
      <c r="B1031" s="3" t="s">
        <v>4621</v>
      </c>
      <c r="C1031" s="3" t="s">
        <v>18</v>
      </c>
      <c r="D1031" s="8" t="str">
        <f>HYPERLINK("http://npthd.inbcu.com/ViewContent.aspx?filename=NPMR_FOX_2017-07-12_E.MP4$6579$6858","THE F WORD WITH GORDAN RAMSEY: 106")</f>
        <v>THE F WORD WITH GORDAN RAMSEY: 106</v>
      </c>
      <c r="E1031" s="3" t="s">
        <v>4148</v>
      </c>
      <c r="F1031" s="3" t="s">
        <v>270</v>
      </c>
      <c r="G1031" s="3" t="s">
        <v>80</v>
      </c>
    </row>
    <row r="1032" spans="1:7">
      <c r="A1032" s="6">
        <v>42928</v>
      </c>
      <c r="B1032" s="3" t="s">
        <v>4621</v>
      </c>
      <c r="C1032" s="3" t="s">
        <v>21</v>
      </c>
      <c r="D1032" s="8" t="str">
        <f>HYPERLINK("http://npthd.inbcu.com/ViewContent.aspx?filename=NPMR_FOX_2017-07-12_E.MP4$6858$6979","COMMERCIAL")</f>
        <v>COMMERCIAL</v>
      </c>
      <c r="E1032" s="3" t="s">
        <v>175</v>
      </c>
      <c r="F1032" s="3" t="s">
        <v>80</v>
      </c>
      <c r="G1032" s="3" t="s">
        <v>2103</v>
      </c>
    </row>
    <row r="1033" spans="1:7">
      <c r="A1033" s="6">
        <v>42928</v>
      </c>
      <c r="B1033" s="3" t="s">
        <v>4621</v>
      </c>
      <c r="C1033" s="3" t="s">
        <v>14</v>
      </c>
      <c r="D1033" s="8" t="str">
        <f>HYPERLINK("http://npthd.inbcu.com/ViewContent.aspx?filename=NPMR_FOX_2017-07-12_E.MP4$6979$6994","Love Connection")</f>
        <v>Love Connection</v>
      </c>
      <c r="E1033" s="3" t="s">
        <v>30</v>
      </c>
      <c r="F1033" s="3" t="s">
        <v>2103</v>
      </c>
      <c r="G1033" s="3" t="s">
        <v>5251</v>
      </c>
    </row>
    <row r="1034" spans="1:7">
      <c r="A1034" s="6">
        <v>42928</v>
      </c>
      <c r="B1034" s="3" t="s">
        <v>4621</v>
      </c>
      <c r="C1034" s="3" t="s">
        <v>32</v>
      </c>
      <c r="D1034" s="8" t="str">
        <f>HYPERLINK("http://npthd.inbcu.com/ViewContent.aspx?filename=NPMR_FOX_2017-07-12_E.MP4$6994$7014","LOCAL")</f>
        <v>LOCAL</v>
      </c>
      <c r="E1034" s="3" t="s">
        <v>1805</v>
      </c>
      <c r="F1034" s="3" t="s">
        <v>5251</v>
      </c>
      <c r="G1034" s="3" t="s">
        <v>1863</v>
      </c>
    </row>
    <row r="1035" spans="1:7">
      <c r="A1035" s="6">
        <v>42928</v>
      </c>
      <c r="B1035" s="3" t="s">
        <v>4621</v>
      </c>
      <c r="C1035" s="3" t="s">
        <v>14</v>
      </c>
      <c r="D1035" s="8" t="str">
        <f>HYPERLINK("http://npthd.inbcu.com/ViewContent.aspx?filename=NPMR_FOX_2017-07-12_E.MP4$7014$7029","Beat Shazam")</f>
        <v>Beat Shazam</v>
      </c>
      <c r="E1035" s="3" t="s">
        <v>30</v>
      </c>
      <c r="F1035" s="3" t="s">
        <v>1863</v>
      </c>
      <c r="G1035" s="3" t="s">
        <v>4571</v>
      </c>
    </row>
    <row r="1036" spans="1:7">
      <c r="A1036" s="6">
        <v>42928</v>
      </c>
      <c r="B1036" s="3" t="s">
        <v>4621</v>
      </c>
      <c r="C1036" s="3" t="s">
        <v>18</v>
      </c>
      <c r="D1036" s="8" t="str">
        <f>HYPERLINK("http://npthd.inbcu.com/ViewContent.aspx?filename=NPMR_FOX_2017-07-12_E.MP4$7029$7226","THE F WORD WITH GORDAN RAMSEY: 106")</f>
        <v>THE F WORD WITH GORDAN RAMSEY: 106</v>
      </c>
      <c r="E1036" s="3" t="s">
        <v>2354</v>
      </c>
      <c r="F1036" s="3" t="s">
        <v>4571</v>
      </c>
      <c r="G1036" s="3" t="s">
        <v>568</v>
      </c>
    </row>
    <row r="1037" spans="1:7">
      <c r="A1037" s="6">
        <v>42928</v>
      </c>
      <c r="B1037" s="3" t="s">
        <v>4621</v>
      </c>
      <c r="C1037" s="3" t="s">
        <v>14</v>
      </c>
      <c r="D1037" s="8" t="str">
        <f>HYPERLINK("http://npthd.inbcu.com/ViewContent.aspx?filename=NPMR_FOX_2017-07-12_E.MP4$7226$7254","F Word, The")</f>
        <v>F Word, The</v>
      </c>
      <c r="E1037" s="3" t="s">
        <v>5252</v>
      </c>
      <c r="F1037" s="3" t="s">
        <v>568</v>
      </c>
      <c r="G1037" s="3" t="s">
        <v>5253</v>
      </c>
    </row>
    <row r="1038" spans="1:7">
      <c r="A1038" s="6">
        <v>42928</v>
      </c>
      <c r="B1038" s="3" t="s">
        <v>4621</v>
      </c>
      <c r="C1038" s="3" t="s">
        <v>18</v>
      </c>
      <c r="D1038" s="8" t="str">
        <f>HYPERLINK("http://npthd.inbcu.com/ViewContent.aspx?filename=NPMR_FOX_2017-07-12_E.MP4$7254$7259","THE F WORD WITH GORDAN RAMSEY: 106")</f>
        <v>THE F WORD WITH GORDAN RAMSEY: 106</v>
      </c>
      <c r="E1038" s="3" t="s">
        <v>54</v>
      </c>
      <c r="F1038" s="3" t="s">
        <v>5253</v>
      </c>
      <c r="G1038" s="3" t="s">
        <v>4167</v>
      </c>
    </row>
    <row r="1039" spans="1:7">
      <c r="A1039" s="6">
        <v>42928</v>
      </c>
      <c r="B1039" s="3" t="s">
        <v>4621</v>
      </c>
      <c r="C1039" s="3" t="s">
        <v>32</v>
      </c>
      <c r="D1039" s="8" t="str">
        <f>HYPERLINK("http://npthd.inbcu.com/ViewContent.aspx?filename=NPMR_FOX_2017-07-12_E.MP4$7259$7267","LOCAL")</f>
        <v>LOCAL</v>
      </c>
      <c r="E1039" s="3" t="s">
        <v>2239</v>
      </c>
      <c r="F1039" s="3" t="s">
        <v>4167</v>
      </c>
      <c r="G1039" s="3" t="s">
        <v>394</v>
      </c>
    </row>
    <row r="1040" spans="1:7">
      <c r="A1040" s="6">
        <v>42929</v>
      </c>
      <c r="B1040" s="3" t="s">
        <v>4621</v>
      </c>
      <c r="C1040" s="3" t="s">
        <v>18</v>
      </c>
      <c r="D1040" s="8" t="str">
        <f>HYPERLINK("http://npthd.inbcu.com/ViewContent.aspx?filename=NPMR_FOX_2017-07-13_W.MP4$106$932","BEAT SHAZAM: 106")</f>
        <v>BEAT SHAZAM: 106</v>
      </c>
      <c r="E1040" s="3" t="s">
        <v>5254</v>
      </c>
      <c r="F1040" s="3" t="s">
        <v>16</v>
      </c>
      <c r="G1040" s="3" t="s">
        <v>5255</v>
      </c>
    </row>
    <row r="1041" spans="1:7">
      <c r="A1041" s="6">
        <v>42929</v>
      </c>
      <c r="B1041" s="3" t="s">
        <v>4621</v>
      </c>
      <c r="C1041" s="3" t="s">
        <v>21</v>
      </c>
      <c r="D1041" s="8" t="str">
        <f>HYPERLINK("http://npthd.inbcu.com/ViewContent.aspx?filename=NPMR_FOX_2017-07-13_W.MP4$932$1072","COMMERCIAL")</f>
        <v>COMMERCIAL</v>
      </c>
      <c r="E1041" s="3" t="s">
        <v>623</v>
      </c>
      <c r="F1041" s="3" t="s">
        <v>5255</v>
      </c>
      <c r="G1041" s="3" t="s">
        <v>3454</v>
      </c>
    </row>
    <row r="1042" spans="1:7">
      <c r="A1042" s="6">
        <v>42929</v>
      </c>
      <c r="B1042" s="3" t="s">
        <v>4621</v>
      </c>
      <c r="C1042" s="3" t="s">
        <v>14</v>
      </c>
      <c r="D1042" s="8" t="str">
        <f>HYPERLINK("http://npthd.inbcu.com/ViewContent.aspx?filename=NPMR_FOX_2017-07-13_W.MP4$1072$1102","Gifted")</f>
        <v>Gifted</v>
      </c>
      <c r="E1042" s="3" t="s">
        <v>38</v>
      </c>
      <c r="F1042" s="3" t="s">
        <v>3454</v>
      </c>
      <c r="G1042" s="3" t="s">
        <v>3456</v>
      </c>
    </row>
    <row r="1043" spans="1:7">
      <c r="A1043" s="6">
        <v>42929</v>
      </c>
      <c r="B1043" s="3" t="s">
        <v>4621</v>
      </c>
      <c r="C1043" s="3" t="s">
        <v>18</v>
      </c>
      <c r="D1043" s="8" t="str">
        <f>HYPERLINK("http://npthd.inbcu.com/ViewContent.aspx?filename=NPMR_FOX_2017-07-13_W.MP4$1102$1602","BEAT SHAZAM: 106")</f>
        <v>BEAT SHAZAM: 106</v>
      </c>
      <c r="E1043" s="3" t="s">
        <v>889</v>
      </c>
      <c r="F1043" s="3" t="s">
        <v>3456</v>
      </c>
      <c r="G1043" s="3" t="s">
        <v>4668</v>
      </c>
    </row>
    <row r="1044" spans="1:7">
      <c r="A1044" s="6">
        <v>42929</v>
      </c>
      <c r="B1044" s="3" t="s">
        <v>4621</v>
      </c>
      <c r="C1044" s="3" t="s">
        <v>21</v>
      </c>
      <c r="D1044" s="8" t="str">
        <f>HYPERLINK("http://npthd.inbcu.com/ViewContent.aspx?filename=NPMR_FOX_2017-07-13_W.MP4$1602$1693","COMMERCIAL")</f>
        <v>COMMERCIAL</v>
      </c>
      <c r="E1044" s="3" t="s">
        <v>77</v>
      </c>
      <c r="F1044" s="3" t="s">
        <v>4668</v>
      </c>
      <c r="G1044" s="3" t="s">
        <v>5256</v>
      </c>
    </row>
    <row r="1045" spans="1:7">
      <c r="A1045" s="6">
        <v>42929</v>
      </c>
      <c r="B1045" s="3" t="s">
        <v>4621</v>
      </c>
      <c r="C1045" s="3" t="s">
        <v>14</v>
      </c>
      <c r="D1045" s="8" t="str">
        <f>HYPERLINK("http://npthd.inbcu.com/ViewContent.aspx?filename=NPMR_FOX_2017-07-13_W.MP4$1693$1723","Strain (FX)")</f>
        <v>Strain (FX)</v>
      </c>
      <c r="E1045" s="3" t="s">
        <v>38</v>
      </c>
      <c r="F1045" s="3" t="s">
        <v>5256</v>
      </c>
      <c r="G1045" s="3" t="s">
        <v>4980</v>
      </c>
    </row>
    <row r="1046" spans="1:7">
      <c r="A1046" s="6">
        <v>42929</v>
      </c>
      <c r="B1046" s="3" t="s">
        <v>4621</v>
      </c>
      <c r="C1046" s="3" t="s">
        <v>32</v>
      </c>
      <c r="D1046" s="8" t="str">
        <f>HYPERLINK("http://npthd.inbcu.com/ViewContent.aspx?filename=NPMR_FOX_2017-07-13_W.MP4$1723$1845","LOCAL")</f>
        <v>LOCAL</v>
      </c>
      <c r="E1046" s="3" t="s">
        <v>252</v>
      </c>
      <c r="F1046" s="3" t="s">
        <v>4980</v>
      </c>
      <c r="G1046" s="3" t="s">
        <v>5257</v>
      </c>
    </row>
    <row r="1047" spans="1:7">
      <c r="A1047" s="6">
        <v>42929</v>
      </c>
      <c r="B1047" s="3" t="s">
        <v>4621</v>
      </c>
      <c r="C1047" s="3" t="s">
        <v>18</v>
      </c>
      <c r="D1047" s="8" t="str">
        <f>HYPERLINK("http://npthd.inbcu.com/ViewContent.aspx?filename=NPMR_FOX_2017-07-13_W.MP4$1845$2181","BEAT SHAZAM: 106")</f>
        <v>BEAT SHAZAM: 106</v>
      </c>
      <c r="E1047" s="3" t="s">
        <v>2048</v>
      </c>
      <c r="F1047" s="3" t="s">
        <v>5257</v>
      </c>
      <c r="G1047" s="3" t="s">
        <v>4437</v>
      </c>
    </row>
    <row r="1048" spans="1:7">
      <c r="A1048" s="6">
        <v>42929</v>
      </c>
      <c r="B1048" s="3" t="s">
        <v>4621</v>
      </c>
      <c r="C1048" s="3" t="s">
        <v>21</v>
      </c>
      <c r="D1048" s="8" t="str">
        <f>HYPERLINK("http://npthd.inbcu.com/ViewContent.aspx?filename=NPMR_FOX_2017-07-13_W.MP4$2181$2362","COMMERCIAL")</f>
        <v>COMMERCIAL</v>
      </c>
      <c r="E1048" s="3" t="s">
        <v>108</v>
      </c>
      <c r="F1048" s="3" t="s">
        <v>4437</v>
      </c>
      <c r="G1048" s="3" t="s">
        <v>2572</v>
      </c>
    </row>
    <row r="1049" spans="1:7">
      <c r="A1049" s="6">
        <v>42929</v>
      </c>
      <c r="B1049" s="3" t="s">
        <v>4621</v>
      </c>
      <c r="C1049" s="3" t="s">
        <v>14</v>
      </c>
      <c r="D1049" s="8" t="str">
        <f>HYPERLINK("http://npthd.inbcu.com/ViewContent.aspx?filename=NPMR_FOX_2017-07-13_W.MP4$2362$2392","Empire / Star")</f>
        <v>Empire / Star</v>
      </c>
      <c r="E1049" s="3" t="s">
        <v>38</v>
      </c>
      <c r="F1049" s="3" t="s">
        <v>2572</v>
      </c>
      <c r="G1049" s="3" t="s">
        <v>5258</v>
      </c>
    </row>
    <row r="1050" spans="1:7">
      <c r="A1050" s="6">
        <v>42929</v>
      </c>
      <c r="B1050" s="3" t="s">
        <v>4621</v>
      </c>
      <c r="C1050" s="3" t="s">
        <v>18</v>
      </c>
      <c r="D1050" s="8" t="str">
        <f>HYPERLINK("http://npthd.inbcu.com/ViewContent.aspx?filename=NPMR_FOX_2017-07-13_W.MP4$2392$2705","BEAT SHAZAM: 106")</f>
        <v>BEAT SHAZAM: 106</v>
      </c>
      <c r="E1050" s="3" t="s">
        <v>3839</v>
      </c>
      <c r="F1050" s="3" t="s">
        <v>5258</v>
      </c>
      <c r="G1050" s="3" t="s">
        <v>1705</v>
      </c>
    </row>
    <row r="1051" spans="1:7">
      <c r="A1051" s="6">
        <v>42929</v>
      </c>
      <c r="B1051" s="3" t="s">
        <v>4621</v>
      </c>
      <c r="C1051" s="3" t="s">
        <v>21</v>
      </c>
      <c r="D1051" s="8" t="str">
        <f>HYPERLINK("http://npthd.inbcu.com/ViewContent.aspx?filename=NPMR_FOX_2017-07-13_W.MP4$2705$2796","COMMERCIAL")</f>
        <v>COMMERCIAL</v>
      </c>
      <c r="E1051" s="3" t="s">
        <v>77</v>
      </c>
      <c r="F1051" s="3" t="s">
        <v>1705</v>
      </c>
      <c r="G1051" s="3" t="s">
        <v>3297</v>
      </c>
    </row>
    <row r="1052" spans="1:7">
      <c r="A1052" s="6">
        <v>42929</v>
      </c>
      <c r="B1052" s="3" t="s">
        <v>4621</v>
      </c>
      <c r="C1052" s="3" t="s">
        <v>14</v>
      </c>
      <c r="D1052" s="8" t="str">
        <f>HYPERLINK("http://npthd.inbcu.com/ViewContent.aspx?filename=NPMR_FOX_2017-07-13_W.MP4$2796$2811","Safari Live Migration (Nat Geo)")</f>
        <v>Safari Live Migration (Nat Geo)</v>
      </c>
      <c r="E1052" s="3" t="s">
        <v>30</v>
      </c>
      <c r="F1052" s="3" t="s">
        <v>3297</v>
      </c>
      <c r="G1052" s="3" t="s">
        <v>5259</v>
      </c>
    </row>
    <row r="1053" spans="1:7">
      <c r="A1053" s="6">
        <v>42929</v>
      </c>
      <c r="B1053" s="3" t="s">
        <v>4621</v>
      </c>
      <c r="C1053" s="3" t="s">
        <v>32</v>
      </c>
      <c r="D1053" s="8" t="str">
        <f>HYPERLINK("http://npthd.inbcu.com/ViewContent.aspx?filename=NPMR_FOX_2017-07-13_W.MP4$2811$2922","LOCAL")</f>
        <v>LOCAL</v>
      </c>
      <c r="E1053" s="3" t="s">
        <v>2656</v>
      </c>
      <c r="F1053" s="3" t="s">
        <v>5259</v>
      </c>
      <c r="G1053" s="3" t="s">
        <v>5260</v>
      </c>
    </row>
    <row r="1054" spans="1:7">
      <c r="A1054" s="6">
        <v>42929</v>
      </c>
      <c r="B1054" s="3" t="s">
        <v>4621</v>
      </c>
      <c r="C1054" s="3" t="s">
        <v>14</v>
      </c>
      <c r="D1054" s="8" t="str">
        <f>HYPERLINK("http://npthd.inbcu.com/ViewContent.aspx?filename=NPMR_FOX_2017-07-13_W.MP4$2922$2942","So You Think You Can Dance?")</f>
        <v>So You Think You Can Dance?</v>
      </c>
      <c r="E1054" s="3" t="s">
        <v>1805</v>
      </c>
      <c r="F1054" s="3" t="s">
        <v>5260</v>
      </c>
      <c r="G1054" s="3" t="s">
        <v>4651</v>
      </c>
    </row>
    <row r="1055" spans="1:7">
      <c r="A1055" s="6">
        <v>42929</v>
      </c>
      <c r="B1055" s="3" t="s">
        <v>4621</v>
      </c>
      <c r="C1055" s="3" t="s">
        <v>18</v>
      </c>
      <c r="D1055" s="8" t="str">
        <f>HYPERLINK("http://npthd.inbcu.com/ViewContent.aspx?filename=NPMR_FOX_2017-07-13_W.MP4$2942$3405","BEAT SHAZAM: 106")</f>
        <v>BEAT SHAZAM: 106</v>
      </c>
      <c r="E1055" s="3" t="s">
        <v>232</v>
      </c>
      <c r="F1055" s="3" t="s">
        <v>4651</v>
      </c>
      <c r="G1055" s="3" t="s">
        <v>5261</v>
      </c>
    </row>
    <row r="1056" spans="1:7">
      <c r="A1056" s="6">
        <v>42929</v>
      </c>
      <c r="B1056" s="3" t="s">
        <v>4621</v>
      </c>
      <c r="C1056" s="3" t="s">
        <v>21</v>
      </c>
      <c r="D1056" s="8" t="str">
        <f>HYPERLINK("http://npthd.inbcu.com/ViewContent.aspx?filename=NPMR_FOX_2017-07-13_W.MP4$3405$3526","COMMERCIAL")</f>
        <v>COMMERCIAL</v>
      </c>
      <c r="E1056" s="3" t="s">
        <v>175</v>
      </c>
      <c r="F1056" s="3" t="s">
        <v>5261</v>
      </c>
      <c r="G1056" s="3" t="s">
        <v>5262</v>
      </c>
    </row>
    <row r="1057" spans="1:7">
      <c r="A1057" s="6">
        <v>42929</v>
      </c>
      <c r="B1057" s="3" t="s">
        <v>4621</v>
      </c>
      <c r="C1057" s="3" t="s">
        <v>32</v>
      </c>
      <c r="D1057" s="8" t="str">
        <f>HYPERLINK("http://npthd.inbcu.com/ViewContent.aspx?filename=NPMR_FOX_2017-07-13_W.MP4$3526$3537","LOCAL")</f>
        <v>LOCAL</v>
      </c>
      <c r="E1057" s="3" t="s">
        <v>1940</v>
      </c>
      <c r="F1057" s="3" t="s">
        <v>5262</v>
      </c>
      <c r="G1057" s="3" t="s">
        <v>719</v>
      </c>
    </row>
    <row r="1058" spans="1:7">
      <c r="A1058" s="6">
        <v>42929</v>
      </c>
      <c r="B1058" s="3" t="s">
        <v>4621</v>
      </c>
      <c r="C1058" s="3" t="s">
        <v>14</v>
      </c>
      <c r="D1058" s="8" t="str">
        <f>HYPERLINK("http://npthd.inbcu.com/ViewContent.aspx?filename=NPMR_FOX_2017-07-13_W.MP4$3537$3557","Love Connection")</f>
        <v>Love Connection</v>
      </c>
      <c r="E1058" s="3" t="s">
        <v>1805</v>
      </c>
      <c r="F1058" s="3" t="s">
        <v>719</v>
      </c>
      <c r="G1058" s="3" t="s">
        <v>721</v>
      </c>
    </row>
    <row r="1059" spans="1:7">
      <c r="A1059" s="6">
        <v>42929</v>
      </c>
      <c r="B1059" s="3" t="s">
        <v>4621</v>
      </c>
      <c r="C1059" s="3" t="s">
        <v>18</v>
      </c>
      <c r="D1059" s="8" t="str">
        <f>HYPERLINK("http://npthd.inbcu.com/ViewContent.aspx?filename=NPMR_FOX_2017-07-13_W.MP4$3557$3704","BEAT SHAZAM: 106")</f>
        <v>BEAT SHAZAM: 106</v>
      </c>
      <c r="E1059" s="3" t="s">
        <v>5263</v>
      </c>
      <c r="F1059" s="3" t="s">
        <v>721</v>
      </c>
      <c r="G1059" s="3" t="s">
        <v>5108</v>
      </c>
    </row>
    <row r="1060" spans="1:7">
      <c r="A1060" s="6">
        <v>42929</v>
      </c>
      <c r="B1060" s="3" t="s">
        <v>4621</v>
      </c>
      <c r="C1060" s="3" t="s">
        <v>18</v>
      </c>
      <c r="D1060" s="8" t="str">
        <f>HYPERLINK("http://npthd.inbcu.com/ViewContent.aspx?filename=NPMR_FOX_2017-07-13_W.MP4$3704$4297","LOVE CONNECTION: the singer stinger")</f>
        <v>LOVE CONNECTION: the singer stinger</v>
      </c>
      <c r="E1060" s="3" t="s">
        <v>641</v>
      </c>
      <c r="F1060" s="3" t="s">
        <v>5108</v>
      </c>
      <c r="G1060" s="3" t="s">
        <v>5264</v>
      </c>
    </row>
    <row r="1061" spans="1:7">
      <c r="A1061" s="6">
        <v>42929</v>
      </c>
      <c r="B1061" s="3" t="s">
        <v>4621</v>
      </c>
      <c r="C1061" s="3" t="s">
        <v>21</v>
      </c>
      <c r="D1061" s="8" t="str">
        <f>HYPERLINK("http://npthd.inbcu.com/ViewContent.aspx?filename=NPMR_FOX_2017-07-13_W.MP4$4297$4417","COMMERCIAL")</f>
        <v>COMMERCIAL</v>
      </c>
      <c r="E1061" s="3" t="s">
        <v>43</v>
      </c>
      <c r="F1061" s="3" t="s">
        <v>5264</v>
      </c>
      <c r="G1061" s="3" t="s">
        <v>5265</v>
      </c>
    </row>
    <row r="1062" spans="1:7">
      <c r="A1062" s="6">
        <v>42929</v>
      </c>
      <c r="B1062" s="3" t="s">
        <v>4621</v>
      </c>
      <c r="C1062" s="3" t="s">
        <v>14</v>
      </c>
      <c r="D1062" s="8" t="str">
        <f>HYPERLINK("http://npthd.inbcu.com/ViewContent.aspx?filename=NPMR_FOX_2017-07-13_W.MP4$4417$4447","Gifted")</f>
        <v>Gifted</v>
      </c>
      <c r="E1062" s="3" t="s">
        <v>38</v>
      </c>
      <c r="F1062" s="3" t="s">
        <v>5265</v>
      </c>
      <c r="G1062" s="3" t="s">
        <v>4816</v>
      </c>
    </row>
    <row r="1063" spans="1:7">
      <c r="A1063" s="6">
        <v>42929</v>
      </c>
      <c r="B1063" s="3" t="s">
        <v>4621</v>
      </c>
      <c r="C1063" s="3" t="s">
        <v>18</v>
      </c>
      <c r="D1063" s="8" t="str">
        <f>HYPERLINK("http://npthd.inbcu.com/ViewContent.aspx?filename=NPMR_FOX_2017-07-13_W.MP4$4447$4948","LOVE CONNECTION: the singer stinger")</f>
        <v>LOVE CONNECTION: the singer stinger</v>
      </c>
      <c r="E1063" s="3" t="s">
        <v>1633</v>
      </c>
      <c r="F1063" s="3" t="s">
        <v>4816</v>
      </c>
      <c r="G1063" s="3" t="s">
        <v>5266</v>
      </c>
    </row>
    <row r="1064" spans="1:7">
      <c r="A1064" s="6">
        <v>42929</v>
      </c>
      <c r="B1064" s="3" t="s">
        <v>4621</v>
      </c>
      <c r="C1064" s="3" t="s">
        <v>21</v>
      </c>
      <c r="D1064" s="8" t="str">
        <f>HYPERLINK("http://npthd.inbcu.com/ViewContent.aspx?filename=NPMR_FOX_2017-07-13_W.MP4$4948$5038","COMMERCIAL")</f>
        <v>COMMERCIAL</v>
      </c>
      <c r="E1064" s="3" t="s">
        <v>46</v>
      </c>
      <c r="F1064" s="3" t="s">
        <v>5266</v>
      </c>
      <c r="G1064" s="3" t="s">
        <v>5267</v>
      </c>
    </row>
    <row r="1065" spans="1:7">
      <c r="A1065" s="6">
        <v>42929</v>
      </c>
      <c r="B1065" s="3" t="s">
        <v>4621</v>
      </c>
      <c r="C1065" s="3" t="s">
        <v>14</v>
      </c>
      <c r="D1065" s="8" t="str">
        <f>HYPERLINK("http://npthd.inbcu.com/ViewContent.aspx?filename=NPMR_FOX_2017-07-13_W.MP4$5038$5053","Strain (FX)")</f>
        <v>Strain (FX)</v>
      </c>
      <c r="E1065" s="3" t="s">
        <v>30</v>
      </c>
      <c r="F1065" s="3" t="s">
        <v>5267</v>
      </c>
      <c r="G1065" s="3" t="s">
        <v>5268</v>
      </c>
    </row>
    <row r="1066" spans="1:7">
      <c r="A1066" s="6">
        <v>42929</v>
      </c>
      <c r="B1066" s="3" t="s">
        <v>4621</v>
      </c>
      <c r="C1066" s="3" t="s">
        <v>32</v>
      </c>
      <c r="D1066" s="8" t="str">
        <f>HYPERLINK("http://npthd.inbcu.com/ViewContent.aspx?filename=NPMR_FOX_2017-07-13_W.MP4$5053$5195","LOCAL")</f>
        <v>LOCAL</v>
      </c>
      <c r="E1066" s="3" t="s">
        <v>2082</v>
      </c>
      <c r="F1066" s="3" t="s">
        <v>5268</v>
      </c>
      <c r="G1066" s="3" t="s">
        <v>5269</v>
      </c>
    </row>
    <row r="1067" spans="1:7">
      <c r="A1067" s="6">
        <v>42929</v>
      </c>
      <c r="B1067" s="3" t="s">
        <v>4621</v>
      </c>
      <c r="C1067" s="3" t="s">
        <v>18</v>
      </c>
      <c r="D1067" s="8" t="str">
        <f>HYPERLINK("http://npthd.inbcu.com/ViewContent.aspx?filename=NPMR_FOX_2017-07-13_W.MP4$5195$5660","LOVE CONNECTION: the singer stinger")</f>
        <v>LOVE CONNECTION: the singer stinger</v>
      </c>
      <c r="E1067" s="3" t="s">
        <v>2844</v>
      </c>
      <c r="F1067" s="3" t="s">
        <v>5269</v>
      </c>
      <c r="G1067" s="3" t="s">
        <v>3937</v>
      </c>
    </row>
    <row r="1068" spans="1:7">
      <c r="A1068" s="6">
        <v>42929</v>
      </c>
      <c r="B1068" s="3" t="s">
        <v>4621</v>
      </c>
      <c r="C1068" s="3" t="s">
        <v>21</v>
      </c>
      <c r="D1068" s="8" t="str">
        <f>HYPERLINK("http://npthd.inbcu.com/ViewContent.aspx?filename=NPMR_FOX_2017-07-13_W.MP4$5660$5840","COMMERCIAL")</f>
        <v>COMMERCIAL</v>
      </c>
      <c r="E1068" s="3" t="s">
        <v>22</v>
      </c>
      <c r="F1068" s="3" t="s">
        <v>3937</v>
      </c>
      <c r="G1068" s="3" t="s">
        <v>5270</v>
      </c>
    </row>
    <row r="1069" spans="1:7">
      <c r="A1069" s="6">
        <v>42929</v>
      </c>
      <c r="B1069" s="3" t="s">
        <v>4621</v>
      </c>
      <c r="C1069" s="3" t="s">
        <v>14</v>
      </c>
      <c r="D1069" s="8" t="str">
        <f>HYPERLINK("http://npthd.inbcu.com/ViewContent.aspx?filename=NPMR_FOX_2017-07-13_W.MP4$5840$5870","Empire / Star")</f>
        <v>Empire / Star</v>
      </c>
      <c r="E1069" s="3" t="s">
        <v>38</v>
      </c>
      <c r="F1069" s="3" t="s">
        <v>5270</v>
      </c>
      <c r="G1069" s="3" t="s">
        <v>5271</v>
      </c>
    </row>
    <row r="1070" spans="1:7">
      <c r="A1070" s="6">
        <v>42929</v>
      </c>
      <c r="B1070" s="3" t="s">
        <v>4621</v>
      </c>
      <c r="C1070" s="3" t="s">
        <v>18</v>
      </c>
      <c r="D1070" s="8" t="str">
        <f>HYPERLINK("http://npthd.inbcu.com/ViewContent.aspx?filename=NPMR_FOX_2017-07-13_W.MP4$5870$6178","LOVE CONNECTION: the singer stinger")</f>
        <v>LOVE CONNECTION: the singer stinger</v>
      </c>
      <c r="E1070" s="3" t="s">
        <v>2115</v>
      </c>
      <c r="F1070" s="3" t="s">
        <v>5271</v>
      </c>
      <c r="G1070" s="3" t="s">
        <v>5272</v>
      </c>
    </row>
    <row r="1071" spans="1:7">
      <c r="A1071" s="6">
        <v>42929</v>
      </c>
      <c r="B1071" s="3" t="s">
        <v>4621</v>
      </c>
      <c r="C1071" s="3" t="s">
        <v>21</v>
      </c>
      <c r="D1071" s="8" t="str">
        <f>HYPERLINK("http://npthd.inbcu.com/ViewContent.aspx?filename=NPMR_FOX_2017-07-13_W.MP4$6178$6314","COMMERCIAL")</f>
        <v>COMMERCIAL</v>
      </c>
      <c r="E1071" s="3" t="s">
        <v>668</v>
      </c>
      <c r="F1071" s="3" t="s">
        <v>5272</v>
      </c>
      <c r="G1071" s="3" t="s">
        <v>4970</v>
      </c>
    </row>
    <row r="1072" spans="1:7">
      <c r="A1072" s="6">
        <v>42929</v>
      </c>
      <c r="B1072" s="3" t="s">
        <v>4621</v>
      </c>
      <c r="C1072" s="3" t="s">
        <v>14</v>
      </c>
      <c r="D1072" s="8" t="str">
        <f>HYPERLINK("http://npthd.inbcu.com/ViewContent.aspx?filename=NPMR_FOX_2017-07-13_W.MP4$6314$6334","Strain (FX)")</f>
        <v>Strain (FX)</v>
      </c>
      <c r="E1072" s="3" t="s">
        <v>1805</v>
      </c>
      <c r="F1072" s="3" t="s">
        <v>4970</v>
      </c>
      <c r="G1072" s="3" t="s">
        <v>5273</v>
      </c>
    </row>
    <row r="1073" spans="1:7">
      <c r="A1073" s="6">
        <v>42929</v>
      </c>
      <c r="B1073" s="3" t="s">
        <v>4621</v>
      </c>
      <c r="C1073" s="3" t="s">
        <v>32</v>
      </c>
      <c r="D1073" s="8" t="str">
        <f>HYPERLINK("http://npthd.inbcu.com/ViewContent.aspx?filename=NPMR_FOX_2017-07-13_W.MP4$6334$6425","LOCAL")</f>
        <v>LOCAL</v>
      </c>
      <c r="E1073" s="3" t="s">
        <v>77</v>
      </c>
      <c r="F1073" s="3" t="s">
        <v>5273</v>
      </c>
      <c r="G1073" s="3" t="s">
        <v>5274</v>
      </c>
    </row>
    <row r="1074" spans="1:7">
      <c r="A1074" s="6">
        <v>42929</v>
      </c>
      <c r="B1074" s="3" t="s">
        <v>4621</v>
      </c>
      <c r="C1074" s="3" t="s">
        <v>18</v>
      </c>
      <c r="D1074" s="8" t="str">
        <f>HYPERLINK("http://npthd.inbcu.com/ViewContent.aspx?filename=NPMR_FOX_2017-07-13_W.MP4$6425$6866","LOVE CONNECTION: the singer stinger")</f>
        <v>LOVE CONNECTION: the singer stinger</v>
      </c>
      <c r="E1074" s="3" t="s">
        <v>318</v>
      </c>
      <c r="F1074" s="3" t="s">
        <v>5274</v>
      </c>
      <c r="G1074" s="3" t="s">
        <v>5275</v>
      </c>
    </row>
    <row r="1075" spans="1:7">
      <c r="A1075" s="6">
        <v>42929</v>
      </c>
      <c r="B1075" s="3" t="s">
        <v>4621</v>
      </c>
      <c r="C1075" s="3" t="s">
        <v>21</v>
      </c>
      <c r="D1075" s="8" t="str">
        <f>HYPERLINK("http://npthd.inbcu.com/ViewContent.aspx?filename=NPMR_FOX_2017-07-13_W.MP4$6866$6956","COMMERCIAL")</f>
        <v>COMMERCIAL</v>
      </c>
      <c r="E1075" s="3" t="s">
        <v>46</v>
      </c>
      <c r="F1075" s="3" t="s">
        <v>5275</v>
      </c>
      <c r="G1075" s="3" t="s">
        <v>1005</v>
      </c>
    </row>
    <row r="1076" spans="1:7">
      <c r="A1076" s="6">
        <v>42929</v>
      </c>
      <c r="B1076" s="3" t="s">
        <v>4621</v>
      </c>
      <c r="C1076" s="3" t="s">
        <v>14</v>
      </c>
      <c r="D1076" s="8" t="str">
        <f>HYPERLINK("http://npthd.inbcu.com/ViewContent.aspx?filename=NPMR_FOX_2017-07-13_W.MP4$6956$6976","Safari Live Migration (Nat Geo)")</f>
        <v>Safari Live Migration (Nat Geo)</v>
      </c>
      <c r="E1076" s="3" t="s">
        <v>1805</v>
      </c>
      <c r="F1076" s="3" t="s">
        <v>1005</v>
      </c>
      <c r="G1076" s="3" t="s">
        <v>5276</v>
      </c>
    </row>
    <row r="1077" spans="1:7">
      <c r="A1077" s="6">
        <v>42929</v>
      </c>
      <c r="B1077" s="3" t="s">
        <v>4621</v>
      </c>
      <c r="C1077" s="3" t="s">
        <v>32</v>
      </c>
      <c r="D1077" s="8" t="str">
        <f>HYPERLINK("http://npthd.inbcu.com/ViewContent.aspx?filename=NPMR_FOX_2017-07-13_W.MP4$6976$6997","LOCAL")</f>
        <v>LOCAL</v>
      </c>
      <c r="E1077" s="3" t="s">
        <v>2067</v>
      </c>
      <c r="F1077" s="3" t="s">
        <v>5276</v>
      </c>
      <c r="G1077" s="3" t="s">
        <v>5195</v>
      </c>
    </row>
    <row r="1078" spans="1:7">
      <c r="A1078" s="6">
        <v>42929</v>
      </c>
      <c r="B1078" s="3" t="s">
        <v>4621</v>
      </c>
      <c r="C1078" s="3" t="s">
        <v>14</v>
      </c>
      <c r="D1078" s="8" t="str">
        <f>HYPERLINK("http://npthd.inbcu.com/ViewContent.aspx?filename=NPMR_FOX_2017-07-13_W.MP4$6997$7017","So You Think You Can Dance?")</f>
        <v>So You Think You Can Dance?</v>
      </c>
      <c r="E1078" s="3" t="s">
        <v>1805</v>
      </c>
      <c r="F1078" s="3" t="s">
        <v>5195</v>
      </c>
      <c r="G1078" s="3" t="s">
        <v>5277</v>
      </c>
    </row>
    <row r="1079" spans="1:7">
      <c r="A1079" s="6">
        <v>42929</v>
      </c>
      <c r="B1079" s="3" t="s">
        <v>4621</v>
      </c>
      <c r="C1079" s="3" t="s">
        <v>18</v>
      </c>
      <c r="D1079" s="8" t="str">
        <f>HYPERLINK("http://npthd.inbcu.com/ViewContent.aspx?filename=NPMR_FOX_2017-07-13_W.MP4$7017$7295","LOVE CONNECTION: the singer stinger")</f>
        <v>LOVE CONNECTION: the singer stinger</v>
      </c>
      <c r="E1079" s="3" t="s">
        <v>52</v>
      </c>
      <c r="F1079" s="3" t="s">
        <v>5277</v>
      </c>
      <c r="G1079" s="3" t="s">
        <v>3393</v>
      </c>
    </row>
    <row r="1080" spans="1:7">
      <c r="A1080" s="6">
        <v>42929</v>
      </c>
      <c r="B1080" s="3" t="s">
        <v>4621</v>
      </c>
      <c r="C1080" s="3" t="s">
        <v>32</v>
      </c>
      <c r="D1080" s="8" t="str">
        <f>HYPERLINK("http://npthd.inbcu.com/ViewContent.aspx?filename=NPMR_FOX_2017-07-13_W.MP4$7295$7306","LOCAL")</f>
        <v>LOCAL</v>
      </c>
      <c r="E1080" s="3" t="s">
        <v>1940</v>
      </c>
      <c r="F1080" s="3" t="s">
        <v>3393</v>
      </c>
      <c r="G1080" s="3" t="s">
        <v>394</v>
      </c>
    </row>
    <row r="1081" spans="1:7">
      <c r="A1081" s="6">
        <v>42930</v>
      </c>
      <c r="B1081" s="3" t="s">
        <v>4621</v>
      </c>
      <c r="C1081" s="3" t="s">
        <v>18</v>
      </c>
      <c r="D1081" s="8" t="str">
        <f>HYPERLINK("http://npthd.inbcu.com/ViewContent.aspx?filename=NPMR_FOX_2017-07-14_E.MP4$64$678","MASTERCHEF: silenced by the lambs")</f>
        <v>MASTERCHEF: silenced by the lambs</v>
      </c>
      <c r="E1081" s="3" t="s">
        <v>2834</v>
      </c>
      <c r="F1081" s="3" t="s">
        <v>16</v>
      </c>
      <c r="G1081" s="3" t="s">
        <v>5034</v>
      </c>
    </row>
    <row r="1082" spans="1:7">
      <c r="A1082" s="6">
        <v>42930</v>
      </c>
      <c r="B1082" s="3" t="s">
        <v>4621</v>
      </c>
      <c r="C1082" s="3" t="s">
        <v>21</v>
      </c>
      <c r="D1082" s="8" t="str">
        <f>HYPERLINK("http://npthd.inbcu.com/ViewContent.aspx?filename=NPMR_FOX_2017-07-14_E.MP4$678$834","COMMERCIAL")</f>
        <v>COMMERCIAL</v>
      </c>
      <c r="E1082" s="3" t="s">
        <v>3147</v>
      </c>
      <c r="F1082" s="3" t="s">
        <v>5034</v>
      </c>
      <c r="G1082" s="3" t="s">
        <v>1042</v>
      </c>
    </row>
    <row r="1083" spans="1:7">
      <c r="A1083" s="6">
        <v>42930</v>
      </c>
      <c r="B1083" s="3" t="s">
        <v>4621</v>
      </c>
      <c r="C1083" s="3" t="s">
        <v>14</v>
      </c>
      <c r="D1083" s="8" t="str">
        <f>HYPERLINK("http://npthd.inbcu.com/ViewContent.aspx?filename=NPMR_FOX_2017-07-14_E.MP4$834$864","The Gifted")</f>
        <v>The Gifted</v>
      </c>
      <c r="E1083" s="3" t="s">
        <v>38</v>
      </c>
      <c r="F1083" s="3" t="s">
        <v>1042</v>
      </c>
      <c r="G1083" s="3" t="s">
        <v>3917</v>
      </c>
    </row>
    <row r="1084" spans="1:7">
      <c r="A1084" s="6">
        <v>42930</v>
      </c>
      <c r="B1084" s="3" t="s">
        <v>4621</v>
      </c>
      <c r="C1084" s="3" t="s">
        <v>18</v>
      </c>
      <c r="D1084" s="8" t="str">
        <f>HYPERLINK("http://npthd.inbcu.com/ViewContent.aspx?filename=NPMR_FOX_2017-07-14_E.MP4$864$1213","MASTERCHEF: silenced by the lambs")</f>
        <v>MASTERCHEF: silenced by the lambs</v>
      </c>
      <c r="E1084" s="3" t="s">
        <v>4933</v>
      </c>
      <c r="F1084" s="3" t="s">
        <v>3917</v>
      </c>
      <c r="G1084" s="3" t="s">
        <v>5278</v>
      </c>
    </row>
    <row r="1085" spans="1:7">
      <c r="A1085" s="6">
        <v>42930</v>
      </c>
      <c r="B1085" s="3" t="s">
        <v>4621</v>
      </c>
      <c r="C1085" s="3" t="s">
        <v>21</v>
      </c>
      <c r="D1085" s="8" t="str">
        <f>HYPERLINK("http://npthd.inbcu.com/ViewContent.aspx?filename=NPMR_FOX_2017-07-14_E.MP4$1213$1289","COMMERCIAL")</f>
        <v>COMMERCIAL</v>
      </c>
      <c r="E1085" s="3" t="s">
        <v>594</v>
      </c>
      <c r="F1085" s="3" t="s">
        <v>5278</v>
      </c>
      <c r="G1085" s="3" t="s">
        <v>5279</v>
      </c>
    </row>
    <row r="1086" spans="1:7">
      <c r="A1086" s="6">
        <v>42930</v>
      </c>
      <c r="B1086" s="3" t="s">
        <v>4621</v>
      </c>
      <c r="C1086" s="3" t="s">
        <v>14</v>
      </c>
      <c r="D1086" s="8" t="str">
        <f>HYPERLINK("http://npthd.inbcu.com/ViewContent.aspx?filename=NPMR_FOX_2017-07-14_E.MP4$1289$1319","Strain (FX)")</f>
        <v>Strain (FX)</v>
      </c>
      <c r="E1086" s="3" t="s">
        <v>38</v>
      </c>
      <c r="F1086" s="3" t="s">
        <v>5279</v>
      </c>
      <c r="G1086" s="3" t="s">
        <v>5280</v>
      </c>
    </row>
    <row r="1087" spans="1:7">
      <c r="A1087" s="6">
        <v>42930</v>
      </c>
      <c r="B1087" s="3" t="s">
        <v>4621</v>
      </c>
      <c r="C1087" s="3" t="s">
        <v>32</v>
      </c>
      <c r="D1087" s="8" t="str">
        <f>HYPERLINK("http://npthd.inbcu.com/ViewContent.aspx?filename=NPMR_FOX_2017-07-14_E.MP4$1319$1440","LOCAL")</f>
        <v>LOCAL</v>
      </c>
      <c r="E1087" s="3" t="s">
        <v>175</v>
      </c>
      <c r="F1087" s="3" t="s">
        <v>5280</v>
      </c>
      <c r="G1087" s="3" t="s">
        <v>2566</v>
      </c>
    </row>
    <row r="1088" spans="1:7">
      <c r="A1088" s="6">
        <v>42930</v>
      </c>
      <c r="B1088" s="3" t="s">
        <v>4621</v>
      </c>
      <c r="C1088" s="3" t="s">
        <v>18</v>
      </c>
      <c r="D1088" s="8" t="str">
        <f>HYPERLINK("http://npthd.inbcu.com/ViewContent.aspx?filename=NPMR_FOX_2017-07-14_E.MP4$1440$1941","MASTERCHEF: silenced by the lambs")</f>
        <v>MASTERCHEF: silenced by the lambs</v>
      </c>
      <c r="E1088" s="3" t="s">
        <v>1633</v>
      </c>
      <c r="F1088" s="3" t="s">
        <v>2566</v>
      </c>
      <c r="G1088" s="3" t="s">
        <v>5281</v>
      </c>
    </row>
    <row r="1089" spans="1:7">
      <c r="A1089" s="6">
        <v>42930</v>
      </c>
      <c r="B1089" s="3" t="s">
        <v>4621</v>
      </c>
      <c r="C1089" s="3" t="s">
        <v>21</v>
      </c>
      <c r="D1089" s="8" t="str">
        <f>HYPERLINK("http://npthd.inbcu.com/ViewContent.aspx?filename=NPMR_FOX_2017-07-14_E.MP4$1941$2122","COMMERCIAL")</f>
        <v>COMMERCIAL</v>
      </c>
      <c r="E1089" s="3" t="s">
        <v>108</v>
      </c>
      <c r="F1089" s="3" t="s">
        <v>5281</v>
      </c>
      <c r="G1089" s="3" t="s">
        <v>141</v>
      </c>
    </row>
    <row r="1090" spans="1:7">
      <c r="A1090" s="6">
        <v>42930</v>
      </c>
      <c r="B1090" s="3" t="s">
        <v>4621</v>
      </c>
      <c r="C1090" s="3" t="s">
        <v>14</v>
      </c>
      <c r="D1090" s="8" t="str">
        <f>HYPERLINK("http://npthd.inbcu.com/ViewContent.aspx?filename=NPMR_FOX_2017-07-14_E.MP4$2122$2142","So You Think You Can Dance?")</f>
        <v>So You Think You Can Dance?</v>
      </c>
      <c r="E1090" s="3" t="s">
        <v>1805</v>
      </c>
      <c r="F1090" s="3" t="s">
        <v>141</v>
      </c>
      <c r="G1090" s="3" t="s">
        <v>5282</v>
      </c>
    </row>
    <row r="1091" spans="1:7">
      <c r="A1091" s="6">
        <v>42930</v>
      </c>
      <c r="B1091" s="3" t="s">
        <v>4621</v>
      </c>
      <c r="C1091" s="3" t="s">
        <v>18</v>
      </c>
      <c r="D1091" s="8" t="str">
        <f>HYPERLINK("http://npthd.inbcu.com/ViewContent.aspx?filename=NPMR_FOX_2017-07-14_E.MP4$2142$2557","MASTERCHEF: silenced by the lambs")</f>
        <v>MASTERCHEF: silenced by the lambs</v>
      </c>
      <c r="E1091" s="3" t="s">
        <v>2146</v>
      </c>
      <c r="F1091" s="3" t="s">
        <v>5282</v>
      </c>
      <c r="G1091" s="3" t="s">
        <v>5283</v>
      </c>
    </row>
    <row r="1092" spans="1:7">
      <c r="A1092" s="6">
        <v>42930</v>
      </c>
      <c r="B1092" s="3" t="s">
        <v>4621</v>
      </c>
      <c r="C1092" s="3" t="s">
        <v>21</v>
      </c>
      <c r="D1092" s="8" t="str">
        <f>HYPERLINK("http://npthd.inbcu.com/ViewContent.aspx?filename=NPMR_FOX_2017-07-14_E.MP4$2557$2663","COMMERCIAL")</f>
        <v>COMMERCIAL</v>
      </c>
      <c r="E1092" s="3" t="s">
        <v>293</v>
      </c>
      <c r="F1092" s="3" t="s">
        <v>5283</v>
      </c>
      <c r="G1092" s="3" t="s">
        <v>1705</v>
      </c>
    </row>
    <row r="1093" spans="1:7">
      <c r="A1093" s="6">
        <v>42930</v>
      </c>
      <c r="B1093" s="3" t="s">
        <v>4621</v>
      </c>
      <c r="C1093" s="3" t="s">
        <v>14</v>
      </c>
      <c r="D1093" s="8" t="str">
        <f>HYPERLINK("http://npthd.inbcu.com/ViewContent.aspx?filename=NPMR_FOX_2017-07-14_E.MP4$2663$2678","National Geographic Channel")</f>
        <v>National Geographic Channel</v>
      </c>
      <c r="E1093" s="3" t="s">
        <v>30</v>
      </c>
      <c r="F1093" s="3" t="s">
        <v>1705</v>
      </c>
      <c r="G1093" s="3" t="s">
        <v>1706</v>
      </c>
    </row>
    <row r="1094" spans="1:7">
      <c r="A1094" s="6">
        <v>42930</v>
      </c>
      <c r="B1094" s="3" t="s">
        <v>4621</v>
      </c>
      <c r="C1094" s="3" t="s">
        <v>32</v>
      </c>
      <c r="D1094" s="8" t="str">
        <f>HYPERLINK("http://npthd.inbcu.com/ViewContent.aspx?filename=NPMR_FOX_2017-07-14_E.MP4$2678$2790","LOCAL")</f>
        <v>LOCAL</v>
      </c>
      <c r="E1094" s="3" t="s">
        <v>4791</v>
      </c>
      <c r="F1094" s="3" t="s">
        <v>1706</v>
      </c>
      <c r="G1094" s="3" t="s">
        <v>5104</v>
      </c>
    </row>
    <row r="1095" spans="1:7">
      <c r="A1095" s="6">
        <v>42930</v>
      </c>
      <c r="B1095" s="3" t="s">
        <v>4621</v>
      </c>
      <c r="C1095" s="3" t="s">
        <v>14</v>
      </c>
      <c r="D1095" s="8" t="str">
        <f>HYPERLINK("http://npthd.inbcu.com/ViewContent.aspx?filename=NPMR_FOX_2017-07-14_E.MP4$2790$2805","Ghosted")</f>
        <v>Ghosted</v>
      </c>
      <c r="E1095" s="3" t="s">
        <v>30</v>
      </c>
      <c r="F1095" s="3" t="s">
        <v>5104</v>
      </c>
      <c r="G1095" s="3" t="s">
        <v>4950</v>
      </c>
    </row>
    <row r="1096" spans="1:7">
      <c r="A1096" s="6">
        <v>42930</v>
      </c>
      <c r="B1096" s="3" t="s">
        <v>4621</v>
      </c>
      <c r="C1096" s="3" t="s">
        <v>18</v>
      </c>
      <c r="D1096" s="8" t="str">
        <f>HYPERLINK("http://npthd.inbcu.com/ViewContent.aspx?filename=NPMR_FOX_2017-07-14_E.MP4$2805$3144","MASTERCHEF: silenced by the lambs")</f>
        <v>MASTERCHEF: silenced by the lambs</v>
      </c>
      <c r="E1096" s="3" t="s">
        <v>1839</v>
      </c>
      <c r="F1096" s="3" t="s">
        <v>4950</v>
      </c>
      <c r="G1096" s="3" t="s">
        <v>5284</v>
      </c>
    </row>
    <row r="1097" spans="1:7">
      <c r="A1097" s="6">
        <v>42930</v>
      </c>
      <c r="B1097" s="3" t="s">
        <v>4621</v>
      </c>
      <c r="C1097" s="3" t="s">
        <v>21</v>
      </c>
      <c r="D1097" s="8" t="str">
        <f>HYPERLINK("http://npthd.inbcu.com/ViewContent.aspx?filename=NPMR_FOX_2017-07-14_E.MP4$3144$3295","COMMERCIAL")</f>
        <v>COMMERCIAL</v>
      </c>
      <c r="E1097" s="3" t="s">
        <v>91</v>
      </c>
      <c r="F1097" s="3" t="s">
        <v>5284</v>
      </c>
      <c r="G1097" s="3" t="s">
        <v>5285</v>
      </c>
    </row>
    <row r="1098" spans="1:7">
      <c r="A1098" s="6">
        <v>42930</v>
      </c>
      <c r="B1098" s="3" t="s">
        <v>4621</v>
      </c>
      <c r="C1098" s="3" t="s">
        <v>14</v>
      </c>
      <c r="D1098" s="8" t="str">
        <f>HYPERLINK("http://npthd.inbcu.com/ViewContent.aspx?filename=NPMR_FOX_2017-07-14_E.MP4$3295$3325","Orville, The")</f>
        <v>Orville, The</v>
      </c>
      <c r="E1098" s="3" t="s">
        <v>38</v>
      </c>
      <c r="F1098" s="3" t="s">
        <v>5285</v>
      </c>
      <c r="G1098" s="3" t="s">
        <v>5286</v>
      </c>
    </row>
    <row r="1099" spans="1:7">
      <c r="A1099" s="6">
        <v>42930</v>
      </c>
      <c r="B1099" s="3" t="s">
        <v>4621</v>
      </c>
      <c r="C1099" s="3" t="s">
        <v>32</v>
      </c>
      <c r="D1099" s="8" t="str">
        <f>HYPERLINK("http://npthd.inbcu.com/ViewContent.aspx?filename=NPMR_FOX_2017-07-14_E.MP4$3325$3336","LOCAL")</f>
        <v>LOCAL</v>
      </c>
      <c r="E1099" s="3" t="s">
        <v>1940</v>
      </c>
      <c r="F1099" s="3" t="s">
        <v>5286</v>
      </c>
      <c r="G1099" s="3" t="s">
        <v>5287</v>
      </c>
    </row>
    <row r="1100" spans="1:7">
      <c r="A1100" s="6">
        <v>42930</v>
      </c>
      <c r="B1100" s="3" t="s">
        <v>4621</v>
      </c>
      <c r="C1100" s="3" t="s">
        <v>14</v>
      </c>
      <c r="D1100" s="8" t="str">
        <f>HYPERLINK("http://npthd.inbcu.com/ViewContent.aspx?filename=NPMR_FOX_2017-07-14_E.MP4$3336$3357","F Word, The")</f>
        <v>F Word, The</v>
      </c>
      <c r="E1100" s="3" t="s">
        <v>2067</v>
      </c>
      <c r="F1100" s="3" t="s">
        <v>5287</v>
      </c>
      <c r="G1100" s="3" t="s">
        <v>5288</v>
      </c>
    </row>
    <row r="1101" spans="1:7">
      <c r="A1101" s="6">
        <v>42930</v>
      </c>
      <c r="B1101" s="3" t="s">
        <v>4621</v>
      </c>
      <c r="C1101" s="3" t="s">
        <v>18</v>
      </c>
      <c r="D1101" s="8" t="str">
        <f>HYPERLINK("http://npthd.inbcu.com/ViewContent.aspx?filename=NPMR_FOX_2017-07-14_E.MP4$3357$3664","MASTERCHEF: silenced by the lambs")</f>
        <v>MASTERCHEF: silenced by the lambs</v>
      </c>
      <c r="E1101" s="3" t="s">
        <v>3688</v>
      </c>
      <c r="F1101" s="3" t="s">
        <v>5288</v>
      </c>
      <c r="G1101" s="3" t="s">
        <v>242</v>
      </c>
    </row>
    <row r="1102" spans="1:7">
      <c r="A1102" s="6">
        <v>42930</v>
      </c>
      <c r="B1102" s="3" t="s">
        <v>4621</v>
      </c>
      <c r="C1102" s="3" t="s">
        <v>18</v>
      </c>
      <c r="D1102" s="8" t="str">
        <f>HYPERLINK("http://npthd.inbcu.com/ViewContent.aspx?filename=NPMR_FOX_2017-07-14_E.MP4$3664$4489","BEAT SHAZAM: 106")</f>
        <v>BEAT SHAZAM: 106</v>
      </c>
      <c r="E1102" s="3" t="s">
        <v>2254</v>
      </c>
      <c r="F1102" s="3" t="s">
        <v>242</v>
      </c>
      <c r="G1102" s="3" t="s">
        <v>3423</v>
      </c>
    </row>
    <row r="1103" spans="1:7">
      <c r="A1103" s="6">
        <v>42930</v>
      </c>
      <c r="B1103" s="3" t="s">
        <v>4621</v>
      </c>
      <c r="C1103" s="3" t="s">
        <v>21</v>
      </c>
      <c r="D1103" s="8" t="str">
        <f>HYPERLINK("http://npthd.inbcu.com/ViewContent.aspx?filename=NPMR_FOX_2017-07-14_E.MP4$4489$4625","COMMERCIAL")</f>
        <v>COMMERCIAL</v>
      </c>
      <c r="E1103" s="3" t="s">
        <v>668</v>
      </c>
      <c r="F1103" s="3" t="s">
        <v>3423</v>
      </c>
      <c r="G1103" s="3" t="s">
        <v>5289</v>
      </c>
    </row>
    <row r="1104" spans="1:7">
      <c r="A1104" s="6">
        <v>42930</v>
      </c>
      <c r="B1104" s="3" t="s">
        <v>4621</v>
      </c>
      <c r="C1104" s="3" t="s">
        <v>14</v>
      </c>
      <c r="D1104" s="8" t="str">
        <f>HYPERLINK("http://npthd.inbcu.com/ViewContent.aspx?filename=NPMR_FOX_2017-07-14_E.MP4$4625$4645","So You Think You Can Dance?")</f>
        <v>So You Think You Can Dance?</v>
      </c>
      <c r="E1104" s="3" t="s">
        <v>1805</v>
      </c>
      <c r="F1104" s="3" t="s">
        <v>5289</v>
      </c>
      <c r="G1104" s="3" t="s">
        <v>5290</v>
      </c>
    </row>
    <row r="1105" spans="1:7">
      <c r="A1105" s="6">
        <v>42930</v>
      </c>
      <c r="B1105" s="3" t="s">
        <v>4621</v>
      </c>
      <c r="C1105" s="3" t="s">
        <v>18</v>
      </c>
      <c r="D1105" s="8" t="str">
        <f>HYPERLINK("http://npthd.inbcu.com/ViewContent.aspx?filename=NPMR_FOX_2017-07-14_E.MP4$4645$5144","BEAT SHAZAM: 106")</f>
        <v>BEAT SHAZAM: 106</v>
      </c>
      <c r="E1105" s="3" t="s">
        <v>723</v>
      </c>
      <c r="F1105" s="3" t="s">
        <v>5290</v>
      </c>
      <c r="G1105" s="3" t="s">
        <v>5291</v>
      </c>
    </row>
    <row r="1106" spans="1:7">
      <c r="A1106" s="6">
        <v>42930</v>
      </c>
      <c r="B1106" s="3" t="s">
        <v>4621</v>
      </c>
      <c r="C1106" s="3" t="s">
        <v>21</v>
      </c>
      <c r="D1106" s="8" t="str">
        <f>HYPERLINK("http://npthd.inbcu.com/ViewContent.aspx?filename=NPMR_FOX_2017-07-14_E.MP4$5144$5235","COMMERCIAL")</f>
        <v>COMMERCIAL</v>
      </c>
      <c r="E1106" s="3" t="s">
        <v>77</v>
      </c>
      <c r="F1106" s="3" t="s">
        <v>5291</v>
      </c>
      <c r="G1106" s="3" t="s">
        <v>4406</v>
      </c>
    </row>
    <row r="1107" spans="1:7">
      <c r="A1107" s="6">
        <v>42930</v>
      </c>
      <c r="B1107" s="3" t="s">
        <v>4621</v>
      </c>
      <c r="C1107" s="3" t="s">
        <v>14</v>
      </c>
      <c r="D1107" s="8" t="str">
        <f>HYPERLINK("http://npthd.inbcu.com/ViewContent.aspx?filename=NPMR_FOX_2017-07-14_E.MP4$5235$5250","Strain (FX)")</f>
        <v>Strain (FX)</v>
      </c>
      <c r="E1107" s="3" t="s">
        <v>30</v>
      </c>
      <c r="F1107" s="3" t="s">
        <v>4406</v>
      </c>
      <c r="G1107" s="3" t="s">
        <v>4997</v>
      </c>
    </row>
    <row r="1108" spans="1:7">
      <c r="A1108" s="6">
        <v>42930</v>
      </c>
      <c r="B1108" s="3" t="s">
        <v>4621</v>
      </c>
      <c r="C1108" s="3" t="s">
        <v>32</v>
      </c>
      <c r="D1108" s="8" t="str">
        <f>HYPERLINK("http://npthd.inbcu.com/ViewContent.aspx?filename=NPMR_FOX_2017-07-14_E.MP4$5250$5391","LOCAL")</f>
        <v>LOCAL</v>
      </c>
      <c r="E1108" s="3" t="s">
        <v>1753</v>
      </c>
      <c r="F1108" s="3" t="s">
        <v>4997</v>
      </c>
      <c r="G1108" s="3" t="s">
        <v>5292</v>
      </c>
    </row>
    <row r="1109" spans="1:7">
      <c r="A1109" s="6">
        <v>42930</v>
      </c>
      <c r="B1109" s="3" t="s">
        <v>4621</v>
      </c>
      <c r="C1109" s="3" t="s">
        <v>18</v>
      </c>
      <c r="D1109" s="8" t="str">
        <f>HYPERLINK("http://npthd.inbcu.com/ViewContent.aspx?filename=NPMR_FOX_2017-07-14_E.MP4$5391$5727","BEAT SHAZAM: 106")</f>
        <v>BEAT SHAZAM: 106</v>
      </c>
      <c r="E1109" s="3" t="s">
        <v>2048</v>
      </c>
      <c r="F1109" s="3" t="s">
        <v>5292</v>
      </c>
      <c r="G1109" s="3" t="s">
        <v>4407</v>
      </c>
    </row>
    <row r="1110" spans="1:7">
      <c r="A1110" s="6">
        <v>42930</v>
      </c>
      <c r="B1110" s="3" t="s">
        <v>4621</v>
      </c>
      <c r="C1110" s="3" t="s">
        <v>21</v>
      </c>
      <c r="D1110" s="8" t="str">
        <f>HYPERLINK("http://npthd.inbcu.com/ViewContent.aspx?filename=NPMR_FOX_2017-07-14_E.MP4$5727$5908","COMMERCIAL")</f>
        <v>COMMERCIAL</v>
      </c>
      <c r="E1110" s="3" t="s">
        <v>108</v>
      </c>
      <c r="F1110" s="3" t="s">
        <v>4407</v>
      </c>
      <c r="G1110" s="3" t="s">
        <v>5293</v>
      </c>
    </row>
    <row r="1111" spans="1:7">
      <c r="A1111" s="6">
        <v>42930</v>
      </c>
      <c r="B1111" s="3" t="s">
        <v>4621</v>
      </c>
      <c r="C1111" s="3" t="s">
        <v>14</v>
      </c>
      <c r="D1111" s="8" t="str">
        <f>HYPERLINK("http://npthd.inbcu.com/ViewContent.aspx?filename=NPMR_FOX_2017-07-14_E.MP4$5908$5938","The Gifted")</f>
        <v>The Gifted</v>
      </c>
      <c r="E1111" s="3" t="s">
        <v>38</v>
      </c>
      <c r="F1111" s="3" t="s">
        <v>5293</v>
      </c>
      <c r="G1111" s="3" t="s">
        <v>5294</v>
      </c>
    </row>
    <row r="1112" spans="1:7">
      <c r="A1112" s="6">
        <v>42930</v>
      </c>
      <c r="B1112" s="3" t="s">
        <v>4621</v>
      </c>
      <c r="C1112" s="3" t="s">
        <v>18</v>
      </c>
      <c r="D1112" s="8" t="str">
        <f>HYPERLINK("http://npthd.inbcu.com/ViewContent.aspx?filename=NPMR_FOX_2017-07-14_E.MP4$5938$6251","BEAT SHAZAM: 106")</f>
        <v>BEAT SHAZAM: 106</v>
      </c>
      <c r="E1112" s="3" t="s">
        <v>3839</v>
      </c>
      <c r="F1112" s="3" t="s">
        <v>5294</v>
      </c>
      <c r="G1112" s="3" t="s">
        <v>5295</v>
      </c>
    </row>
    <row r="1113" spans="1:7">
      <c r="A1113" s="6">
        <v>42930</v>
      </c>
      <c r="B1113" s="3" t="s">
        <v>4621</v>
      </c>
      <c r="C1113" s="3" t="s">
        <v>21</v>
      </c>
      <c r="D1113" s="8" t="str">
        <f>HYPERLINK("http://npthd.inbcu.com/ViewContent.aspx?filename=NPMR_FOX_2017-07-14_E.MP4$6251$6386","COMMERCIAL")</f>
        <v>COMMERCIAL</v>
      </c>
      <c r="E1113" s="3" t="s">
        <v>459</v>
      </c>
      <c r="F1113" s="3" t="s">
        <v>5295</v>
      </c>
      <c r="G1113" s="3" t="s">
        <v>3832</v>
      </c>
    </row>
    <row r="1114" spans="1:7">
      <c r="A1114" s="6">
        <v>42930</v>
      </c>
      <c r="B1114" s="3" t="s">
        <v>4621</v>
      </c>
      <c r="C1114" s="3" t="s">
        <v>14</v>
      </c>
      <c r="D1114" s="8" t="str">
        <f>HYPERLINK("http://npthd.inbcu.com/ViewContent.aspx?filename=NPMR_FOX_2017-07-14_E.MP4$6386$6402","National Geographic Channel")</f>
        <v>National Geographic Channel</v>
      </c>
      <c r="E1114" s="3" t="s">
        <v>64</v>
      </c>
      <c r="F1114" s="3" t="s">
        <v>3832</v>
      </c>
      <c r="G1114" s="3" t="s">
        <v>5296</v>
      </c>
    </row>
    <row r="1115" spans="1:7">
      <c r="A1115" s="6">
        <v>42930</v>
      </c>
      <c r="B1115" s="3" t="s">
        <v>4621</v>
      </c>
      <c r="C1115" s="3" t="s">
        <v>32</v>
      </c>
      <c r="D1115" s="8" t="str">
        <f>HYPERLINK("http://npthd.inbcu.com/ViewContent.aspx?filename=NPMR_FOX_2017-07-14_E.MP4$6402$6493","LOCAL")</f>
        <v>LOCAL</v>
      </c>
      <c r="E1115" s="3" t="s">
        <v>77</v>
      </c>
      <c r="F1115" s="3" t="s">
        <v>5296</v>
      </c>
      <c r="G1115" s="3" t="s">
        <v>5297</v>
      </c>
    </row>
    <row r="1116" spans="1:7">
      <c r="A1116" s="6">
        <v>42930</v>
      </c>
      <c r="B1116" s="3" t="s">
        <v>4621</v>
      </c>
      <c r="C1116" s="3" t="s">
        <v>18</v>
      </c>
      <c r="D1116" s="8" t="str">
        <f>HYPERLINK("http://npthd.inbcu.com/ViewContent.aspx?filename=NPMR_FOX_2017-07-14_E.MP4$6493$6956","BEAT SHAZAM: 106")</f>
        <v>BEAT SHAZAM: 106</v>
      </c>
      <c r="E1116" s="3" t="s">
        <v>232</v>
      </c>
      <c r="F1116" s="3" t="s">
        <v>5297</v>
      </c>
      <c r="G1116" s="3" t="s">
        <v>5298</v>
      </c>
    </row>
    <row r="1117" spans="1:7">
      <c r="A1117" s="6">
        <v>42930</v>
      </c>
      <c r="B1117" s="3" t="s">
        <v>4621</v>
      </c>
      <c r="C1117" s="3" t="s">
        <v>21</v>
      </c>
      <c r="D1117" s="8" t="str">
        <f>HYPERLINK("http://npthd.inbcu.com/ViewContent.aspx?filename=NPMR_FOX_2017-07-14_E.MP4$6956$7047","COMMERCIAL")</f>
        <v>COMMERCIAL</v>
      </c>
      <c r="E1117" s="3" t="s">
        <v>77</v>
      </c>
      <c r="F1117" s="3" t="s">
        <v>5298</v>
      </c>
      <c r="G1117" s="3" t="s">
        <v>180</v>
      </c>
    </row>
    <row r="1118" spans="1:7">
      <c r="A1118" s="6">
        <v>42930</v>
      </c>
      <c r="B1118" s="3" t="s">
        <v>4621</v>
      </c>
      <c r="C1118" s="3" t="s">
        <v>14</v>
      </c>
      <c r="D1118" s="8" t="str">
        <f>HYPERLINK("http://npthd.inbcu.com/ViewContent.aspx?filename=NPMR_FOX_2017-07-14_E.MP4$7047$7067","Master Chef / F Word")</f>
        <v>Master Chef / F Word</v>
      </c>
      <c r="E1118" s="3" t="s">
        <v>1805</v>
      </c>
      <c r="F1118" s="3" t="s">
        <v>180</v>
      </c>
      <c r="G1118" s="3" t="s">
        <v>5299</v>
      </c>
    </row>
    <row r="1119" spans="1:7">
      <c r="A1119" s="6">
        <v>42930</v>
      </c>
      <c r="B1119" s="3" t="s">
        <v>4621</v>
      </c>
      <c r="C1119" s="3" t="s">
        <v>32</v>
      </c>
      <c r="D1119" s="8" t="str">
        <f>HYPERLINK("http://npthd.inbcu.com/ViewContent.aspx?filename=NPMR_FOX_2017-07-14_E.MP4$7067$7087","LOCAL")</f>
        <v>LOCAL</v>
      </c>
      <c r="E1119" s="3" t="s">
        <v>1805</v>
      </c>
      <c r="F1119" s="3" t="s">
        <v>5299</v>
      </c>
      <c r="G1119" s="3" t="s">
        <v>1231</v>
      </c>
    </row>
    <row r="1120" spans="1:7">
      <c r="A1120" s="6">
        <v>42930</v>
      </c>
      <c r="B1120" s="3" t="s">
        <v>4621</v>
      </c>
      <c r="C1120" s="3" t="s">
        <v>18</v>
      </c>
      <c r="D1120" s="8" t="str">
        <f>HYPERLINK("http://npthd.inbcu.com/ViewContent.aspx?filename=NPMR_FOX_2017-07-14_E.MP4$7087$7254","BEAT SHAZAM: 106")</f>
        <v>BEAT SHAZAM: 106</v>
      </c>
      <c r="E1120" s="3" t="s">
        <v>1217</v>
      </c>
      <c r="F1120" s="3" t="s">
        <v>1231</v>
      </c>
      <c r="G1120" s="3" t="s">
        <v>3097</v>
      </c>
    </row>
    <row r="1121" spans="1:7">
      <c r="A1121" s="6">
        <v>42930</v>
      </c>
      <c r="B1121" s="3" t="s">
        <v>4621</v>
      </c>
      <c r="C1121" s="3" t="s">
        <v>32</v>
      </c>
      <c r="D1121" s="8" t="str">
        <f>HYPERLINK("http://npthd.inbcu.com/ViewContent.aspx?filename=NPMR_FOX_2017-07-14_E.MP4$7254$7264","LOCAL")</f>
        <v>LOCAL</v>
      </c>
      <c r="E1121" s="3" t="s">
        <v>197</v>
      </c>
      <c r="F1121" s="3" t="s">
        <v>3097</v>
      </c>
      <c r="G1121" s="3" t="s">
        <v>394</v>
      </c>
    </row>
    <row r="1122" spans="1:7">
      <c r="A1122" s="6">
        <v>42931</v>
      </c>
      <c r="B1122" s="3" t="s">
        <v>4621</v>
      </c>
      <c r="C1122" s="3" t="s">
        <v>18</v>
      </c>
      <c r="D1122" s="8" t="str">
        <f>HYPERLINK("http://npthd.inbcu.com/ViewContent.aspx?filename=NPMR_FOX_2017-07-15_E.MP4$57$306","FOX SPORTS SPECIALS: premier boxing champions (7/15)")</f>
        <v>FOX SPORTS SPECIALS: premier boxing champions (7/15)</v>
      </c>
      <c r="E1122" s="3" t="s">
        <v>5404</v>
      </c>
      <c r="F1122" s="3" t="s">
        <v>16</v>
      </c>
      <c r="G1122" s="3" t="s">
        <v>5405</v>
      </c>
    </row>
    <row r="1123" spans="1:7">
      <c r="A1123" s="6">
        <v>42931</v>
      </c>
      <c r="B1123" s="3" t="s">
        <v>4621</v>
      </c>
      <c r="C1123" s="3" t="s">
        <v>14</v>
      </c>
      <c r="D1123" s="8" t="str">
        <f>HYPERLINK("http://npthd.inbcu.com/ViewContent.aspx?filename=NPMR_FOX_2017-07-15_E.MP4$306$326","Strain (FX)")</f>
        <v>Strain (FX)</v>
      </c>
      <c r="E1123" s="3" t="s">
        <v>1805</v>
      </c>
      <c r="F1123" s="3" t="s">
        <v>5405</v>
      </c>
      <c r="G1123" s="3" t="s">
        <v>5406</v>
      </c>
    </row>
    <row r="1124" spans="1:7">
      <c r="A1124" s="6">
        <v>42931</v>
      </c>
      <c r="B1124" s="3" t="s">
        <v>4621</v>
      </c>
      <c r="C1124" s="3" t="s">
        <v>14</v>
      </c>
      <c r="D1124" s="8" t="str">
        <f>HYPERLINK("http://npthd.inbcu.com/ViewContent.aspx?filename=NPMR_FOX_2017-07-15_E.MP4$326$336","UFC Fight Night (FS1)")</f>
        <v>UFC Fight Night (FS1)</v>
      </c>
      <c r="E1124" s="3" t="s">
        <v>197</v>
      </c>
      <c r="F1124" s="3" t="s">
        <v>5406</v>
      </c>
      <c r="G1124" s="3" t="s">
        <v>2500</v>
      </c>
    </row>
    <row r="1125" spans="1:7">
      <c r="A1125" s="6">
        <v>42931</v>
      </c>
      <c r="B1125" s="3" t="s">
        <v>4621</v>
      </c>
      <c r="C1125" s="3" t="s">
        <v>32</v>
      </c>
      <c r="D1125" s="8" t="str">
        <f>HYPERLINK("http://npthd.inbcu.com/ViewContent.aspx?filename=NPMR_FOX_2017-07-15_E.MP4$336$429","LOCAL")</f>
        <v>LOCAL</v>
      </c>
      <c r="E1125" s="3" t="s">
        <v>955</v>
      </c>
      <c r="F1125" s="3" t="s">
        <v>2500</v>
      </c>
      <c r="G1125" s="3" t="s">
        <v>5407</v>
      </c>
    </row>
    <row r="1126" spans="1:7">
      <c r="A1126" s="6">
        <v>42931</v>
      </c>
      <c r="B1126" s="3" t="s">
        <v>4621</v>
      </c>
      <c r="C1126" s="3" t="s">
        <v>18</v>
      </c>
      <c r="D1126" s="8" t="str">
        <f>HYPERLINK("http://npthd.inbcu.com/ViewContent.aspx?filename=NPMR_FOX_2017-07-15_E.MP4$429$638","FOX SPORTS SPECIALS: premier boxing champions (7/15)")</f>
        <v>FOX SPORTS SPECIALS: premier boxing champions (7/15)</v>
      </c>
      <c r="E1126" s="3" t="s">
        <v>2010</v>
      </c>
      <c r="F1126" s="3" t="s">
        <v>5407</v>
      </c>
      <c r="G1126" s="3" t="s">
        <v>5408</v>
      </c>
    </row>
    <row r="1127" spans="1:7">
      <c r="A1127" s="6">
        <v>42931</v>
      </c>
      <c r="B1127" s="3" t="s">
        <v>4621</v>
      </c>
      <c r="C1127" s="3" t="s">
        <v>21</v>
      </c>
      <c r="D1127" s="8" t="str">
        <f>HYPERLINK("http://npthd.inbcu.com/ViewContent.aspx?filename=NPMR_FOX_2017-07-15_E.MP4$638$759","COMMERCIAL")</f>
        <v>COMMERCIAL</v>
      </c>
      <c r="E1127" s="3" t="s">
        <v>175</v>
      </c>
      <c r="F1127" s="3" t="s">
        <v>5408</v>
      </c>
      <c r="G1127" s="3" t="s">
        <v>3286</v>
      </c>
    </row>
    <row r="1128" spans="1:7">
      <c r="A1128" s="6">
        <v>42931</v>
      </c>
      <c r="B1128" s="3" t="s">
        <v>4621</v>
      </c>
      <c r="C1128" s="3" t="s">
        <v>18</v>
      </c>
      <c r="D1128" s="8" t="str">
        <f>HYPERLINK("http://npthd.inbcu.com/ViewContent.aspx?filename=NPMR_FOX_2017-07-15_E.MP4$759$1143","FOX SPORTS SPECIALS: premier boxing champions (7/15)")</f>
        <v>FOX SPORTS SPECIALS: premier boxing champions (7/15)</v>
      </c>
      <c r="E1128" s="3" t="s">
        <v>4443</v>
      </c>
      <c r="F1128" s="3" t="s">
        <v>3286</v>
      </c>
      <c r="G1128" s="3" t="s">
        <v>5409</v>
      </c>
    </row>
    <row r="1129" spans="1:7">
      <c r="A1129" s="6">
        <v>42931</v>
      </c>
      <c r="B1129" s="3" t="s">
        <v>4621</v>
      </c>
      <c r="C1129" s="3" t="s">
        <v>21</v>
      </c>
      <c r="D1129" s="8" t="str">
        <f>HYPERLINK("http://npthd.inbcu.com/ViewContent.aspx?filename=NPMR_FOX_2017-07-15_E.MP4$1143$1173","COMMERCIAL")</f>
        <v>COMMERCIAL</v>
      </c>
      <c r="E1129" s="3" t="s">
        <v>38</v>
      </c>
      <c r="F1129" s="3" t="s">
        <v>5409</v>
      </c>
      <c r="G1129" s="3" t="s">
        <v>5410</v>
      </c>
    </row>
    <row r="1130" spans="1:7">
      <c r="A1130" s="6">
        <v>42931</v>
      </c>
      <c r="B1130" s="3" t="s">
        <v>4621</v>
      </c>
      <c r="C1130" s="3" t="s">
        <v>18</v>
      </c>
      <c r="D1130" s="8" t="str">
        <f>HYPERLINK("http://npthd.inbcu.com/ViewContent.aspx?filename=NPMR_FOX_2017-07-15_E.MP4$1173$1394","FOX SPORTS SPECIALS: premier boxing champions (7/15)")</f>
        <v>FOX SPORTS SPECIALS: premier boxing champions (7/15)</v>
      </c>
      <c r="E1130" s="3" t="s">
        <v>1938</v>
      </c>
      <c r="F1130" s="3" t="s">
        <v>5410</v>
      </c>
      <c r="G1130" s="3" t="s">
        <v>5411</v>
      </c>
    </row>
    <row r="1131" spans="1:7">
      <c r="A1131" s="6">
        <v>42931</v>
      </c>
      <c r="B1131" s="3" t="s">
        <v>4621</v>
      </c>
      <c r="C1131" s="3" t="s">
        <v>21</v>
      </c>
      <c r="D1131" s="8" t="str">
        <f>HYPERLINK("http://npthd.inbcu.com/ViewContent.aspx?filename=NPMR_FOX_2017-07-15_E.MP4$1394$1424","COMMERCIAL")</f>
        <v>COMMERCIAL</v>
      </c>
      <c r="E1131" s="3" t="s">
        <v>38</v>
      </c>
      <c r="F1131" s="3" t="s">
        <v>5411</v>
      </c>
      <c r="G1131" s="3" t="s">
        <v>859</v>
      </c>
    </row>
    <row r="1132" spans="1:7">
      <c r="A1132" s="6">
        <v>42931</v>
      </c>
      <c r="B1132" s="3" t="s">
        <v>4621</v>
      </c>
      <c r="C1132" s="3" t="s">
        <v>18</v>
      </c>
      <c r="D1132" s="8" t="str">
        <f>HYPERLINK("http://npthd.inbcu.com/ViewContent.aspx?filename=NPMR_FOX_2017-07-15_E.MP4$1424$1634","FOX SPORTS SPECIALS: premier boxing champions (7/15)")</f>
        <v>FOX SPORTS SPECIALS: premier boxing champions (7/15)</v>
      </c>
      <c r="E1132" s="3" t="s">
        <v>150</v>
      </c>
      <c r="F1132" s="3" t="s">
        <v>859</v>
      </c>
      <c r="G1132" s="3" t="s">
        <v>508</v>
      </c>
    </row>
    <row r="1133" spans="1:7">
      <c r="A1133" s="6">
        <v>42931</v>
      </c>
      <c r="B1133" s="3" t="s">
        <v>4621</v>
      </c>
      <c r="C1133" s="3" t="s">
        <v>21</v>
      </c>
      <c r="D1133" s="8" t="str">
        <f>HYPERLINK("http://npthd.inbcu.com/ViewContent.aspx?filename=NPMR_FOX_2017-07-15_E.MP4$1634$1664","COMMERCIAL")</f>
        <v>COMMERCIAL</v>
      </c>
      <c r="E1133" s="3" t="s">
        <v>38</v>
      </c>
      <c r="F1133" s="3" t="s">
        <v>508</v>
      </c>
      <c r="G1133" s="3" t="s">
        <v>5412</v>
      </c>
    </row>
    <row r="1134" spans="1:7">
      <c r="A1134" s="6">
        <v>42931</v>
      </c>
      <c r="B1134" s="3" t="s">
        <v>4621</v>
      </c>
      <c r="C1134" s="3" t="s">
        <v>18</v>
      </c>
      <c r="D1134" s="8" t="str">
        <f>HYPERLINK("http://npthd.inbcu.com/ViewContent.aspx?filename=NPMR_FOX_2017-07-15_E.MP4$1664$1854","FOX SPORTS SPECIALS: premier boxing champions (7/15)")</f>
        <v>FOX SPORTS SPECIALS: premier boxing champions (7/15)</v>
      </c>
      <c r="E1134" s="3" t="s">
        <v>5413</v>
      </c>
      <c r="F1134" s="3" t="s">
        <v>5412</v>
      </c>
      <c r="G1134" s="3" t="s">
        <v>5414</v>
      </c>
    </row>
    <row r="1135" spans="1:7">
      <c r="A1135" s="6">
        <v>42931</v>
      </c>
      <c r="B1135" s="3" t="s">
        <v>4621</v>
      </c>
      <c r="C1135" s="3" t="s">
        <v>21</v>
      </c>
      <c r="D1135" s="8" t="str">
        <f>HYPERLINK("http://npthd.inbcu.com/ViewContent.aspx?filename=NPMR_FOX_2017-07-15_E.MP4$1854$1884","COMMERCIAL")</f>
        <v>COMMERCIAL</v>
      </c>
      <c r="E1135" s="3" t="s">
        <v>38</v>
      </c>
      <c r="F1135" s="3" t="s">
        <v>5414</v>
      </c>
      <c r="G1135" s="3" t="s">
        <v>5415</v>
      </c>
    </row>
    <row r="1136" spans="1:7">
      <c r="A1136" s="6">
        <v>42931</v>
      </c>
      <c r="B1136" s="3" t="s">
        <v>4621</v>
      </c>
      <c r="C1136" s="3" t="s">
        <v>14</v>
      </c>
      <c r="D1136" s="8" t="str">
        <f>HYPERLINK("http://npthd.inbcu.com/ViewContent.aspx?filename=NPMR_FOX_2017-07-15_E.MP4$1884$1894","Big3 (FS1)")</f>
        <v>Big3 (FS1)</v>
      </c>
      <c r="E1136" s="3" t="s">
        <v>197</v>
      </c>
      <c r="F1136" s="3" t="s">
        <v>5415</v>
      </c>
      <c r="G1136" s="3" t="s">
        <v>5416</v>
      </c>
    </row>
    <row r="1137" spans="1:7">
      <c r="A1137" s="6">
        <v>42931</v>
      </c>
      <c r="B1137" s="3" t="s">
        <v>4621</v>
      </c>
      <c r="C1137" s="3" t="s">
        <v>32</v>
      </c>
      <c r="D1137" s="8" t="str">
        <f>HYPERLINK("http://npthd.inbcu.com/ViewContent.aspx?filename=NPMR_FOX_2017-07-15_E.MP4$1894$2006","LOCAL")</f>
        <v>LOCAL</v>
      </c>
      <c r="E1137" s="3" t="s">
        <v>4791</v>
      </c>
      <c r="F1137" s="3" t="s">
        <v>5416</v>
      </c>
      <c r="G1137" s="3" t="s">
        <v>5417</v>
      </c>
    </row>
    <row r="1138" spans="1:7">
      <c r="A1138" s="6">
        <v>42931</v>
      </c>
      <c r="B1138" s="3" t="s">
        <v>4621</v>
      </c>
      <c r="C1138" s="3" t="s">
        <v>18</v>
      </c>
      <c r="D1138" s="8" t="str">
        <f>HYPERLINK("http://npthd.inbcu.com/ViewContent.aspx?filename=NPMR_FOX_2017-07-15_E.MP4$2006$2184","FOX SPORTS SPECIALS: premier boxing champions (7/15)")</f>
        <v>FOX SPORTS SPECIALS: premier boxing champions (7/15)</v>
      </c>
      <c r="E1138" s="3" t="s">
        <v>5418</v>
      </c>
      <c r="F1138" s="3" t="s">
        <v>5417</v>
      </c>
      <c r="G1138" s="3" t="s">
        <v>3294</v>
      </c>
    </row>
    <row r="1139" spans="1:7">
      <c r="A1139" s="6">
        <v>42931</v>
      </c>
      <c r="B1139" s="3" t="s">
        <v>4621</v>
      </c>
      <c r="C1139" s="3" t="s">
        <v>21</v>
      </c>
      <c r="D1139" s="8" t="str">
        <f>HYPERLINK("http://npthd.inbcu.com/ViewContent.aspx?filename=NPMR_FOX_2017-07-15_E.MP4$2184$2214","COMMERCIAL")</f>
        <v>COMMERCIAL</v>
      </c>
      <c r="E1139" s="3" t="s">
        <v>38</v>
      </c>
      <c r="F1139" s="3" t="s">
        <v>3294</v>
      </c>
      <c r="G1139" s="3" t="s">
        <v>5419</v>
      </c>
    </row>
    <row r="1140" spans="1:7">
      <c r="A1140" s="6">
        <v>42931</v>
      </c>
      <c r="B1140" s="3" t="s">
        <v>4621</v>
      </c>
      <c r="C1140" s="3" t="s">
        <v>14</v>
      </c>
      <c r="D1140" s="8" t="str">
        <f>HYPERLINK("http://npthd.inbcu.com/ViewContent.aspx?filename=NPMR_FOX_2017-07-15_E.MP4$2214$2224","Orville, The")</f>
        <v>Orville, The</v>
      </c>
      <c r="E1140" s="3" t="s">
        <v>197</v>
      </c>
      <c r="F1140" s="3" t="s">
        <v>5419</v>
      </c>
      <c r="G1140" s="3" t="s">
        <v>5420</v>
      </c>
    </row>
    <row r="1141" spans="1:7">
      <c r="A1141" s="6">
        <v>42931</v>
      </c>
      <c r="B1141" s="3" t="s">
        <v>4621</v>
      </c>
      <c r="C1141" s="3" t="s">
        <v>32</v>
      </c>
      <c r="D1141" s="8" t="str">
        <f>HYPERLINK("http://npthd.inbcu.com/ViewContent.aspx?filename=NPMR_FOX_2017-07-15_E.MP4$2224$2315","LOCAL")</f>
        <v>LOCAL</v>
      </c>
      <c r="E1141" s="3" t="s">
        <v>77</v>
      </c>
      <c r="F1141" s="3" t="s">
        <v>5420</v>
      </c>
      <c r="G1141" s="3" t="s">
        <v>517</v>
      </c>
    </row>
    <row r="1142" spans="1:7">
      <c r="A1142" s="6">
        <v>42931</v>
      </c>
      <c r="B1142" s="3" t="s">
        <v>4621</v>
      </c>
      <c r="C1142" s="3" t="s">
        <v>18</v>
      </c>
      <c r="D1142" s="8" t="str">
        <f>HYPERLINK("http://npthd.inbcu.com/ViewContent.aspx?filename=NPMR_FOX_2017-07-15_E.MP4$2315$2706","FOX SPORTS SPECIALS: premier boxing champions (7/15)")</f>
        <v>FOX SPORTS SPECIALS: premier boxing champions (7/15)</v>
      </c>
      <c r="E1142" s="3" t="s">
        <v>1400</v>
      </c>
      <c r="F1142" s="3" t="s">
        <v>517</v>
      </c>
      <c r="G1142" s="3" t="s">
        <v>5380</v>
      </c>
    </row>
    <row r="1143" spans="1:7">
      <c r="A1143" s="6">
        <v>42931</v>
      </c>
      <c r="B1143" s="3" t="s">
        <v>4621</v>
      </c>
      <c r="C1143" s="3" t="s">
        <v>21</v>
      </c>
      <c r="D1143" s="8" t="str">
        <f>HYPERLINK("http://npthd.inbcu.com/ViewContent.aspx?filename=NPMR_FOX_2017-07-15_E.MP4$2706$2827","COMMERCIAL")</f>
        <v>COMMERCIAL</v>
      </c>
      <c r="E1143" s="3" t="s">
        <v>175</v>
      </c>
      <c r="F1143" s="3" t="s">
        <v>5380</v>
      </c>
      <c r="G1143" s="3" t="s">
        <v>3506</v>
      </c>
    </row>
    <row r="1144" spans="1:7">
      <c r="A1144" s="6">
        <v>42931</v>
      </c>
      <c r="B1144" s="3" t="s">
        <v>4621</v>
      </c>
      <c r="C1144" s="3" t="s">
        <v>18</v>
      </c>
      <c r="D1144" s="8" t="str">
        <f>HYPERLINK("http://npthd.inbcu.com/ViewContent.aspx?filename=NPMR_FOX_2017-07-15_E.MP4$2827$3287","FOX SPORTS SPECIALS: premier boxing champions (7/15)")</f>
        <v>FOX SPORTS SPECIALS: premier boxing champions (7/15)</v>
      </c>
      <c r="E1144" s="3" t="s">
        <v>3602</v>
      </c>
      <c r="F1144" s="3" t="s">
        <v>3506</v>
      </c>
      <c r="G1144" s="3" t="s">
        <v>5421</v>
      </c>
    </row>
    <row r="1145" spans="1:7">
      <c r="A1145" s="6">
        <v>42931</v>
      </c>
      <c r="B1145" s="3" t="s">
        <v>4621</v>
      </c>
      <c r="C1145" s="3" t="s">
        <v>21</v>
      </c>
      <c r="D1145" s="8" t="str">
        <f>HYPERLINK("http://npthd.inbcu.com/ViewContent.aspx?filename=NPMR_FOX_2017-07-15_E.MP4$3287$3317","COMMERCIAL")</f>
        <v>COMMERCIAL</v>
      </c>
      <c r="E1145" s="3" t="s">
        <v>38</v>
      </c>
      <c r="F1145" s="3" t="s">
        <v>5421</v>
      </c>
      <c r="G1145" s="3" t="s">
        <v>3817</v>
      </c>
    </row>
    <row r="1146" spans="1:7">
      <c r="A1146" s="6">
        <v>42931</v>
      </c>
      <c r="B1146" s="3" t="s">
        <v>4621</v>
      </c>
      <c r="C1146" s="3" t="s">
        <v>18</v>
      </c>
      <c r="D1146" s="8" t="str">
        <f>HYPERLINK("http://npthd.inbcu.com/ViewContent.aspx?filename=NPMR_FOX_2017-07-15_E.MP4$3317$3458","FOX SPORTS SPECIALS: premier boxing champions (7/15)")</f>
        <v>FOX SPORTS SPECIALS: premier boxing champions (7/15)</v>
      </c>
      <c r="E1146" s="3" t="s">
        <v>1753</v>
      </c>
      <c r="F1146" s="3" t="s">
        <v>3817</v>
      </c>
      <c r="G1146" s="3" t="s">
        <v>5422</v>
      </c>
    </row>
    <row r="1147" spans="1:7">
      <c r="A1147" s="6">
        <v>42931</v>
      </c>
      <c r="B1147" s="3" t="s">
        <v>4621</v>
      </c>
      <c r="C1147" s="3" t="s">
        <v>21</v>
      </c>
      <c r="D1147" s="8" t="str">
        <f>HYPERLINK("http://npthd.inbcu.com/ViewContent.aspx?filename=NPMR_FOX_2017-07-15_E.MP4$3458$3488","COMMERCIAL")</f>
        <v>COMMERCIAL</v>
      </c>
      <c r="E1147" s="3" t="s">
        <v>38</v>
      </c>
      <c r="F1147" s="3" t="s">
        <v>5422</v>
      </c>
      <c r="G1147" s="3" t="s">
        <v>719</v>
      </c>
    </row>
    <row r="1148" spans="1:7">
      <c r="A1148" s="6">
        <v>42931</v>
      </c>
      <c r="B1148" s="3" t="s">
        <v>4621</v>
      </c>
      <c r="C1148" s="3" t="s">
        <v>14</v>
      </c>
      <c r="D1148" s="8" t="str">
        <f>HYPERLINK("http://npthd.inbcu.com/ViewContent.aspx?filename=NPMR_FOX_2017-07-15_E.MP4$3488$3498","Ghosted")</f>
        <v>Ghosted</v>
      </c>
      <c r="E1148" s="3" t="s">
        <v>197</v>
      </c>
      <c r="F1148" s="3" t="s">
        <v>719</v>
      </c>
      <c r="G1148" s="3" t="s">
        <v>153</v>
      </c>
    </row>
    <row r="1149" spans="1:7">
      <c r="A1149" s="6">
        <v>42931</v>
      </c>
      <c r="B1149" s="3" t="s">
        <v>4621</v>
      </c>
      <c r="C1149" s="3" t="s">
        <v>32</v>
      </c>
      <c r="D1149" s="8" t="str">
        <f>HYPERLINK("http://npthd.inbcu.com/ViewContent.aspx?filename=NPMR_FOX_2017-07-15_E.MP4$3498$3610","LOCAL")</f>
        <v>LOCAL</v>
      </c>
      <c r="E1149" s="3" t="s">
        <v>4791</v>
      </c>
      <c r="F1149" s="3" t="s">
        <v>153</v>
      </c>
      <c r="G1149" s="3" t="s">
        <v>4988</v>
      </c>
    </row>
    <row r="1150" spans="1:7">
      <c r="A1150" s="6">
        <v>42931</v>
      </c>
      <c r="B1150" s="3" t="s">
        <v>4621</v>
      </c>
      <c r="C1150" s="3" t="s">
        <v>18</v>
      </c>
      <c r="D1150" s="8" t="str">
        <f>HYPERLINK("http://npthd.inbcu.com/ViewContent.aspx?filename=NPMR_FOX_2017-07-15_E.MP4$3610$3895","FOX SPORTS SPECIALS: premier boxing champions (7/15)")</f>
        <v>FOX SPORTS SPECIALS: premier boxing champions (7/15)</v>
      </c>
      <c r="E1150" s="3" t="s">
        <v>1104</v>
      </c>
      <c r="F1150" s="3" t="s">
        <v>4988</v>
      </c>
      <c r="G1150" s="3" t="s">
        <v>5423</v>
      </c>
    </row>
    <row r="1151" spans="1:7">
      <c r="A1151" s="6">
        <v>42931</v>
      </c>
      <c r="B1151" s="3" t="s">
        <v>4621</v>
      </c>
      <c r="C1151" s="3" t="s">
        <v>21</v>
      </c>
      <c r="D1151" s="8" t="str">
        <f>HYPERLINK("http://npthd.inbcu.com/ViewContent.aspx?filename=NPMR_FOX_2017-07-15_E.MP4$3895$4046","COMMERCIAL")</f>
        <v>COMMERCIAL</v>
      </c>
      <c r="E1151" s="3" t="s">
        <v>91</v>
      </c>
      <c r="F1151" s="3" t="s">
        <v>5423</v>
      </c>
      <c r="G1151" s="3" t="s">
        <v>5424</v>
      </c>
    </row>
    <row r="1152" spans="1:7">
      <c r="A1152" s="6">
        <v>42931</v>
      </c>
      <c r="B1152" s="3" t="s">
        <v>4621</v>
      </c>
      <c r="C1152" s="3" t="s">
        <v>14</v>
      </c>
      <c r="D1152" s="8" t="str">
        <f>HYPERLINK("http://npthd.inbcu.com/ViewContent.aspx?filename=NPMR_FOX_2017-07-15_E.MP4$4046$4076","College Basketball on FOX")</f>
        <v>College Basketball on FOX</v>
      </c>
      <c r="E1152" s="3" t="s">
        <v>38</v>
      </c>
      <c r="F1152" s="3" t="s">
        <v>5424</v>
      </c>
      <c r="G1152" s="3" t="s">
        <v>1209</v>
      </c>
    </row>
    <row r="1153" spans="1:7">
      <c r="A1153" s="6">
        <v>42931</v>
      </c>
      <c r="B1153" s="3" t="s">
        <v>4621</v>
      </c>
      <c r="C1153" s="3" t="s">
        <v>18</v>
      </c>
      <c r="D1153" s="8" t="str">
        <f>HYPERLINK("http://npthd.inbcu.com/ViewContent.aspx?filename=NPMR_FOX_2017-07-15_E.MP4$4076$4122","FOX SPORTS SPECIALS: premier boxing champions (7/15)")</f>
        <v>FOX SPORTS SPECIALS: premier boxing champions (7/15)</v>
      </c>
      <c r="E1153" s="3" t="s">
        <v>549</v>
      </c>
      <c r="F1153" s="3" t="s">
        <v>1209</v>
      </c>
      <c r="G1153" s="3" t="s">
        <v>5425</v>
      </c>
    </row>
    <row r="1154" spans="1:7">
      <c r="A1154" s="6">
        <v>42931</v>
      </c>
      <c r="B1154" s="3" t="s">
        <v>4621</v>
      </c>
      <c r="C1154" s="3" t="s">
        <v>21</v>
      </c>
      <c r="D1154" s="8" t="str">
        <f>HYPERLINK("http://npthd.inbcu.com/ViewContent.aspx?filename=NPMR_FOX_2017-07-15_E.MP4$4122$4213","COMMERCIAL")</f>
        <v>COMMERCIAL</v>
      </c>
      <c r="E1154" s="3" t="s">
        <v>77</v>
      </c>
      <c r="F1154" s="3" t="s">
        <v>5425</v>
      </c>
      <c r="G1154" s="3" t="s">
        <v>1061</v>
      </c>
    </row>
    <row r="1155" spans="1:7">
      <c r="A1155" s="6">
        <v>42931</v>
      </c>
      <c r="B1155" s="3" t="s">
        <v>4621</v>
      </c>
      <c r="C1155" s="3" t="s">
        <v>14</v>
      </c>
      <c r="D1155" s="8" t="str">
        <f>HYPERLINK("http://npthd.inbcu.com/ViewContent.aspx?filename=NPMR_FOX_2017-07-15_E.MP4$4213$4243","Strain (FX)")</f>
        <v>Strain (FX)</v>
      </c>
      <c r="E1155" s="3" t="s">
        <v>38</v>
      </c>
      <c r="F1155" s="3" t="s">
        <v>1061</v>
      </c>
      <c r="G1155" s="3" t="s">
        <v>5426</v>
      </c>
    </row>
    <row r="1156" spans="1:7">
      <c r="A1156" s="6">
        <v>42931</v>
      </c>
      <c r="B1156" s="3" t="s">
        <v>4621</v>
      </c>
      <c r="C1156" s="3" t="s">
        <v>18</v>
      </c>
      <c r="D1156" s="8" t="str">
        <f>HYPERLINK("http://npthd.inbcu.com/ViewContent.aspx?filename=NPMR_FOX_2017-07-15_E.MP4$4243$4385","FOX SPORTS SPECIALS: premier boxing champions (7/15)")</f>
        <v>FOX SPORTS SPECIALS: premier boxing champions (7/15)</v>
      </c>
      <c r="E1156" s="3" t="s">
        <v>2082</v>
      </c>
      <c r="F1156" s="3" t="s">
        <v>5426</v>
      </c>
      <c r="G1156" s="3" t="s">
        <v>5427</v>
      </c>
    </row>
    <row r="1157" spans="1:7">
      <c r="A1157" s="6">
        <v>42931</v>
      </c>
      <c r="B1157" s="3" t="s">
        <v>4621</v>
      </c>
      <c r="C1157" s="3" t="s">
        <v>21</v>
      </c>
      <c r="D1157" s="8" t="str">
        <f>HYPERLINK("http://npthd.inbcu.com/ViewContent.aspx?filename=NPMR_FOX_2017-07-15_E.MP4$4385$4476","COMMERCIAL")</f>
        <v>COMMERCIAL</v>
      </c>
      <c r="E1157" s="3" t="s">
        <v>77</v>
      </c>
      <c r="F1157" s="3" t="s">
        <v>5427</v>
      </c>
      <c r="G1157" s="3" t="s">
        <v>5428</v>
      </c>
    </row>
    <row r="1158" spans="1:7">
      <c r="A1158" s="6">
        <v>42931</v>
      </c>
      <c r="B1158" s="3" t="s">
        <v>4621</v>
      </c>
      <c r="C1158" s="3" t="s">
        <v>18</v>
      </c>
      <c r="D1158" s="8" t="str">
        <f>HYPERLINK("http://npthd.inbcu.com/ViewContent.aspx?filename=NPMR_FOX_2017-07-15_E.MP4$4476$4914","FOX SPORTS SPECIALS: premier boxing champions (7/15)")</f>
        <v>FOX SPORTS SPECIALS: premier boxing champions (7/15)</v>
      </c>
      <c r="E1158" s="3" t="s">
        <v>4099</v>
      </c>
      <c r="F1158" s="3" t="s">
        <v>5428</v>
      </c>
      <c r="G1158" s="3" t="s">
        <v>5211</v>
      </c>
    </row>
    <row r="1159" spans="1:7">
      <c r="A1159" s="6">
        <v>42931</v>
      </c>
      <c r="B1159" s="3" t="s">
        <v>4621</v>
      </c>
      <c r="C1159" s="3" t="s">
        <v>21</v>
      </c>
      <c r="D1159" s="8" t="str">
        <f>HYPERLINK("http://npthd.inbcu.com/ViewContent.aspx?filename=NPMR_FOX_2017-07-15_E.MP4$4914$4975","COMMERCIAL")</f>
        <v>COMMERCIAL</v>
      </c>
      <c r="E1159" s="3" t="s">
        <v>33</v>
      </c>
      <c r="F1159" s="3" t="s">
        <v>5211</v>
      </c>
      <c r="G1159" s="3" t="s">
        <v>5429</v>
      </c>
    </row>
    <row r="1160" spans="1:7">
      <c r="A1160" s="6">
        <v>42931</v>
      </c>
      <c r="B1160" s="3" t="s">
        <v>4621</v>
      </c>
      <c r="C1160" s="3" t="s">
        <v>14</v>
      </c>
      <c r="D1160" s="8" t="str">
        <f>HYPERLINK("http://npthd.inbcu.com/ViewContent.aspx?filename=NPMR_FOX_2017-07-15_E.MP4$4975$5005","Big3 (FS1)")</f>
        <v>Big3 (FS1)</v>
      </c>
      <c r="E1160" s="3" t="s">
        <v>38</v>
      </c>
      <c r="F1160" s="3" t="s">
        <v>5429</v>
      </c>
      <c r="G1160" s="3" t="s">
        <v>5430</v>
      </c>
    </row>
    <row r="1161" spans="1:7">
      <c r="A1161" s="6">
        <v>42931</v>
      </c>
      <c r="B1161" s="3" t="s">
        <v>4621</v>
      </c>
      <c r="C1161" s="3" t="s">
        <v>14</v>
      </c>
      <c r="D1161" s="8" t="str">
        <f>HYPERLINK("http://npthd.inbcu.com/ViewContent.aspx?filename=NPMR_FOX_2017-07-15_E.MP4$5005$5035","MLB (Fox Sports 1)")</f>
        <v>MLB (Fox Sports 1)</v>
      </c>
      <c r="E1161" s="3" t="s">
        <v>38</v>
      </c>
      <c r="F1161" s="3" t="s">
        <v>5430</v>
      </c>
      <c r="G1161" s="3" t="s">
        <v>5431</v>
      </c>
    </row>
    <row r="1162" spans="1:7">
      <c r="A1162" s="6">
        <v>42931</v>
      </c>
      <c r="B1162" s="3" t="s">
        <v>4621</v>
      </c>
      <c r="C1162" s="3" t="s">
        <v>18</v>
      </c>
      <c r="D1162" s="8" t="str">
        <f>HYPERLINK("http://npthd.inbcu.com/ViewContent.aspx?filename=NPMR_FOX_2017-07-15_E.MP4$5035$5440","FOX SPORTS SPECIALS: premier boxing champions (7/15)")</f>
        <v>FOX SPORTS SPECIALS: premier boxing champions (7/15)</v>
      </c>
      <c r="E1162" s="3" t="s">
        <v>1531</v>
      </c>
      <c r="F1162" s="3" t="s">
        <v>5431</v>
      </c>
      <c r="G1162" s="3" t="s">
        <v>5432</v>
      </c>
    </row>
    <row r="1163" spans="1:7">
      <c r="A1163" s="6">
        <v>42931</v>
      </c>
      <c r="B1163" s="3" t="s">
        <v>4621</v>
      </c>
      <c r="C1163" s="3" t="s">
        <v>18</v>
      </c>
      <c r="D1163" s="8" t="str">
        <f>HYPERLINK("http://npthd.inbcu.com/ViewContent.aspx?filename=NPMR_FOX_2017-07-15_E.MP4$5440$5977","FOX SPORTS SPECIALS: premier boxing champions (7/15)")</f>
        <v>FOX SPORTS SPECIALS: premier boxing champions (7/15)</v>
      </c>
      <c r="E1163" s="3" t="s">
        <v>5433</v>
      </c>
      <c r="F1163" s="3" t="s">
        <v>5432</v>
      </c>
      <c r="G1163" s="3" t="s">
        <v>5434</v>
      </c>
    </row>
    <row r="1164" spans="1:7">
      <c r="A1164" s="6">
        <v>42931</v>
      </c>
      <c r="B1164" s="3" t="s">
        <v>4621</v>
      </c>
      <c r="C1164" s="3" t="s">
        <v>21</v>
      </c>
      <c r="D1164" s="8" t="str">
        <f>HYPERLINK("http://npthd.inbcu.com/ViewContent.aspx?filename=NPMR_FOX_2017-07-15_E.MP4$5977$6067","COMMERCIAL")</f>
        <v>COMMERCIAL</v>
      </c>
      <c r="E1164" s="3" t="s">
        <v>46</v>
      </c>
      <c r="F1164" s="3" t="s">
        <v>5434</v>
      </c>
      <c r="G1164" s="3" t="s">
        <v>739</v>
      </c>
    </row>
    <row r="1165" spans="1:7">
      <c r="A1165" s="6">
        <v>42931</v>
      </c>
      <c r="B1165" s="3" t="s">
        <v>4621</v>
      </c>
      <c r="C1165" s="3" t="s">
        <v>14</v>
      </c>
      <c r="D1165" s="8" t="str">
        <f>HYPERLINK("http://npthd.inbcu.com/ViewContent.aspx?filename=NPMR_FOX_2017-07-15_E.MP4$6067$6082","Gifted")</f>
        <v>Gifted</v>
      </c>
      <c r="E1165" s="3" t="s">
        <v>30</v>
      </c>
      <c r="F1165" s="3" t="s">
        <v>739</v>
      </c>
      <c r="G1165" s="3" t="s">
        <v>740</v>
      </c>
    </row>
    <row r="1166" spans="1:7">
      <c r="A1166" s="6">
        <v>42931</v>
      </c>
      <c r="B1166" s="3" t="s">
        <v>4621</v>
      </c>
      <c r="C1166" s="3" t="s">
        <v>14</v>
      </c>
      <c r="D1166" s="8" t="str">
        <f>HYPERLINK("http://npthd.inbcu.com/ViewContent.aspx?filename=NPMR_FOX_2017-07-15_E.MP4$6082$6112","Orville, The")</f>
        <v>Orville, The</v>
      </c>
      <c r="E1166" s="3" t="s">
        <v>38</v>
      </c>
      <c r="F1166" s="3" t="s">
        <v>740</v>
      </c>
      <c r="G1166" s="3" t="s">
        <v>5435</v>
      </c>
    </row>
    <row r="1167" spans="1:7">
      <c r="A1167" s="6">
        <v>42931</v>
      </c>
      <c r="B1167" s="3" t="s">
        <v>4621</v>
      </c>
      <c r="C1167" s="3" t="s">
        <v>18</v>
      </c>
      <c r="D1167" s="8" t="str">
        <f>HYPERLINK("http://npthd.inbcu.com/ViewContent.aspx?filename=NPMR_FOX_2017-07-15_E.MP4$6112$6399","FOX SPORTS SPECIALS: premier boxing champions (7/15)")</f>
        <v>FOX SPORTS SPECIALS: premier boxing champions (7/15)</v>
      </c>
      <c r="E1167" s="3" t="s">
        <v>392</v>
      </c>
      <c r="F1167" s="3" t="s">
        <v>5435</v>
      </c>
      <c r="G1167" s="3" t="s">
        <v>5095</v>
      </c>
    </row>
    <row r="1168" spans="1:7">
      <c r="A1168" s="6">
        <v>42931</v>
      </c>
      <c r="B1168" s="3" t="s">
        <v>4621</v>
      </c>
      <c r="C1168" s="3" t="s">
        <v>21</v>
      </c>
      <c r="D1168" s="8" t="str">
        <f>HYPERLINK("http://npthd.inbcu.com/ViewContent.aspx?filename=NPMR_FOX_2017-07-15_E.MP4$6399$6429","COMMERCIAL")</f>
        <v>COMMERCIAL</v>
      </c>
      <c r="E1168" s="3" t="s">
        <v>38</v>
      </c>
      <c r="F1168" s="3" t="s">
        <v>5095</v>
      </c>
      <c r="G1168" s="3" t="s">
        <v>3473</v>
      </c>
    </row>
    <row r="1169" spans="1:7">
      <c r="A1169" s="6">
        <v>42931</v>
      </c>
      <c r="B1169" s="3" t="s">
        <v>4621</v>
      </c>
      <c r="C1169" s="3" t="s">
        <v>14</v>
      </c>
      <c r="D1169" s="8" t="str">
        <f>HYPERLINK("http://npthd.inbcu.com/ViewContent.aspx?filename=NPMR_FOX_2017-07-15_E.MP4$6429$6459","MLB (Fox Sports 1)")</f>
        <v>MLB (Fox Sports 1)</v>
      </c>
      <c r="E1169" s="3" t="s">
        <v>38</v>
      </c>
      <c r="F1169" s="3" t="s">
        <v>3473</v>
      </c>
      <c r="G1169" s="3" t="s">
        <v>5436</v>
      </c>
    </row>
    <row r="1170" spans="1:7">
      <c r="A1170" s="6">
        <v>42931</v>
      </c>
      <c r="B1170" s="3" t="s">
        <v>4621</v>
      </c>
      <c r="C1170" s="3" t="s">
        <v>14</v>
      </c>
      <c r="D1170" s="8" t="str">
        <f>HYPERLINK("http://npthd.inbcu.com/ViewContent.aspx?filename=NPMR_FOX_2017-07-15_E.MP4$6459$6489","Ghosted")</f>
        <v>Ghosted</v>
      </c>
      <c r="E1170" s="3" t="s">
        <v>38</v>
      </c>
      <c r="F1170" s="3" t="s">
        <v>5436</v>
      </c>
      <c r="G1170" s="3" t="s">
        <v>5437</v>
      </c>
    </row>
    <row r="1171" spans="1:7">
      <c r="A1171" s="6">
        <v>42931</v>
      </c>
      <c r="B1171" s="3" t="s">
        <v>4621</v>
      </c>
      <c r="C1171" s="3" t="s">
        <v>14</v>
      </c>
      <c r="D1171" s="8" t="str">
        <f>HYPERLINK("http://npthd.inbcu.com/ViewContent.aspx?filename=NPMR_FOX_2017-07-15_E.MP4$6489$6519","Orville, The")</f>
        <v>Orville, The</v>
      </c>
      <c r="E1171" s="3" t="s">
        <v>38</v>
      </c>
      <c r="F1171" s="3" t="s">
        <v>5437</v>
      </c>
      <c r="G1171" s="3" t="s">
        <v>5438</v>
      </c>
    </row>
    <row r="1172" spans="1:7">
      <c r="A1172" s="6">
        <v>42931</v>
      </c>
      <c r="B1172" s="3" t="s">
        <v>4621</v>
      </c>
      <c r="C1172" s="3" t="s">
        <v>14</v>
      </c>
      <c r="D1172" s="8" t="str">
        <f>HYPERLINK("http://npthd.inbcu.com/ViewContent.aspx?filename=NPMR_FOX_2017-07-15_E.MP4$6519$6549","UFC Fight Night (FS1)")</f>
        <v>UFC Fight Night (FS1)</v>
      </c>
      <c r="E1172" s="3" t="s">
        <v>38</v>
      </c>
      <c r="F1172" s="3" t="s">
        <v>5438</v>
      </c>
      <c r="G1172" s="3" t="s">
        <v>5439</v>
      </c>
    </row>
    <row r="1173" spans="1:7">
      <c r="A1173" s="6">
        <v>42931</v>
      </c>
      <c r="B1173" s="3" t="s">
        <v>4621</v>
      </c>
      <c r="C1173" s="3" t="s">
        <v>18</v>
      </c>
      <c r="D1173" s="8" t="str">
        <f>HYPERLINK("http://npthd.inbcu.com/ViewContent.aspx?filename=NPMR_FOX_2017-07-15_E.MP4$6549$6907","FOX SPORTS SPECIALS: premier boxing champions (7/15)")</f>
        <v>FOX SPORTS SPECIALS: premier boxing champions (7/15)</v>
      </c>
      <c r="E1173" s="3" t="s">
        <v>4198</v>
      </c>
      <c r="F1173" s="3" t="s">
        <v>5439</v>
      </c>
      <c r="G1173" s="3" t="s">
        <v>1005</v>
      </c>
    </row>
    <row r="1174" spans="1:7">
      <c r="A1174" s="6">
        <v>42931</v>
      </c>
      <c r="B1174" s="3" t="s">
        <v>4621</v>
      </c>
      <c r="C1174" s="3" t="s">
        <v>21</v>
      </c>
      <c r="D1174" s="8" t="str">
        <f>HYPERLINK("http://npthd.inbcu.com/ViewContent.aspx?filename=NPMR_FOX_2017-07-15_E.MP4$6907$6938","COMMERCIAL")</f>
        <v>COMMERCIAL</v>
      </c>
      <c r="E1174" s="3" t="s">
        <v>98</v>
      </c>
      <c r="F1174" s="3" t="s">
        <v>1005</v>
      </c>
      <c r="G1174" s="3" t="s">
        <v>1513</v>
      </c>
    </row>
    <row r="1175" spans="1:7">
      <c r="A1175" s="6">
        <v>42931</v>
      </c>
      <c r="B1175" s="3" t="s">
        <v>4621</v>
      </c>
      <c r="C1175" s="3" t="s">
        <v>14</v>
      </c>
      <c r="D1175" s="8" t="str">
        <f>HYPERLINK("http://npthd.inbcu.com/ViewContent.aspx?filename=NPMR_FOX_2017-07-15_E.MP4$6938$6968","Big3 (FS1)")</f>
        <v>Big3 (FS1)</v>
      </c>
      <c r="E1175" s="3" t="s">
        <v>38</v>
      </c>
      <c r="F1175" s="3" t="s">
        <v>1513</v>
      </c>
      <c r="G1175" s="3" t="s">
        <v>5277</v>
      </c>
    </row>
    <row r="1176" spans="1:7">
      <c r="A1176" s="6">
        <v>42931</v>
      </c>
      <c r="B1176" s="3" t="s">
        <v>4621</v>
      </c>
      <c r="C1176" s="3" t="s">
        <v>14</v>
      </c>
      <c r="D1176" s="8" t="str">
        <f>HYPERLINK("http://npthd.inbcu.com/ViewContent.aspx?filename=NPMR_FOX_2017-07-15_E.MP4$6968$6998","College Football on FOX")</f>
        <v>College Football on FOX</v>
      </c>
      <c r="E1176" s="3" t="s">
        <v>38</v>
      </c>
      <c r="F1176" s="3" t="s">
        <v>5277</v>
      </c>
      <c r="G1176" s="3" t="s">
        <v>81</v>
      </c>
    </row>
    <row r="1177" spans="1:7">
      <c r="A1177" s="6">
        <v>42931</v>
      </c>
      <c r="B1177" s="3" t="s">
        <v>4621</v>
      </c>
      <c r="C1177" s="3" t="s">
        <v>14</v>
      </c>
      <c r="D1177" s="8" t="str">
        <f>HYPERLINK("http://npthd.inbcu.com/ViewContent.aspx?filename=NPMR_FOX_2017-07-15_E.MP4$6998$7028","Strain (FX)")</f>
        <v>Strain (FX)</v>
      </c>
      <c r="E1177" s="3" t="s">
        <v>38</v>
      </c>
      <c r="F1177" s="3" t="s">
        <v>81</v>
      </c>
      <c r="G1177" s="3" t="s">
        <v>1915</v>
      </c>
    </row>
    <row r="1178" spans="1:7">
      <c r="A1178" s="6">
        <v>42931</v>
      </c>
      <c r="B1178" s="3" t="s">
        <v>4621</v>
      </c>
      <c r="C1178" s="3" t="s">
        <v>14</v>
      </c>
      <c r="D1178" s="8" t="str">
        <f>HYPERLINK("http://npthd.inbcu.com/ViewContent.aspx?filename=NPMR_FOX_2017-07-15_E.MP4$7028$7058","MLB (Fox Sports 1)")</f>
        <v>MLB (Fox Sports 1)</v>
      </c>
      <c r="E1178" s="3" t="s">
        <v>38</v>
      </c>
      <c r="F1178" s="3" t="s">
        <v>1915</v>
      </c>
      <c r="G1178" s="3" t="s">
        <v>1916</v>
      </c>
    </row>
    <row r="1179" spans="1:7">
      <c r="A1179" s="6">
        <v>42931</v>
      </c>
      <c r="B1179" s="3" t="s">
        <v>4621</v>
      </c>
      <c r="C1179" s="3" t="s">
        <v>18</v>
      </c>
      <c r="D1179" s="8" t="str">
        <f>HYPERLINK("http://npthd.inbcu.com/ViewContent.aspx?filename=NPMR_FOX_2017-07-15_E.MP4$7058$7153","FOX SPORTS SPECIALS: premier boxing champions (7/15)")</f>
        <v>FOX SPORTS SPECIALS: premier boxing champions (7/15)</v>
      </c>
      <c r="E1179" s="3" t="s">
        <v>2076</v>
      </c>
      <c r="F1179" s="3" t="s">
        <v>1916</v>
      </c>
      <c r="G1179" s="3" t="s">
        <v>5440</v>
      </c>
    </row>
    <row r="1180" spans="1:7">
      <c r="A1180" s="6">
        <v>42931</v>
      </c>
      <c r="B1180" s="3" t="s">
        <v>4621</v>
      </c>
      <c r="C1180" s="3" t="s">
        <v>14</v>
      </c>
      <c r="D1180" s="8" t="str">
        <f>HYPERLINK("http://npthd.inbcu.com/ViewContent.aspx?filename=NPMR_FOX_2017-07-15_E.MP4$7153$7173","UFC Fight Night (FS1)")</f>
        <v>UFC Fight Night (FS1)</v>
      </c>
      <c r="E1180" s="3" t="s">
        <v>1805</v>
      </c>
      <c r="F1180" s="3" t="s">
        <v>5440</v>
      </c>
      <c r="G1180" s="3" t="s">
        <v>5441</v>
      </c>
    </row>
    <row r="1181" spans="1:7">
      <c r="A1181" s="6">
        <v>42931</v>
      </c>
      <c r="B1181" s="3" t="s">
        <v>4621</v>
      </c>
      <c r="C1181" s="3" t="s">
        <v>14</v>
      </c>
      <c r="D1181" s="8" t="str">
        <f>HYPERLINK("http://npthd.inbcu.com/ViewContent.aspx?filename=NPMR_FOX_2017-07-15_E.MP4$7173$7176","FOX Sports")</f>
        <v>FOX Sports</v>
      </c>
      <c r="E1181" s="3" t="s">
        <v>393</v>
      </c>
      <c r="F1181" s="3" t="s">
        <v>5441</v>
      </c>
      <c r="G1181" s="3" t="s">
        <v>5442</v>
      </c>
    </row>
    <row r="1182" spans="1:7">
      <c r="A1182" s="6">
        <v>42931</v>
      </c>
      <c r="B1182" s="3" t="s">
        <v>4621</v>
      </c>
      <c r="C1182" s="3" t="s">
        <v>32</v>
      </c>
      <c r="D1182" s="8" t="str">
        <f>HYPERLINK("http://npthd.inbcu.com/ViewContent.aspx?filename=NPMR_FOX_2017-07-15_E.MP4$7176$7257","LOCAL")</f>
        <v>LOCAL</v>
      </c>
      <c r="E1182" s="3" t="s">
        <v>4184</v>
      </c>
      <c r="F1182" s="3" t="s">
        <v>5442</v>
      </c>
      <c r="G1182" s="3" t="s">
        <v>394</v>
      </c>
    </row>
  </sheetData>
  <mergeCells count="2">
    <mergeCell ref="A1:H1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ABC</vt:lpstr>
      <vt:lpstr>CBS</vt:lpstr>
      <vt:lpstr>NBC</vt:lpstr>
      <vt:lpstr>FOX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Perumal, Sooriya Prakash (501926780)</cp:lastModifiedBy>
  <dcterms:modified xsi:type="dcterms:W3CDTF">2017-07-26T23:37:29Z</dcterms:modified>
</cp:coreProperties>
</file>