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G:\Project\"/>
    </mc:Choice>
  </mc:AlternateContent>
  <xr:revisionPtr revIDLastSave="0" documentId="13_ncr:1_{06A7E17E-4BBA-439F-B73C-3A5F29F18252}" xr6:coauthVersionLast="47" xr6:coauthVersionMax="47" xr10:uidLastSave="{00000000-0000-0000-0000-000000000000}"/>
  <bookViews>
    <workbookView xWindow="-120" yWindow="-120" windowWidth="20730" windowHeight="11310" activeTab="1" xr2:uid="{7DC2F917-19F1-4AA2-B8A0-5E33934CFFC5}"/>
  </bookViews>
  <sheets>
    <sheet name="Dashboard Month" sheetId="4" r:id="rId1"/>
    <sheet name="Dashboard Year" sheetId="5" r:id="rId2"/>
    <sheet name="Data" sheetId="1" r:id="rId3"/>
  </sheets>
  <externalReferences>
    <externalReference r:id="rId4"/>
  </externalReferences>
  <definedNames>
    <definedName name="Income">Data!$J$15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3" i="1" l="1"/>
  <c r="M14" i="1"/>
  <c r="Y4" i="1"/>
  <c r="Y5" i="1"/>
  <c r="Y6" i="1"/>
  <c r="Y7" i="1"/>
  <c r="O6" i="4"/>
  <c r="L6" i="4"/>
  <c r="I6" i="4"/>
  <c r="F6" i="4"/>
  <c r="L13" i="1"/>
  <c r="L14" i="1"/>
  <c r="K13" i="1"/>
  <c r="L22" i="4" s="1"/>
  <c r="K14" i="1"/>
  <c r="J8" i="1"/>
  <c r="M4" i="1"/>
  <c r="N4" i="1"/>
  <c r="O4" i="1"/>
  <c r="P4" i="1"/>
  <c r="Q4" i="1"/>
  <c r="R4" i="1"/>
  <c r="S4" i="1"/>
  <c r="T4" i="1"/>
  <c r="U4" i="1"/>
  <c r="V4" i="1"/>
  <c r="W4" i="1"/>
  <c r="M5" i="1"/>
  <c r="N5" i="1"/>
  <c r="O5" i="1"/>
  <c r="P5" i="1"/>
  <c r="Q5" i="1"/>
  <c r="R5" i="1"/>
  <c r="S5" i="1"/>
  <c r="T5" i="1"/>
  <c r="U5" i="1"/>
  <c r="V5" i="1"/>
  <c r="W5" i="1"/>
  <c r="M6" i="1"/>
  <c r="N6" i="1"/>
  <c r="O6" i="1"/>
  <c r="P6" i="1"/>
  <c r="Q6" i="1"/>
  <c r="R6" i="1"/>
  <c r="S6" i="1"/>
  <c r="T6" i="1"/>
  <c r="U6" i="1"/>
  <c r="V6" i="1"/>
  <c r="W6" i="1"/>
  <c r="M7" i="1"/>
  <c r="N7" i="1"/>
  <c r="O7" i="1"/>
  <c r="P7" i="1"/>
  <c r="Q7" i="1"/>
  <c r="R7" i="1"/>
  <c r="S7" i="1"/>
  <c r="T7" i="1"/>
  <c r="U7" i="1"/>
  <c r="V7" i="1"/>
  <c r="W7" i="1"/>
  <c r="L4" i="1"/>
  <c r="L5" i="1"/>
  <c r="L6" i="1"/>
  <c r="L7" i="1"/>
  <c r="K4" i="1"/>
  <c r="F5" i="4" s="1"/>
  <c r="K5" i="1"/>
  <c r="I5" i="4" s="1"/>
  <c r="K6" i="1"/>
  <c r="L5" i="4" s="1"/>
  <c r="K7" i="1"/>
  <c r="P5" i="4" s="1"/>
  <c r="J5" i="4" l="1"/>
  <c r="O5" i="4"/>
  <c r="M5" i="4"/>
  <c r="G5" i="4"/>
  <c r="T8" i="1"/>
  <c r="P8" i="1"/>
  <c r="V8" i="1"/>
  <c r="N8" i="1"/>
  <c r="W8" i="1"/>
  <c r="S8" i="1"/>
  <c r="O8" i="1"/>
  <c r="R8" i="1"/>
  <c r="U8" i="1"/>
  <c r="Q8" i="1"/>
  <c r="M8" i="1"/>
  <c r="L8" i="1"/>
  <c r="O12" i="5"/>
  <c r="Y8" i="1"/>
  <c r="K8" i="1"/>
  <c r="F22" i="4" s="1"/>
  <c r="X6" i="1"/>
  <c r="L5" i="5" s="1"/>
  <c r="X7" i="1"/>
  <c r="O5" i="5" s="1"/>
  <c r="X5" i="1"/>
  <c r="I5" i="5" s="1"/>
  <c r="X4" i="1"/>
  <c r="G5" i="5" s="1"/>
  <c r="J5" i="5" l="1"/>
  <c r="P5" i="5"/>
  <c r="M5" i="5"/>
  <c r="F5" i="5"/>
  <c r="X8" i="1"/>
  <c r="O9" i="5" s="1"/>
</calcChain>
</file>

<file path=xl/sharedStrings.xml><?xml version="1.0" encoding="utf-8"?>
<sst xmlns="http://schemas.openxmlformats.org/spreadsheetml/2006/main" count="229" uniqueCount="38">
  <si>
    <t>Income and expence Records</t>
  </si>
  <si>
    <t xml:space="preserve">Date </t>
  </si>
  <si>
    <t>Type</t>
  </si>
  <si>
    <t>Category</t>
  </si>
  <si>
    <t>Income</t>
  </si>
  <si>
    <t>Expence</t>
  </si>
  <si>
    <t xml:space="preserve">Month </t>
  </si>
  <si>
    <t>Year</t>
  </si>
  <si>
    <t>Food</t>
  </si>
  <si>
    <t>Other</t>
  </si>
  <si>
    <t>Rent</t>
  </si>
  <si>
    <t>Transport</t>
  </si>
  <si>
    <t>Salary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</si>
  <si>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</si>
  <si>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</si>
  <si>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</si>
  <si>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</si>
  <si>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</si>
  <si>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</si>
  <si>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</si>
  <si>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</si>
  <si>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</si>
  <si>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</si>
  <si>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</si>
  <si>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</si>
  <si>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Budget</t>
  </si>
  <si>
    <t>Actual</t>
  </si>
  <si>
    <t xml:space="preserve">Total YTD </t>
  </si>
  <si>
    <t>Year Budget</t>
  </si>
  <si>
    <t>Total</t>
  </si>
  <si>
    <t>Target</t>
  </si>
  <si>
    <t>Target Year</t>
  </si>
  <si>
    <t>Actual year</t>
  </si>
  <si>
    <t>Target Spend vs Actual Spend</t>
  </si>
  <si>
    <t>Target Income Vs Actual Income</t>
  </si>
  <si>
    <t>Year :</t>
  </si>
  <si>
    <t>Personal Finace Yearly Dashboard</t>
  </si>
  <si>
    <t>Personal Finace Monthly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</si>
</sst>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9" formatCode="_ * #,##0_ ;_ * \-#,##0_ ;_ * &quot;-&quot;??_ ;_ @_ 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masis MT Pro"/>
      <family val="1"/>
    </font>
    <font>
      <sz val="12"/>
      <color theme="1"/>
      <name val="Calibri"/>
      <family val="2"/>
    </font>
    <font>
      <b/>
      <sz val="20"/>
      <color theme="1"/>
      <name val="Aptos"/>
      <family val="2"/>
    </font>
    <font>
      <sz val="16"/>
      <color theme="0"/>
      <name val="Aptos"/>
      <family val="2"/>
    </font>
    <font>
      <sz val="18"/>
      <color theme="1"/>
      <name val="Calibri"/>
      <family val="2"/>
    </font>
    <font>
      <b/>
      <sz val="14"/>
      <color theme="1"/>
      <name val="Aptos"/>
      <family val="2"/>
    </font>
    <font>
      <b/>
      <sz val="20"/>
      <color theme="1"/>
      <name val="Amasis MT Pro"/>
      <family val="1"/>
    </font>
    <font>
      <sz val="28"/>
      <color theme="1"/>
      <name val="Amasis MT Pro"/>
      <family val="1"/>
    </font>
    <font>
      <sz val="8"/>
      <name val="Calibri"/>
      <family val="2"/>
      <scheme val="minor"/>
    </font>
    <font>
      <sz val="9"/>
      <color theme="1"/>
      <name val="Amasis MT Pro"/>
      <family val="1"/>
    </font>
    <font>
      <b/>
      <sz val="48"/>
      <color rgb="FF54B60A"/>
      <name val="Aptos"/>
      <family val="2"/>
    </font>
  </fonts>
  <fills count="10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293D68"/>
      </patternFill>
    </fill>
    <fill>
      <patternFill patternType="solid">
        <fgColor theme="0" tint="-0.499984740745262"/>
        <bgColor rgb="FF293D68"/>
      </patternFill>
    </fill>
  </fills>
  <borders count="10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7">
    <xf numFmtId="0" fontId="0" fillId="0" borderId="0" xfId="0"/>
    <xf numFmtId="0" fontId="2" fillId="2" borderId="0" xfId="0" applyFont="1" applyFill="1" applyAlignment="1">
      <alignment horizontal="center"/>
    </xf>
    <xf numFmtId="0" fontId="3" fillId="3" borderId="1" xfId="0" applyFont="1" applyFill="1" applyBorder="1"/>
    <xf numFmtId="0" fontId="3" fillId="3" borderId="2" xfId="0" applyFont="1" applyFill="1" applyBorder="1"/>
    <xf numFmtId="0" fontId="3" fillId="3" borderId="3" xfId="0" applyFont="1" applyFill="1" applyBorder="1"/>
    <xf numFmtId="43" fontId="0" fillId="0" borderId="5" xfId="1" applyFont="1" applyBorder="1"/>
    <xf numFmtId="43" fontId="0" fillId="0" borderId="8" xfId="1" applyFont="1" applyBorder="1"/>
    <xf numFmtId="0" fontId="0" fillId="6" borderId="2" xfId="0" applyFill="1" applyBorder="1"/>
    <xf numFmtId="0" fontId="0" fillId="3" borderId="2" xfId="0" applyFill="1" applyBorder="1"/>
    <xf numFmtId="43" fontId="0" fillId="0" borderId="2" xfId="1" applyFont="1" applyBorder="1"/>
    <xf numFmtId="0" fontId="3" fillId="3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14" fontId="0" fillId="0" borderId="4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43" fontId="0" fillId="0" borderId="5" xfId="1" applyFont="1" applyBorder="1" applyAlignment="1">
      <alignment horizontal="center"/>
    </xf>
    <xf numFmtId="0" fontId="0" fillId="0" borderId="6" xfId="0" applyBorder="1" applyAlignment="1">
      <alignment horizontal="center"/>
    </xf>
    <xf numFmtId="14" fontId="0" fillId="4" borderId="4" xfId="0" applyNumberFormat="1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43" fontId="0" fillId="4" borderId="5" xfId="1" applyFont="1" applyFill="1" applyBorder="1" applyAlignment="1">
      <alignment horizontal="center"/>
    </xf>
    <xf numFmtId="14" fontId="0" fillId="0" borderId="7" xfId="0" applyNumberFormat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43" fontId="0" fillId="4" borderId="8" xfId="1" applyFont="1" applyFill="1" applyBorder="1" applyAlignment="1">
      <alignment horizontal="center"/>
    </xf>
    <xf numFmtId="43" fontId="0" fillId="0" borderId="8" xfId="1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3" fillId="0" borderId="7" xfId="0" applyFont="1" applyBorder="1"/>
    <xf numFmtId="0" fontId="4" fillId="0" borderId="0" xfId="0" applyFont="1"/>
    <xf numFmtId="0" fontId="0" fillId="7" borderId="0" xfId="0" applyFill="1"/>
    <xf numFmtId="0" fontId="5" fillId="8" borderId="0" xfId="0" applyFont="1" applyFill="1"/>
    <xf numFmtId="0" fontId="9" fillId="8" borderId="0" xfId="0" applyFont="1" applyFill="1"/>
    <xf numFmtId="0" fontId="0" fillId="0" borderId="4" xfId="0" applyBorder="1" applyAlignment="1">
      <alignment horizontal="left"/>
    </xf>
    <xf numFmtId="43" fontId="0" fillId="0" borderId="6" xfId="1" applyFont="1" applyBorder="1"/>
    <xf numFmtId="0" fontId="0" fillId="3" borderId="3" xfId="0" applyFill="1" applyBorder="1"/>
    <xf numFmtId="0" fontId="0" fillId="0" borderId="4" xfId="0" applyBorder="1"/>
    <xf numFmtId="43" fontId="3" fillId="0" borderId="8" xfId="1" applyFont="1" applyBorder="1"/>
    <xf numFmtId="43" fontId="3" fillId="0" borderId="9" xfId="1" applyFont="1" applyBorder="1"/>
    <xf numFmtId="0" fontId="0" fillId="0" borderId="7" xfId="0" applyBorder="1" applyAlignment="1">
      <alignment horizontal="left"/>
    </xf>
    <xf numFmtId="43" fontId="0" fillId="0" borderId="8" xfId="0" applyNumberFormat="1" applyFont="1" applyBorder="1"/>
    <xf numFmtId="0" fontId="6" fillId="7" borderId="0" xfId="0" applyFont="1" applyFill="1" applyBorder="1"/>
    <xf numFmtId="0" fontId="0" fillId="7" borderId="0" xfId="0" applyFill="1" applyBorder="1"/>
    <xf numFmtId="0" fontId="5" fillId="8" borderId="0" xfId="0" applyFont="1" applyFill="1" applyBorder="1"/>
    <xf numFmtId="43" fontId="7" fillId="9" borderId="0" xfId="0" applyNumberFormat="1" applyFont="1" applyFill="1" applyBorder="1"/>
    <xf numFmtId="43" fontId="8" fillId="8" borderId="0" xfId="0" applyNumberFormat="1" applyFont="1" applyFill="1" applyBorder="1"/>
    <xf numFmtId="0" fontId="0" fillId="0" borderId="0" xfId="0" applyBorder="1"/>
    <xf numFmtId="0" fontId="10" fillId="0" borderId="0" xfId="0" applyFont="1"/>
    <xf numFmtId="43" fontId="11" fillId="0" borderId="0" xfId="1" applyFont="1" applyAlignment="1">
      <alignment vertical="center"/>
    </xf>
    <xf numFmtId="43" fontId="0" fillId="0" borderId="9" xfId="0" applyNumberFormat="1" applyFont="1" applyBorder="1"/>
    <xf numFmtId="43" fontId="0" fillId="0" borderId="5" xfId="1" applyNumberFormat="1" applyFont="1" applyBorder="1"/>
    <xf numFmtId="43" fontId="3" fillId="0" borderId="8" xfId="1" applyNumberFormat="1" applyFont="1" applyBorder="1"/>
    <xf numFmtId="0" fontId="13" fillId="0" borderId="0" xfId="0" applyFont="1" applyAlignment="1">
      <alignment horizontal="center"/>
    </xf>
    <xf numFmtId="0" fontId="13" fillId="0" borderId="0" xfId="0" applyFont="1" applyAlignment="1"/>
    <xf numFmtId="169" fontId="11" fillId="0" borderId="0" xfId="1" applyNumberFormat="1" applyFont="1" applyAlignment="1">
      <alignment vertical="center"/>
    </xf>
    <xf numFmtId="169" fontId="11" fillId="0" borderId="0" xfId="1" applyNumberFormat="1" applyFont="1" applyAlignment="1">
      <alignment horizontal="center" vertical="center"/>
    </xf>
    <xf numFmtId="0" fontId="14" fillId="7" borderId="0" xfId="0" applyFont="1" applyFill="1" applyAlignment="1">
      <alignment horizontal="center"/>
    </xf>
  </cellXfs>
  <cellStyles count="2">
    <cellStyle name="Comma" xfId="1" builtinId="3"/>
    <cellStyle name="Normal" xfId="0" builtinId="0"/>
  </cellStyles>
  <dxfs count="66"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 * #,##0.00_ ;_ * \-#,##0.00_ ;_ * &quot;-&quot;??_ ;_ @_ 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 * #,##0.00_ ;_ * \-#,##0.00_ ;_ * &quot;-&quot;??_ ;_ @_ 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 * #,##0.00_ ;_ * \-#,##0.00_ ;_ * &quot;-&quot;??_ ;_ @_ 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 * #,##0.00_ ;_ * \-#,##0.00_ ;_ * &quot;-&quot;??_ ;_ @_ 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 * #,##0.00_ ;_ * \-#,##0.00_ ;_ * &quot;-&quot;??_ ;_ @_ 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 * #,##0.00_ ;_ * \-#,##0.00_ ;_ * &quot;-&quot;??_ ;_ @_ 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 * #,##0.00_ ;_ * \-#,##0.00_ ;_ * &quot;-&quot;??_ ;_ @_ 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left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C00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 * #,##0.00_ ;_ * \-#,##0.00_ ;_ * &quot;-&quot;??_ ;_ @_ 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 * #,##0.00_ ;_ * \-#,##0.00_ ;_ * &quot;-&quot;??_ ;_ @_ 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 * #,##0.00_ ;_ * \-#,##0.00_ ;_ * &quot;-&quot;??_ ;_ @_ 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rgb="FF92D05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C00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colors>
    <mruColors>
      <color rgb="FF54B60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42A-4B9F-9E43-E93376388207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42A-4B9F-9E43-E93376388207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42A-4B9F-9E43-E93376388207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B42A-4B9F-9E43-E93376388207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Amasis MT Pro" panose="02040504050005020304" pitchFamily="18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bg1"/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Data!$I$4:$I$7</c:f>
              <c:strCache>
                <c:ptCount val="4"/>
                <c:pt idx="0">
                  <c:v>Rent</c:v>
                </c:pt>
                <c:pt idx="1">
                  <c:v>Transport</c:v>
                </c:pt>
                <c:pt idx="2">
                  <c:v>Other</c:v>
                </c:pt>
                <c:pt idx="3">
                  <c:v>Food</c:v>
                </c:pt>
              </c:strCache>
            </c:strRef>
          </c:cat>
          <c:val>
            <c:numRef>
              <c:f>Data!$K$4:$K$7</c:f>
              <c:numCache>
                <c:formatCode>_(* #,##0.00_);_(* \(#,##0.00\);_(* "-"??_);_(@_)</c:formatCode>
                <c:ptCount val="4"/>
                <c:pt idx="0">
                  <c:v>2000</c:v>
                </c:pt>
                <c:pt idx="1">
                  <c:v>1570</c:v>
                </c:pt>
                <c:pt idx="2">
                  <c:v>2800</c:v>
                </c:pt>
                <c:pt idx="3">
                  <c:v>4800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B42A-4B9F-9E43-E93376388207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Data!$J$3</c:f>
              <c:strCache>
                <c:ptCount val="1"/>
                <c:pt idx="0">
                  <c:v>Budget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Data!$I$4:$I$7</c:f>
              <c:strCache>
                <c:ptCount val="4"/>
                <c:pt idx="0">
                  <c:v>Rent</c:v>
                </c:pt>
                <c:pt idx="1">
                  <c:v>Transport</c:v>
                </c:pt>
                <c:pt idx="2">
                  <c:v>Other</c:v>
                </c:pt>
                <c:pt idx="3">
                  <c:v>Food</c:v>
                </c:pt>
              </c:strCache>
            </c:strRef>
          </c:cat>
          <c:val>
            <c:numRef>
              <c:f>Data!$J$4:$J$7</c:f>
              <c:numCache>
                <c:formatCode>_(* #,##0.00_);_(* \(#,##0.00\);_(* "-"??_);_(@_)</c:formatCode>
                <c:ptCount val="4"/>
                <c:pt idx="0">
                  <c:v>3000</c:v>
                </c:pt>
                <c:pt idx="1">
                  <c:v>2000</c:v>
                </c:pt>
                <c:pt idx="2">
                  <c:v>2500</c:v>
                </c:pt>
                <c:pt idx="3">
                  <c:v>4500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CC-4CA3-9318-5A91BD5FAD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0"/>
        <c:axId val="815997743"/>
        <c:axId val="815993423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Data!$K$3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Data!$I$4:$I$7</c:f>
              <c:strCache>
                <c:ptCount val="4"/>
                <c:pt idx="0">
                  <c:v>Rent</c:v>
                </c:pt>
                <c:pt idx="1">
                  <c:v>Transport</c:v>
                </c:pt>
                <c:pt idx="2">
                  <c:v>Other</c:v>
                </c:pt>
                <c:pt idx="3">
                  <c:v>Food</c:v>
                </c:pt>
              </c:strCache>
            </c:strRef>
          </c:cat>
          <c:val>
            <c:numRef>
              <c:f>Data!$K$4:$K$7</c:f>
              <c:numCache>
                <c:formatCode>_(* #,##0.00_);_(* \(#,##0.00\);_(* "-"??_);_(@_)</c:formatCode>
                <c:ptCount val="4"/>
                <c:pt idx="0">
                  <c:v>2000</c:v>
                </c:pt>
                <c:pt idx="1">
                  <c:v>1570</c:v>
                </c:pt>
                <c:pt idx="2">
                  <c:v>2800</c:v>
                </c:pt>
                <c:pt idx="3">
                  <c:v>4800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CC-4CA3-9318-5A91BD5FAD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16002063"/>
        <c:axId val="815998703"/>
      </c:barChart>
      <c:catAx>
        <c:axId val="815997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993423"/>
        <c:crosses val="autoZero"/>
        <c:auto val="1"/>
        <c:lblAlgn val="ctr"/>
        <c:lblOffset val="100"/>
        <c:noMultiLvlLbl val="0"/>
      </c:catAx>
      <c:valAx>
        <c:axId val="815993423"/>
        <c:scaling>
          <c:orientation val="minMax"/>
          <c:max val="5000"/>
        </c:scaling>
        <c:delete val="1"/>
        <c:axPos val="l"/>
        <c:numFmt formatCode="_(* #,##0.00_);_(* \(#,##0.00\);_(* &quot;-&quot;??_);_(@_)" sourceLinked="1"/>
        <c:majorTickMark val="none"/>
        <c:minorTickMark val="none"/>
        <c:tickLblPos val="nextTo"/>
        <c:crossAx val="815997743"/>
        <c:crosses val="autoZero"/>
        <c:crossBetween val="between"/>
      </c:valAx>
      <c:valAx>
        <c:axId val="815998703"/>
        <c:scaling>
          <c:orientation val="minMax"/>
          <c:max val="5000"/>
        </c:scaling>
        <c:delete val="1"/>
        <c:axPos val="r"/>
        <c:numFmt formatCode="_(* #,##0.00_);_(* \(#,##0.00\);_(* &quot;-&quot;??_);_(@_)" sourceLinked="1"/>
        <c:majorTickMark val="out"/>
        <c:minorTickMark val="none"/>
        <c:tickLblPos val="nextTo"/>
        <c:crossAx val="816002063"/>
        <c:crosses val="max"/>
        <c:crossBetween val="between"/>
      </c:valAx>
      <c:catAx>
        <c:axId val="81600206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1599870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Data!$J$12</c:f>
              <c:strCache>
                <c:ptCount val="1"/>
                <c:pt idx="0">
                  <c:v>Target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AB3-4BBB-BD09-E82C6CCE4299}"/>
                </c:ext>
              </c:extLst>
            </c:dLbl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Data!$I$13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Data!$J$13</c:f>
              <c:numCache>
                <c:formatCode>_(* #,##0.00_);_(* \(#,##0.00\);_(* "-"??_);_(@_)</c:formatCode>
                <c:ptCount val="1"/>
                <c:pt idx="0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B3-4BBB-BD09-E82C6CCE4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axId val="816015023"/>
        <c:axId val="816016463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Data!$K$12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Data!$I$13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Data!$K$13</c:f>
              <c:numCache>
                <c:formatCode>_(* #,##0.00_);_(* \(#,##0.00\);_(* "-"??_);_(@_)</c:formatCode>
                <c:ptCount val="1"/>
                <c:pt idx="0">
                  <c:v>18000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B3-4BBB-BD09-E82C6CCE4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615533727"/>
        <c:axId val="615522687"/>
      </c:barChart>
      <c:catAx>
        <c:axId val="816015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ptos" panose="020B0004020202020204" pitchFamily="34" charset="0"/>
                <a:ea typeface="+mn-ea"/>
                <a:cs typeface="+mn-cs"/>
              </a:defRPr>
            </a:pPr>
            <a:endParaRPr lang="en-US"/>
          </a:p>
        </c:txPr>
        <c:crossAx val="816016463"/>
        <c:crosses val="autoZero"/>
        <c:auto val="1"/>
        <c:lblAlgn val="ctr"/>
        <c:lblOffset val="100"/>
        <c:noMultiLvlLbl val="0"/>
      </c:catAx>
      <c:valAx>
        <c:axId val="816016463"/>
        <c:scaling>
          <c:orientation val="minMax"/>
        </c:scaling>
        <c:delete val="1"/>
        <c:axPos val="l"/>
        <c:numFmt formatCode="_(* #,##0.00_);_(* \(#,##0.00\);_(* &quot;-&quot;??_);_(@_)" sourceLinked="1"/>
        <c:majorTickMark val="none"/>
        <c:minorTickMark val="none"/>
        <c:tickLblPos val="nextTo"/>
        <c:crossAx val="816015023"/>
        <c:crosses val="autoZero"/>
        <c:crossBetween val="between"/>
      </c:valAx>
      <c:valAx>
        <c:axId val="615522687"/>
        <c:scaling>
          <c:orientation val="minMax"/>
        </c:scaling>
        <c:delete val="1"/>
        <c:axPos val="r"/>
        <c:numFmt formatCode="_(* #,##0.00_);_(* \(#,##0.00\);_(* &quot;-&quot;??_);_(@_)" sourceLinked="1"/>
        <c:majorTickMark val="out"/>
        <c:minorTickMark val="none"/>
        <c:tickLblPos val="nextTo"/>
        <c:crossAx val="615533727"/>
        <c:crosses val="max"/>
        <c:crossBetween val="between"/>
      </c:valAx>
      <c:catAx>
        <c:axId val="61553372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1552268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tx>
            <c:strRef>
              <c:f>Data!$X$3</c:f>
              <c:strCache>
                <c:ptCount val="1"/>
                <c:pt idx="0">
                  <c:v>Total YTD 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84A-4CC3-BD87-ADC6F7A00E3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84A-4CC3-BD87-ADC6F7A00E3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384A-4CC3-BD87-ADC6F7A00E3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384A-4CC3-BD87-ADC6F7A00E3E}"/>
              </c:ext>
            </c:extLst>
          </c:dPt>
          <c:dLbls>
            <c:dLbl>
              <c:idx val="1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2729370071950591"/>
                      <c:h val="0.128961785626489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384A-4CC3-BD87-ADC6F7A00E3E}"/>
                </c:ext>
              </c:extLst>
            </c:dLbl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Amasis MT Pro" panose="02040504050005020304" pitchFamily="18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bg1"/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Data!$I$4:$I$7</c:f>
              <c:strCache>
                <c:ptCount val="4"/>
                <c:pt idx="0">
                  <c:v>Rent</c:v>
                </c:pt>
                <c:pt idx="1">
                  <c:v>Transport</c:v>
                </c:pt>
                <c:pt idx="2">
                  <c:v>Other</c:v>
                </c:pt>
                <c:pt idx="3">
                  <c:v>Food</c:v>
                </c:pt>
              </c:strCache>
            </c:strRef>
          </c:cat>
          <c:val>
            <c:numRef>
              <c:f>Data!$X$4:$X$7</c:f>
              <c:numCache>
                <c:formatCode>_(* #,##0.00_);_(* \(#,##0.00\);_(* "-"??_);_(@_)</c:formatCode>
                <c:ptCount val="4"/>
                <c:pt idx="0">
                  <c:v>31000</c:v>
                </c:pt>
                <c:pt idx="1">
                  <c:v>18750</c:v>
                </c:pt>
                <c:pt idx="2">
                  <c:v>35360</c:v>
                </c:pt>
                <c:pt idx="3">
                  <c:v>54526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84A-4CC3-BD87-ADC6F7A00E3E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542673107890499E-2"/>
          <c:y val="6.8217087574723834E-2"/>
          <c:w val="0.92914653784219003"/>
          <c:h val="0.7018703299128754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Data!$X$3</c:f>
              <c:strCache>
                <c:ptCount val="1"/>
                <c:pt idx="0">
                  <c:v>Total YTD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Data!$I$4:$I$8</c:f>
              <c:strCache>
                <c:ptCount val="4"/>
                <c:pt idx="0">
                  <c:v>Rent</c:v>
                </c:pt>
                <c:pt idx="1">
                  <c:v>Transport</c:v>
                </c:pt>
                <c:pt idx="2">
                  <c:v>Other</c:v>
                </c:pt>
                <c:pt idx="3">
                  <c:v>Food</c:v>
                </c:pt>
              </c:strCache>
            </c:strRef>
          </c:cat>
          <c:val>
            <c:numRef>
              <c:f>Data!$X$4:$X$8</c:f>
              <c:numCache>
                <c:formatCode>_(* #,##0.00_);_(* \(#,##0.00\);_(* "-"??_);_(@_)</c:formatCode>
                <c:ptCount val="4"/>
                <c:pt idx="0">
                  <c:v>31000</c:v>
                </c:pt>
                <c:pt idx="1">
                  <c:v>18750</c:v>
                </c:pt>
                <c:pt idx="2">
                  <c:v>35360</c:v>
                </c:pt>
                <c:pt idx="3">
                  <c:v>54526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E9-4E74-AB78-59264F46A3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900784511"/>
        <c:axId val="900766271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Data!$Y$3</c:f>
              <c:strCache>
                <c:ptCount val="1"/>
                <c:pt idx="0">
                  <c:v>Year Budget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spPr>
                <a:solidFill>
                  <a:schemeClr val="tx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algn="ctr">
                    <a:defRPr lang="en-US" sz="10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71E9-4E74-AB78-59264F46A397}"/>
                </c:ext>
              </c:extLst>
            </c:dLbl>
            <c:dLbl>
              <c:idx val="1"/>
              <c:spPr>
                <a:solidFill>
                  <a:schemeClr val="tx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algn="ctr">
                    <a:defRPr lang="en-US" sz="10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71E9-4E74-AB78-59264F46A397}"/>
                </c:ext>
              </c:extLst>
            </c:dLbl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Data!$I$4:$I$8</c:f>
              <c:strCache>
                <c:ptCount val="4"/>
                <c:pt idx="0">
                  <c:v>Rent</c:v>
                </c:pt>
                <c:pt idx="1">
                  <c:v>Transport</c:v>
                </c:pt>
                <c:pt idx="2">
                  <c:v>Other</c:v>
                </c:pt>
                <c:pt idx="3">
                  <c:v>Food</c:v>
                </c:pt>
              </c:strCache>
            </c:strRef>
          </c:cat>
          <c:val>
            <c:numRef>
              <c:f>Data!$Y$4:$Y$8</c:f>
              <c:numCache>
                <c:formatCode>_(* #,##0.00_);_(* \(#,##0.00\);_(* "-"??_);_(@_)</c:formatCode>
                <c:ptCount val="4"/>
                <c:pt idx="0">
                  <c:v>36000</c:v>
                </c:pt>
                <c:pt idx="1">
                  <c:v>24000</c:v>
                </c:pt>
                <c:pt idx="2">
                  <c:v>30000</c:v>
                </c:pt>
                <c:pt idx="3">
                  <c:v>54000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E9-4E74-AB78-59264F46A3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70"/>
        <c:axId val="900785471"/>
        <c:axId val="900770591"/>
      </c:barChart>
      <c:catAx>
        <c:axId val="900784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0766271"/>
        <c:crosses val="autoZero"/>
        <c:auto val="1"/>
        <c:lblAlgn val="ctr"/>
        <c:lblOffset val="100"/>
        <c:noMultiLvlLbl val="0"/>
      </c:catAx>
      <c:valAx>
        <c:axId val="900766271"/>
        <c:scaling>
          <c:orientation val="minMax"/>
          <c:max val="60000"/>
        </c:scaling>
        <c:delete val="1"/>
        <c:axPos val="l"/>
        <c:numFmt formatCode="_(* #,##0.00_);_(* \(#,##0.00\);_(* &quot;-&quot;??_);_(@_)" sourceLinked="1"/>
        <c:majorTickMark val="none"/>
        <c:minorTickMark val="none"/>
        <c:tickLblPos val="nextTo"/>
        <c:crossAx val="900784511"/>
        <c:crosses val="autoZero"/>
        <c:crossBetween val="between"/>
      </c:valAx>
      <c:valAx>
        <c:axId val="900770591"/>
        <c:scaling>
          <c:orientation val="minMax"/>
          <c:max val="60000"/>
        </c:scaling>
        <c:delete val="1"/>
        <c:axPos val="r"/>
        <c:numFmt formatCode="_(* #,##0.00_);_(* \(#,##0.00\);_(* &quot;-&quot;??_);_(@_)" sourceLinked="1"/>
        <c:majorTickMark val="out"/>
        <c:minorTickMark val="none"/>
        <c:tickLblPos val="nextTo"/>
        <c:crossAx val="900785471"/>
        <c:crosses val="max"/>
        <c:crossBetween val="between"/>
      </c:valAx>
      <c:catAx>
        <c:axId val="90078547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0077059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1896022378385745E-3"/>
          <c:y val="3.2407407407407406E-2"/>
          <c:w val="0.93405620576844151"/>
          <c:h val="0.7357713619130942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Data!$L$12</c:f>
              <c:strCache>
                <c:ptCount val="1"/>
                <c:pt idx="0">
                  <c:v>Actual year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8.3333333333332829E-3"/>
                  <c:y val="-9.259259259259258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228-4B1D-83C2-9A66902425AC}"/>
                </c:ext>
              </c:extLst>
            </c:dLbl>
            <c:spPr>
              <a:solidFill>
                <a:schemeClr val="accent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Data!$I$13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Data!$L$13</c:f>
              <c:numCache>
                <c:formatCode>_(* #,##0.00_);_(* \(#,##0.00\);_(* "-"??_);_(@_)</c:formatCode>
                <c:ptCount val="1"/>
                <c:pt idx="0">
                  <c:v>234500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28-4B1D-83C2-9A66902425A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93"/>
        <c:overlap val="-27"/>
        <c:axId val="908690863"/>
        <c:axId val="908703343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Data!$M$12</c:f>
              <c:strCache>
                <c:ptCount val="1"/>
                <c:pt idx="0">
                  <c:v>Target Year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8.3333333333332829E-3"/>
                  <c:y val="-6.4814814814814853E-2"/>
                </c:manualLayout>
              </c:layout>
              <c:spPr>
                <a:solidFill>
                  <a:schemeClr val="accent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228-4B1D-83C2-9A66902425A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Data!$I$13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Data!$M$13</c:f>
              <c:numCache>
                <c:formatCode>_(* #,##0.00_);_(* \(#,##0.00\);_(* "-"??_);_(@_)</c:formatCode>
                <c:ptCount val="1"/>
                <c:pt idx="0">
                  <c:v>240000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28-4B1D-83C2-9A66902425A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00"/>
        <c:axId val="908681743"/>
        <c:axId val="908688463"/>
      </c:barChart>
      <c:catAx>
        <c:axId val="908690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8703343"/>
        <c:crosses val="autoZero"/>
        <c:auto val="1"/>
        <c:lblAlgn val="ctr"/>
        <c:lblOffset val="100"/>
        <c:noMultiLvlLbl val="0"/>
      </c:catAx>
      <c:valAx>
        <c:axId val="908703343"/>
        <c:scaling>
          <c:orientation val="minMax"/>
          <c:max val="300000"/>
          <c:min val="50000"/>
        </c:scaling>
        <c:delete val="1"/>
        <c:axPos val="l"/>
        <c:numFmt formatCode="_(* #,##0.00_);_(* \(#,##0.00\);_(* &quot;-&quot;??_);_(@_)" sourceLinked="1"/>
        <c:majorTickMark val="none"/>
        <c:minorTickMark val="none"/>
        <c:tickLblPos val="nextTo"/>
        <c:crossAx val="908690863"/>
        <c:crosses val="autoZero"/>
        <c:crossBetween val="between"/>
      </c:valAx>
      <c:valAx>
        <c:axId val="908688463"/>
        <c:scaling>
          <c:orientation val="minMax"/>
          <c:max val="300000"/>
          <c:min val="50000"/>
        </c:scaling>
        <c:delete val="1"/>
        <c:axPos val="r"/>
        <c:numFmt formatCode="_(* #,##0.00_);_(* \(#,##0.00\);_(* &quot;-&quot;??_);_(@_)" sourceLinked="1"/>
        <c:majorTickMark val="out"/>
        <c:minorTickMark val="none"/>
        <c:tickLblPos val="nextTo"/>
        <c:crossAx val="908681743"/>
        <c:crosses val="max"/>
        <c:crossBetween val="between"/>
      </c:valAx>
      <c:catAx>
        <c:axId val="90868174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0868846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Data!$I$4</c:f>
              <c:strCache>
                <c:ptCount val="1"/>
                <c:pt idx="0">
                  <c:v>Rent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Data!$L$3:$W$3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Data!$L$4:$W$4</c:f>
              <c:numCache>
                <c:formatCode>_(* #,##0.00_);_(* \(#,##0.00\);_(* "-"??_);_(@_)</c:formatCode>
                <c:ptCount val="12"/>
                <c:pt idx="0">
                  <c:v>2500</c:v>
                </c:pt>
                <c:pt idx="1">
                  <c:v>2500</c:v>
                </c:pt>
                <c:pt idx="2">
                  <c:v>3500</c:v>
                </c:pt>
                <c:pt idx="3">
                  <c:v>2500</c:v>
                </c:pt>
                <c:pt idx="4">
                  <c:v>3000</c:v>
                </c:pt>
                <c:pt idx="5">
                  <c:v>3000</c:v>
                </c:pt>
                <c:pt idx="6">
                  <c:v>3000</c:v>
                </c:pt>
                <c:pt idx="7">
                  <c:v>2000</c:v>
                </c:pt>
                <c:pt idx="8">
                  <c:v>2000</c:v>
                </c:pt>
                <c:pt idx="9">
                  <c:v>2000</c:v>
                </c:pt>
                <c:pt idx="10">
                  <c:v>2500</c:v>
                </c:pt>
                <c:pt idx="11">
                  <c:v>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AA-4CA5-A93A-324084890E0E}"/>
            </c:ext>
          </c:extLst>
        </c:ser>
        <c:ser>
          <c:idx val="1"/>
          <c:order val="1"/>
          <c:tx>
            <c:strRef>
              <c:f>Data!$I$5</c:f>
              <c:strCache>
                <c:ptCount val="1"/>
                <c:pt idx="0">
                  <c:v>Transport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Data!$L$3:$W$3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Data!$L$5:$W$5</c:f>
              <c:numCache>
                <c:formatCode>_(* #,##0.00_);_(* \(#,##0.00\);_(* "-"??_);_(@_)</c:formatCode>
                <c:ptCount val="12"/>
                <c:pt idx="0">
                  <c:v>1650</c:v>
                </c:pt>
                <c:pt idx="1">
                  <c:v>1520</c:v>
                </c:pt>
                <c:pt idx="2">
                  <c:v>1400</c:v>
                </c:pt>
                <c:pt idx="3">
                  <c:v>1560</c:v>
                </c:pt>
                <c:pt idx="4">
                  <c:v>1450</c:v>
                </c:pt>
                <c:pt idx="5">
                  <c:v>2450</c:v>
                </c:pt>
                <c:pt idx="6">
                  <c:v>1450</c:v>
                </c:pt>
                <c:pt idx="7">
                  <c:v>1450</c:v>
                </c:pt>
                <c:pt idx="8">
                  <c:v>1570</c:v>
                </c:pt>
                <c:pt idx="9">
                  <c:v>1400</c:v>
                </c:pt>
                <c:pt idx="10">
                  <c:v>1400</c:v>
                </c:pt>
                <c:pt idx="11">
                  <c:v>1450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AA-4CA5-A93A-324084890E0E}"/>
            </c:ext>
          </c:extLst>
        </c:ser>
        <c:ser>
          <c:idx val="2"/>
          <c:order val="2"/>
          <c:tx>
            <c:strRef>
              <c:f>Data!$I$6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Data!$L$3:$W$3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Data!$L$6:$W$6</c:f>
              <c:numCache>
                <c:formatCode>_(* #,##0.00_);_(* \(#,##0.00\);_(* "-"??_);_(@_)</c:formatCode>
                <c:ptCount val="12"/>
                <c:pt idx="0">
                  <c:v>4100</c:v>
                </c:pt>
                <c:pt idx="1">
                  <c:v>2860</c:v>
                </c:pt>
                <c:pt idx="2">
                  <c:v>1200</c:v>
                </c:pt>
                <c:pt idx="3">
                  <c:v>800</c:v>
                </c:pt>
                <c:pt idx="4">
                  <c:v>6000</c:v>
                </c:pt>
                <c:pt idx="5">
                  <c:v>4000</c:v>
                </c:pt>
                <c:pt idx="6">
                  <c:v>4100</c:v>
                </c:pt>
                <c:pt idx="7">
                  <c:v>1300</c:v>
                </c:pt>
                <c:pt idx="8">
                  <c:v>2800</c:v>
                </c:pt>
                <c:pt idx="9">
                  <c:v>1900</c:v>
                </c:pt>
                <c:pt idx="10">
                  <c:v>1800</c:v>
                </c:pt>
                <c:pt idx="11">
                  <c:v>4500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AA-4CA5-A93A-324084890E0E}"/>
            </c:ext>
          </c:extLst>
        </c:ser>
        <c:ser>
          <c:idx val="3"/>
          <c:order val="3"/>
          <c:tx>
            <c:strRef>
              <c:f>Data!$I$7</c:f>
              <c:strCache>
                <c:ptCount val="1"/>
                <c:pt idx="0">
                  <c:v>Food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Data!$L$3:$W$3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Data!$L$7:$W$7</c:f>
              <c:numCache>
                <c:formatCode>_(* #,##0.00_);_(* \(#,##0.00\);_(* "-"??_);_(@_)</c:formatCode>
                <c:ptCount val="12"/>
                <c:pt idx="0">
                  <c:v>4370</c:v>
                </c:pt>
                <c:pt idx="1">
                  <c:v>4596</c:v>
                </c:pt>
                <c:pt idx="2">
                  <c:v>4460</c:v>
                </c:pt>
                <c:pt idx="3">
                  <c:v>4800</c:v>
                </c:pt>
                <c:pt idx="4">
                  <c:v>4000</c:v>
                </c:pt>
                <c:pt idx="5">
                  <c:v>4300</c:v>
                </c:pt>
                <c:pt idx="6">
                  <c:v>4800</c:v>
                </c:pt>
                <c:pt idx="7">
                  <c:v>4500</c:v>
                </c:pt>
                <c:pt idx="8">
                  <c:v>4800</c:v>
                </c:pt>
                <c:pt idx="9">
                  <c:v>4200</c:v>
                </c:pt>
                <c:pt idx="10">
                  <c:v>4700</c:v>
                </c:pt>
                <c:pt idx="11">
                  <c:v>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CAA-4CA5-A93A-324084890E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64679807"/>
        <c:axId val="964706207"/>
      </c:barChart>
      <c:scatterChart>
        <c:scatterStyle val="lineMarker"/>
        <c:varyColors val="0"/>
        <c:ser>
          <c:idx val="4"/>
          <c:order val="4"/>
          <c:tx>
            <c:v>Budget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errBars>
            <c:errDir val="x"/>
            <c:errBarType val="plus"/>
            <c:errValType val="fixedVal"/>
            <c:noEndCap val="1"/>
            <c:val val="11"/>
            <c:spPr>
              <a:noFill/>
              <a:ln w="22225" cap="flat" cmpd="sng" algn="ctr">
                <a:solidFill>
                  <a:srgbClr val="FF0000"/>
                </a:solidFill>
                <a:prstDash val="dash"/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yVal>
            <c:numRef>
              <c:f>Data!$J$8</c:f>
              <c:numCache>
                <c:formatCode>_(* #,##0.00_);_(* \(#,##0.00\);_(* "-"??_);_(@_)</c:formatCode>
                <c:ptCount val="1"/>
                <c:pt idx="0">
                  <c:v>12000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CAA-4CA5-A93A-324084890E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4679807"/>
        <c:axId val="964706207"/>
      </c:scatterChart>
      <c:catAx>
        <c:axId val="964679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4706207"/>
        <c:crosses val="autoZero"/>
        <c:auto val="1"/>
        <c:lblAlgn val="ctr"/>
        <c:lblOffset val="100"/>
        <c:noMultiLvlLbl val="0"/>
      </c:catAx>
      <c:valAx>
        <c:axId val="964706207"/>
        <c:scaling>
          <c:orientation val="minMax"/>
        </c:scaling>
        <c:delete val="0"/>
        <c:axPos val="l"/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4679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chart" Target="../charts/chart3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2.xml"/><Relationship Id="rId5" Type="http://schemas.openxmlformats.org/officeDocument/2006/relationships/chart" Target="../charts/chart1.xml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3" Type="http://schemas.openxmlformats.org/officeDocument/2006/relationships/image" Target="../media/image4.png"/><Relationship Id="rId7" Type="http://schemas.openxmlformats.org/officeDocument/2006/relationships/chart" Target="../charts/chart6.xml"/><Relationship Id="rId2" Type="http://schemas.openxmlformats.org/officeDocument/2006/relationships/image" Target="../media/image3.png"/><Relationship Id="rId1" Type="http://schemas.openxmlformats.org/officeDocument/2006/relationships/image" Target="../media/image1.png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133350</xdr:colOff>
      <xdr:row>3</xdr:row>
      <xdr:rowOff>171451</xdr:rowOff>
    </xdr:from>
    <xdr:to>
      <xdr:col>4</xdr:col>
      <xdr:colOff>457200</xdr:colOff>
      <xdr:row>5</xdr:row>
      <xdr:rowOff>28575</xdr:rowOff>
    </xdr:to>
    <xdr:pic>
      <xdr:nvPicPr>
        <xdr:cNvPr id="2" name="Picture 1" descr="home, home page, homepage, homepages ">
          <a:extLst>
            <a:ext uri="{FF2B5EF4-FFF2-40B4-BE49-F238E27FC236}">
              <a16:creationId xmlns:a16="http://schemas.microsoft.com/office/drawing/2014/main" id="{81C71DAC-DEF3-4932-AB99-4104EBCB0D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43275" y="171451"/>
          <a:ext cx="323850" cy="3905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76200</xdr:colOff>
      <xdr:row>3</xdr:row>
      <xdr:rowOff>123824</xdr:rowOff>
    </xdr:from>
    <xdr:to>
      <xdr:col>10</xdr:col>
      <xdr:colOff>485775</xdr:colOff>
      <xdr:row>5</xdr:row>
      <xdr:rowOff>85725</xdr:rowOff>
    </xdr:to>
    <xdr:pic>
      <xdr:nvPicPr>
        <xdr:cNvPr id="4" name="Picture 3" descr="Other Icon #312051 - Free Icons Library">
          <a:extLst>
            <a:ext uri="{FF2B5EF4-FFF2-40B4-BE49-F238E27FC236}">
              <a16:creationId xmlns:a16="http://schemas.microsoft.com/office/drawing/2014/main" id="{FC13E1E1-5A36-4EA4-8E95-25DB26B53B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91425" y="123824"/>
          <a:ext cx="409575" cy="4953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85726</xdr:colOff>
      <xdr:row>4</xdr:row>
      <xdr:rowOff>1</xdr:rowOff>
    </xdr:from>
    <xdr:to>
      <xdr:col>7</xdr:col>
      <xdr:colOff>409575</xdr:colOff>
      <xdr:row>5</xdr:row>
      <xdr:rowOff>19050</xdr:rowOff>
    </xdr:to>
    <xdr:pic>
      <xdr:nvPicPr>
        <xdr:cNvPr id="8" name="Picture 7" descr="Public transport - Free transport icons">
          <a:extLst>
            <a:ext uri="{FF2B5EF4-FFF2-40B4-BE49-F238E27FC236}">
              <a16:creationId xmlns:a16="http://schemas.microsoft.com/office/drawing/2014/main" id="{BD951875-7EB3-472B-8FD8-E5D1028CEC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91101" y="200026"/>
          <a:ext cx="323849" cy="352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</xdr:colOff>
      <xdr:row>4</xdr:row>
      <xdr:rowOff>11193</xdr:rowOff>
    </xdr:from>
    <xdr:to>
      <xdr:col>13</xdr:col>
      <xdr:colOff>603347</xdr:colOff>
      <xdr:row>5</xdr:row>
      <xdr:rowOff>0</xdr:rowOff>
    </xdr:to>
    <xdr:pic>
      <xdr:nvPicPr>
        <xdr:cNvPr id="9" name="Picture 8" descr="Dish free icons designed by Pause08 | Restaurant icon, Food icons, Free  icons">
          <a:extLst>
            <a:ext uri="{FF2B5EF4-FFF2-40B4-BE49-F238E27FC236}">
              <a16:creationId xmlns:a16="http://schemas.microsoft.com/office/drawing/2014/main" id="{F7E4635B-4E9D-4614-BB52-2B9989B2C5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01101" y="211218"/>
          <a:ext cx="603346" cy="3221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6</xdr:row>
      <xdr:rowOff>1</xdr:rowOff>
    </xdr:from>
    <xdr:to>
      <xdr:col>4</xdr:col>
      <xdr:colOff>495300</xdr:colOff>
      <xdr:row>23</xdr:row>
      <xdr:rowOff>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CD67DFD-3F10-4FEA-A9DD-8CDB021011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twoCellAnchor>
  <xdr:twoCellAnchor>
    <xdr:from>
      <xdr:col>4</xdr:col>
      <xdr:colOff>561975</xdr:colOff>
      <xdr:row>6</xdr:row>
      <xdr:rowOff>9526</xdr:rowOff>
    </xdr:from>
    <xdr:to>
      <xdr:col>10</xdr:col>
      <xdr:colOff>352425</xdr:colOff>
      <xdr:row>18</xdr:row>
      <xdr:rowOff>47626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0032721-4263-4D03-9726-89F174BE8E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485775</xdr:colOff>
      <xdr:row>6</xdr:row>
      <xdr:rowOff>9525</xdr:rowOff>
    </xdr:from>
    <xdr:to>
      <xdr:col>17</xdr:col>
      <xdr:colOff>19050</xdr:colOff>
      <xdr:row>18</xdr:row>
      <xdr:rowOff>38100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FC33700A-8A52-465D-92AF-6D99A56698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133350</xdr:colOff>
      <xdr:row>3</xdr:row>
      <xdr:rowOff>171450</xdr:rowOff>
    </xdr:from>
    <xdr:to>
      <xdr:col>4</xdr:col>
      <xdr:colOff>457200</xdr:colOff>
      <xdr:row>5</xdr:row>
      <xdr:rowOff>38100</xdr:rowOff>
    </xdr:to>
    <xdr:pic>
      <xdr:nvPicPr>
        <xdr:cNvPr id="2" name="Picture 1" descr="home, home page, homepage, homepages ">
          <a:extLst>
            <a:ext uri="{FF2B5EF4-FFF2-40B4-BE49-F238E27FC236}">
              <a16:creationId xmlns:a16="http://schemas.microsoft.com/office/drawing/2014/main" id="{AC2031BF-71D3-4A6C-AD1C-6C5F683C84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09900" y="171450"/>
          <a:ext cx="32385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85726</xdr:colOff>
      <xdr:row>4</xdr:row>
      <xdr:rowOff>0</xdr:rowOff>
    </xdr:from>
    <xdr:to>
      <xdr:col>7</xdr:col>
      <xdr:colOff>409575</xdr:colOff>
      <xdr:row>5</xdr:row>
      <xdr:rowOff>19050</xdr:rowOff>
    </xdr:to>
    <xdr:pic>
      <xdr:nvPicPr>
        <xdr:cNvPr id="3" name="Picture 2" descr="Public transport - Free transport icons">
          <a:extLst>
            <a:ext uri="{FF2B5EF4-FFF2-40B4-BE49-F238E27FC236}">
              <a16:creationId xmlns:a16="http://schemas.microsoft.com/office/drawing/2014/main" id="{71B543B0-1B14-4D79-BF13-2EC40CA252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1" y="200025"/>
          <a:ext cx="323849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85726</xdr:colOff>
      <xdr:row>4</xdr:row>
      <xdr:rowOff>39767</xdr:rowOff>
    </xdr:from>
    <xdr:to>
      <xdr:col>14</xdr:col>
      <xdr:colOff>41372</xdr:colOff>
      <xdr:row>5</xdr:row>
      <xdr:rowOff>28575</xdr:rowOff>
    </xdr:to>
    <xdr:pic>
      <xdr:nvPicPr>
        <xdr:cNvPr id="5" name="Picture 4" descr="Dish free icons designed by Pause08 | Restaurant icon, Food icons, Free  icons">
          <a:extLst>
            <a:ext uri="{FF2B5EF4-FFF2-40B4-BE49-F238E27FC236}">
              <a16:creationId xmlns:a16="http://schemas.microsoft.com/office/drawing/2014/main" id="{7F46CC34-E45B-4A13-9EDA-25AAD7B8DC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01201" y="239792"/>
          <a:ext cx="603346" cy="3221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123825</xdr:colOff>
      <xdr:row>3</xdr:row>
      <xdr:rowOff>123825</xdr:rowOff>
    </xdr:from>
    <xdr:to>
      <xdr:col>10</xdr:col>
      <xdr:colOff>533400</xdr:colOff>
      <xdr:row>5</xdr:row>
      <xdr:rowOff>85726</xdr:rowOff>
    </xdr:to>
    <xdr:pic>
      <xdr:nvPicPr>
        <xdr:cNvPr id="10" name="Picture 9" descr="Other Icon #312051 - Free Icons Library">
          <a:extLst>
            <a:ext uri="{FF2B5EF4-FFF2-40B4-BE49-F238E27FC236}">
              <a16:creationId xmlns:a16="http://schemas.microsoft.com/office/drawing/2014/main" id="{EBFCF660-7AA4-4D5C-964E-EF17A25DC7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00950" y="123825"/>
          <a:ext cx="409575" cy="4953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6</xdr:row>
      <xdr:rowOff>0</xdr:rowOff>
    </xdr:from>
    <xdr:to>
      <xdr:col>4</xdr:col>
      <xdr:colOff>419099</xdr:colOff>
      <xdr:row>22</xdr:row>
      <xdr:rowOff>171449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210E6DF9-39AE-4267-AA51-1523D4F622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twoCellAnchor>
  <xdr:twoCellAnchor>
    <xdr:from>
      <xdr:col>4</xdr:col>
      <xdr:colOff>438150</xdr:colOff>
      <xdr:row>6</xdr:row>
      <xdr:rowOff>9526</xdr:rowOff>
    </xdr:from>
    <xdr:to>
      <xdr:col>9</xdr:col>
      <xdr:colOff>514350</xdr:colOff>
      <xdr:row>15</xdr:row>
      <xdr:rowOff>76200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E13521B-D2A7-482B-995E-D146B1F914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514352</xdr:colOff>
      <xdr:row>6</xdr:row>
      <xdr:rowOff>19051</xdr:rowOff>
    </xdr:from>
    <xdr:to>
      <xdr:col>14</xdr:col>
      <xdr:colOff>238126</xdr:colOff>
      <xdr:row>15</xdr:row>
      <xdr:rowOff>76201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395CF7B0-4DEB-48D8-BB33-D414202175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431346</xdr:colOff>
      <xdr:row>15</xdr:row>
      <xdr:rowOff>96611</xdr:rowOff>
    </xdr:from>
    <xdr:to>
      <xdr:col>16</xdr:col>
      <xdr:colOff>503464</xdr:colOff>
      <xdr:row>22</xdr:row>
      <xdr:rowOff>176893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AD9A7DC8-9585-41C3-A30A-450107D544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NIK\AppData\Local\Temp\Rar$DIa4364.43276\Personal%20Budget%20Template.xlsx" TargetMode="External"/><Relationship Id="rId1" Type="http://schemas.openxmlformats.org/officeDocument/2006/relationships/externalLinkPath" Target="file:///C:\Users\NIK\AppData\Local\Temp\Rar$DIa4364.43276\Personal%20Budget%20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shboard (Month)"/>
      <sheetName val="Outgoings &amp; Income"/>
      <sheetName val="Dashboard (Year)"/>
    </sheetNames>
    <sheetDataSet>
      <sheetData sheetId="0"/>
      <sheetData sheetId="1">
        <row r="3">
          <cell r="M3" t="str">
            <v>Actual</v>
          </cell>
        </row>
        <row r="4">
          <cell r="K4" t="str">
            <v>Car</v>
          </cell>
          <cell r="M4">
            <v>313</v>
          </cell>
        </row>
        <row r="5">
          <cell r="K5" t="str">
            <v>Groceries</v>
          </cell>
          <cell r="M5">
            <v>603</v>
          </cell>
        </row>
        <row r="6">
          <cell r="K6" t="str">
            <v>Household bills</v>
          </cell>
          <cell r="M6">
            <v>114.5</v>
          </cell>
        </row>
        <row r="7">
          <cell r="K7" t="str">
            <v>Maintenance</v>
          </cell>
          <cell r="M7">
            <v>221</v>
          </cell>
        </row>
        <row r="8">
          <cell r="K8" t="str">
            <v>Leisure</v>
          </cell>
          <cell r="M8">
            <v>22</v>
          </cell>
        </row>
        <row r="9">
          <cell r="K9" t="str">
            <v>Mortgage</v>
          </cell>
          <cell r="M9">
            <v>650</v>
          </cell>
        </row>
        <row r="10">
          <cell r="K10" t="str">
            <v>Holiday</v>
          </cell>
          <cell r="M10">
            <v>250</v>
          </cell>
        </row>
        <row r="11">
          <cell r="K11" t="str">
            <v>Total</v>
          </cell>
          <cell r="M11">
            <v>2173.5</v>
          </cell>
        </row>
        <row r="17">
          <cell r="L17" t="str">
            <v>Target</v>
          </cell>
          <cell r="M17" t="str">
            <v>Actual</v>
          </cell>
          <cell r="N17" t="str">
            <v>Target Year</v>
          </cell>
          <cell r="O17" t="str">
            <v>Actual Year</v>
          </cell>
        </row>
        <row r="18">
          <cell r="K18" t="str">
            <v>Income 1</v>
          </cell>
          <cell r="L18">
            <v>4000</v>
          </cell>
          <cell r="M18">
            <v>1695</v>
          </cell>
          <cell r="N18">
            <v>16000</v>
          </cell>
          <cell r="O18">
            <v>20139</v>
          </cell>
        </row>
        <row r="19">
          <cell r="K19" t="str">
            <v>Income 2</v>
          </cell>
          <cell r="L19">
            <v>750</v>
          </cell>
          <cell r="M19">
            <v>1249</v>
          </cell>
          <cell r="N19">
            <v>3000</v>
          </cell>
          <cell r="O19">
            <v>14935</v>
          </cell>
        </row>
        <row r="20">
          <cell r="K20" t="str">
            <v>Income 3</v>
          </cell>
          <cell r="L20">
            <v>2000</v>
          </cell>
          <cell r="M20">
            <v>3549</v>
          </cell>
          <cell r="N20">
            <v>8000</v>
          </cell>
          <cell r="O20">
            <v>45122</v>
          </cell>
        </row>
        <row r="21">
          <cell r="K21" t="str">
            <v>Total</v>
          </cell>
          <cell r="L21">
            <v>6750</v>
          </cell>
          <cell r="M21">
            <v>6493</v>
          </cell>
          <cell r="N21">
            <v>27000</v>
          </cell>
          <cell r="O21">
            <v>80196</v>
          </cell>
        </row>
      </sheetData>
      <sheetData sheetId="2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74BAFDA-C691-4965-9B55-C4032D7D19BF}" name="TransData" displayName="TransData" ref="A3:G63" totalsRowShown="0" headerRowDxfId="55" dataDxfId="54" headerRowBorderDxfId="64" tableBorderDxfId="65" totalsRowBorderDxfId="63">
  <tableColumns count="7">
    <tableColumn id="1" xr3:uid="{CCA2FC3F-0532-45F3-9ADE-452E4F640FA7}" name="Date " dataDxfId="62"/>
    <tableColumn id="2" xr3:uid="{CF646778-A5F1-43E4-BD24-5985472B981A}" name="Type" dataDxfId="61"/>
    <tableColumn id="3" xr3:uid="{5459F0CD-9077-4BE6-97BF-E514E38FDA3D}" name="Category" dataDxfId="60"/>
    <tableColumn id="4" xr3:uid="{B9A28638-2470-467F-8EE8-6EDCA4DEC08F}" name="Income" dataDxfId="59" dataCellStyle="Comma"/>
    <tableColumn id="5" xr3:uid="{D3AF870C-D6FA-48DF-8EE7-756350D5E670}" name="Expence" dataDxfId="58" dataCellStyle="Comma"/>
    <tableColumn id="6" xr3:uid="{27BC8D41-3D29-452C-AA15-90DF611B62BD}" name="Month " dataDxfId="57"/>
    <tableColumn id="7" xr3:uid="{E75AF052-800E-41BB-8E5B-1077FD5C0743}" name="Year" dataDxfId="56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10A9B01-1E1C-4D68-A42F-45221E194B27}" name="monthdata" displayName="monthdata" ref="I3:Y8" totalsRowCount="1" headerRowDxfId="49" dataDxfId="50" headerRowBorderDxfId="52" tableBorderDxfId="53" totalsRowBorderDxfId="51" dataCellStyle="Comma">
  <tableColumns count="17">
    <tableColumn id="1" xr3:uid="{C31E0369-9E95-457B-8B77-83E884231BA3}" name="Category" totalsRowLabel="Total" dataDxfId="48" totalsRowDxfId="24"/>
    <tableColumn id="2" xr3:uid="{AFB19555-A0D7-4654-A9E7-13B2995EFB97}" name="Budget" totalsRowFunction="sum" dataDxfId="47" totalsRowDxfId="23" dataCellStyle="Comma"/>
    <tableColumn id="3" xr3:uid="{1D67A725-7A81-41C3-AC01-46731E56B22B}" name="Actual" totalsRowFunction="sum" dataDxfId="46" totalsRowDxfId="22" dataCellStyle="Comma">
      <calculatedColumnFormula>SUMIFS(TransData[Expence],TransData[Category],monthdata[[#This Row],[Category]],TransData[[Month ]],'Dashboard Month'!$A$5,TransData[Year],'Dashboard Month'!$B$5)</calculatedColumnFormula>
    </tableColumn>
    <tableColumn id="4" xr3:uid="{050F2B27-3267-421C-9898-6AD255FD217A}" name="January" totalsRowFunction="sum" dataDxfId="45" totalsRowDxfId="21" dataCellStyle="Comma">
      <calculatedColumnFormula>SUMIFS(TransData[[Expence]:[Expence]],TransData[[Category]:[Category]],monthdata[[#This Row],[Category]:[Category]],TransData[[Month ]:[Month ]],monthdata[[#Headers],[January]],TransData[[Year]:[Year]],'Dashboard Year'!$B$5)</calculatedColumnFormula>
    </tableColumn>
    <tableColumn id="5" xr3:uid="{554C8CE6-3CB0-4729-A3A7-8712CA519D9A}" name="February" totalsRowFunction="sum" dataDxfId="44" totalsRowDxfId="20" dataCellStyle="Comma"/>
    <tableColumn id="6" xr3:uid="{BDAE15F3-AA38-4A84-8CA7-C9DB97CEB4B3}" name="March" totalsRowFunction="sum" dataDxfId="43" totalsRowDxfId="17" dataCellStyle="Comma"/>
    <tableColumn id="7" xr3:uid="{6A4EB2D3-DCB0-46FB-8F52-A95A770F9835}" name="April" totalsRowFunction="sum" dataDxfId="42" totalsRowDxfId="16" dataCellStyle="Comma"/>
    <tableColumn id="8" xr3:uid="{FA6C18DF-5CA9-4E5C-9CA7-26D202EFDED1}" name="May" totalsRowFunction="sum" dataDxfId="41" totalsRowDxfId="15" dataCellStyle="Comma"/>
    <tableColumn id="9" xr3:uid="{3C401A49-AAD0-4C78-BAE2-21D8B429A08D}" name="June" totalsRowFunction="sum" dataDxfId="40" totalsRowDxfId="14" dataCellStyle="Comma"/>
    <tableColumn id="10" xr3:uid="{D70F98A9-1CE1-46A9-B62C-7323A397F5CD}" name="July" totalsRowFunction="sum" dataDxfId="39" totalsRowDxfId="13" dataCellStyle="Comma"/>
    <tableColumn id="11" xr3:uid="{5E08FA82-47EF-4877-BC32-44FFDAD8DC4C}" name="August" totalsRowFunction="sum" dataDxfId="38" totalsRowDxfId="12" dataCellStyle="Comma"/>
    <tableColumn id="12" xr3:uid="{2D7EFA06-D61D-4F46-A20D-5401FA070F99}" name="September" totalsRowFunction="sum" dataDxfId="37" totalsRowDxfId="11" dataCellStyle="Comma"/>
    <tableColumn id="13" xr3:uid="{43A1170E-9101-4571-883B-6E5C86273A6E}" name="October" totalsRowFunction="sum" dataDxfId="36" totalsRowDxfId="10" dataCellStyle="Comma"/>
    <tableColumn id="14" xr3:uid="{4C6E4FE9-61BA-41E9-8BAC-BD7DA958F6A0}" name="November" totalsRowFunction="sum" dataDxfId="35" totalsRowDxfId="9" dataCellStyle="Comma"/>
    <tableColumn id="15" xr3:uid="{D7D120E6-9A97-47FC-A129-975164CBF5EE}" name="December" totalsRowFunction="sum" dataDxfId="34" totalsRowDxfId="8" dataCellStyle="Comma"/>
    <tableColumn id="16" xr3:uid="{EE595136-50B3-49F2-A646-18597F3D2706}" name="Total YTD " totalsRowFunction="sum" dataDxfId="33" totalsRowDxfId="19" dataCellStyle="Comma">
      <calculatedColumnFormula>SUM(monthdata[[#This Row],[January]:[December]])</calculatedColumnFormula>
    </tableColumn>
    <tableColumn id="17" xr3:uid="{D79A21BD-BFBF-49AA-9A55-5D1F6093BB3F}" name="Year Budget" totalsRowFunction="sum" dataDxfId="32" totalsRowDxfId="18" dataCellStyle="Comma">
      <calculatedColumnFormula>IF('Dashboard Year'!$B$5=YEAR(TODAY()),MONTH(TODAY())*monthdata[[#This Row],[Budget]],12*monthdata[[#This Row],[Budget]])</calculatedColumnFormula>
    </tableColumn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0A68FB5-9562-436E-9951-B6D4BDD11CD8}" name="salarydata" displayName="salarydata" ref="I12:M14" totalsRowShown="0" headerRowDxfId="31" headerRowBorderDxfId="29" tableBorderDxfId="30" totalsRowBorderDxfId="28">
  <tableColumns count="5">
    <tableColumn id="1" xr3:uid="{AD18CCD9-54BC-4446-BA61-2AF8520B9412}" name="Income"/>
    <tableColumn id="2" xr3:uid="{16020DD1-4F2A-4908-BE02-2D8888FD23E8}" name="Target"/>
    <tableColumn id="3" xr3:uid="{AE71EF58-EC45-4C81-95DD-502E9642958A}" name="Actual" dataDxfId="27">
      <calculatedColumnFormula>SUMIFS(TransData[Income],TransData[Category],salarydata[[#This Row],[Income]],TransData[[Month ]],'Dashboard Month'!$A$5,TransData[Year],'Dashboard Month'!$B$5)</calculatedColumnFormula>
    </tableColumn>
    <tableColumn id="5" xr3:uid="{225C2B82-8A5A-44CF-9B87-A098AFD11D5C}" name="Actual year" dataDxfId="26">
      <calculatedColumnFormula>SUMIFS(TransData[Income],TransData[Category],salarydata[[#This Row],[Income]],TransData[Year],'Dashboard Year'!$B$5)</calculatedColumnFormula>
    </tableColumn>
    <tableColumn id="6" xr3:uid="{48112928-8213-4F06-8BB6-F4A00F7EF086}" name="Target Year" dataDxfId="25">
      <calculatedColumnFormula>IF('Dashboard Year'!$B$5=YEAR(TODAY()),MONTH(TODAY())*salarydata[[#This Row],[Target]],12*salarydata[[#This Row],[Target]])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C5AE6-0EE8-4E39-B455-DF217976154E}">
  <dimension ref="A1:R23"/>
  <sheetViews>
    <sheetView showGridLines="0" workbookViewId="0">
      <selection sqref="A1:Q4"/>
    </sheetView>
  </sheetViews>
  <sheetFormatPr defaultRowHeight="15" x14ac:dyDescent="0.25"/>
  <cols>
    <col min="1" max="1" width="20.28515625" bestFit="1" customWidth="1"/>
    <col min="2" max="2" width="9.5703125" bestFit="1" customWidth="1"/>
    <col min="3" max="3" width="8.85546875" customWidth="1"/>
    <col min="4" max="4" width="9.140625" customWidth="1"/>
    <col min="6" max="6" width="14" bestFit="1" customWidth="1"/>
    <col min="9" max="9" width="14" bestFit="1" customWidth="1"/>
    <col min="10" max="10" width="9.140625" customWidth="1"/>
    <col min="12" max="12" width="14" bestFit="1" customWidth="1"/>
    <col min="15" max="15" width="14" bestFit="1" customWidth="1"/>
    <col min="17" max="17" width="11.28515625" customWidth="1"/>
  </cols>
  <sheetData>
    <row r="1" spans="1:18" x14ac:dyDescent="0.25">
      <c r="A1" s="56" t="s">
        <v>37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</row>
    <row r="2" spans="1:18" ht="15" customHeight="1" x14ac:dyDescent="0.25">
      <c r="A2" s="56"/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</row>
    <row r="3" spans="1:18" ht="15" customHeight="1" x14ac:dyDescent="0.25">
      <c r="A3" s="56"/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</row>
    <row r="4" spans="1:18" ht="15.75" customHeight="1" x14ac:dyDescent="0.25">
      <c r="A4" s="56"/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</row>
    <row r="5" spans="1:18" s="46" customFormat="1" ht="26.25" x14ac:dyDescent="0.4">
      <c r="A5" s="41" t="s">
        <v>21</v>
      </c>
      <c r="B5" s="41">
        <v>2022</v>
      </c>
      <c r="C5" s="42"/>
      <c r="D5" s="43"/>
      <c r="E5" s="43"/>
      <c r="F5" s="44">
        <f>Data!K4</f>
        <v>2000</v>
      </c>
      <c r="G5" s="45">
        <f>Data!J4-Data!K4</f>
        <v>1000</v>
      </c>
      <c r="H5" s="43"/>
      <c r="I5" s="44">
        <f>monthdata[[#This Row],[Actual]]</f>
        <v>1570</v>
      </c>
      <c r="J5" s="45">
        <f>monthdata[[#This Row],[Budget]]-monthdata[[#This Row],[Actual]]</f>
        <v>430</v>
      </c>
      <c r="K5" s="43"/>
      <c r="L5" s="44">
        <f>Data!K6</f>
        <v>2800</v>
      </c>
      <c r="M5" s="45">
        <f>Data!J6-Data!K6</f>
        <v>-300</v>
      </c>
      <c r="N5" s="43"/>
      <c r="O5" s="44">
        <f>Data!K7</f>
        <v>4800</v>
      </c>
      <c r="P5" s="45">
        <f>Data!J7-Data!K7</f>
        <v>-300</v>
      </c>
      <c r="Q5" s="42"/>
      <c r="R5"/>
    </row>
    <row r="6" spans="1:18" ht="18.75" x14ac:dyDescent="0.3">
      <c r="A6" s="30"/>
      <c r="B6" s="30"/>
      <c r="C6" s="30"/>
      <c r="D6" s="31"/>
      <c r="E6" s="31"/>
      <c r="F6" s="32" t="str">
        <f>Data!I4</f>
        <v>Rent</v>
      </c>
      <c r="G6" s="31"/>
      <c r="H6" s="31"/>
      <c r="I6" s="32" t="str">
        <f>Data!I5</f>
        <v>Transport</v>
      </c>
      <c r="J6" s="31"/>
      <c r="K6" s="31"/>
      <c r="L6" s="32" t="str">
        <f>monthdata[[#This Row],[Category]]</f>
        <v>Other</v>
      </c>
      <c r="M6" s="31"/>
      <c r="N6" s="31"/>
      <c r="O6" s="32" t="str">
        <f>Data!I7</f>
        <v>Food</v>
      </c>
      <c r="P6" s="31"/>
      <c r="Q6" s="30"/>
    </row>
    <row r="21" spans="6:16" ht="26.25" x14ac:dyDescent="0.4">
      <c r="F21" s="47" t="s">
        <v>33</v>
      </c>
      <c r="G21" s="29"/>
      <c r="H21" s="29"/>
      <c r="I21" s="29"/>
      <c r="J21" s="29"/>
      <c r="K21" s="29"/>
      <c r="L21" s="47" t="s">
        <v>34</v>
      </c>
    </row>
    <row r="22" spans="6:16" ht="36" x14ac:dyDescent="0.25">
      <c r="F22" s="48">
        <f>Data!K8-Data!J8</f>
        <v>-830</v>
      </c>
      <c r="G22" s="48"/>
      <c r="H22" s="48"/>
      <c r="I22" s="48"/>
      <c r="J22" s="48"/>
      <c r="L22" s="48">
        <f>Data!K13-Data!J13</f>
        <v>-2000</v>
      </c>
      <c r="M22" s="48"/>
      <c r="N22" s="48"/>
      <c r="O22" s="48"/>
      <c r="P22" s="48"/>
    </row>
    <row r="23" spans="6:16" ht="13.5" customHeight="1" x14ac:dyDescent="0.25">
      <c r="F23" s="48"/>
      <c r="G23" s="48"/>
      <c r="H23" s="48"/>
      <c r="I23" s="48"/>
      <c r="J23" s="48"/>
      <c r="L23" s="48"/>
      <c r="M23" s="48"/>
      <c r="N23" s="48"/>
      <c r="O23" s="48"/>
      <c r="P23" s="48"/>
    </row>
  </sheetData>
  <mergeCells count="3">
    <mergeCell ref="A1:Q4"/>
    <mergeCell ref="F22:J23"/>
    <mergeCell ref="L22:P23"/>
  </mergeCells>
  <conditionalFormatting sqref="F22">
    <cfRule type="cellIs" dxfId="7" priority="3" operator="lessThanOrEqual">
      <formula>0</formula>
    </cfRule>
    <cfRule type="cellIs" dxfId="6" priority="4" operator="greaterThan">
      <formula>0</formula>
    </cfRule>
  </conditionalFormatting>
  <conditionalFormatting sqref="L22">
    <cfRule type="cellIs" dxfId="5" priority="1" operator="lessThanOrEqual">
      <formula>0</formula>
    </cfRule>
    <cfRule type="cellIs" dxfId="4" priority="2" operator="greaterThan">
      <formula>0</formula>
    </cfRule>
  </conditionalFormatting>
  <dataValidations count="1">
    <dataValidation type="list" allowBlank="1" showInputMessage="1" showErrorMessage="1" sqref="B5" xr:uid="{02F67530-DEE6-48B3-B459-F96157B14864}">
      <formula1>"2022,2023,2024"</formula1>
    </dataValidation>
  </dataValidations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8" id="{01F04B4F-8BA2-4764-8303-65BCDD15E3B2}">
            <x14:iconSet iconSet="3Flags" showValue="0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Flags" iconId="0"/>
              <x14:cfIcon iconSet="NoIcons" iconId="0"/>
              <x14:cfIcon iconSet="NoIcons" iconId="0"/>
            </x14:iconSet>
          </x14:cfRule>
          <xm:sqref>G5</xm:sqref>
        </x14:conditionalFormatting>
        <x14:conditionalFormatting xmlns:xm="http://schemas.microsoft.com/office/excel/2006/main">
          <x14:cfRule type="dataBar" priority="13" id="{239AF7BF-8E20-4928-8807-3FD2C5086578}">
            <x14:dataBar minLength="0" maxLength="100" gradient="0">
              <x14:cfvo type="autoMin"/>
              <x14:cfvo type="num">
                <xm:f>Data!$J$4</xm:f>
              </x14:cfvo>
              <x14:fillColor rgb="FF638EC6"/>
              <x14:negativeFillColor rgb="FFFF0000"/>
              <x14:axisColor rgb="FF000000"/>
            </x14:dataBar>
          </x14:cfRule>
          <xm:sqref>F5</xm:sqref>
        </x14:conditionalFormatting>
        <x14:conditionalFormatting xmlns:xm="http://schemas.microsoft.com/office/excel/2006/main">
          <x14:cfRule type="dataBar" priority="12" id="{82E3A052-EB32-4A1C-A38A-CBDD68BDC7F8}">
            <x14:dataBar minLength="0" maxLength="100" gradient="0">
              <x14:cfvo type="autoMin"/>
              <x14:cfvo type="num">
                <xm:f>Data!$J$5</xm:f>
              </x14:cfvo>
              <x14:fillColor rgb="FF638EC6"/>
              <x14:negativeFillColor rgb="FFFF0000"/>
              <x14:axisColor rgb="FF000000"/>
            </x14:dataBar>
          </x14:cfRule>
          <xm:sqref>I5</xm:sqref>
        </x14:conditionalFormatting>
        <x14:conditionalFormatting xmlns:xm="http://schemas.microsoft.com/office/excel/2006/main">
          <x14:cfRule type="dataBar" priority="11" id="{8D9BCCD1-C3B9-452A-9BF8-61385BEF2823}">
            <x14:dataBar minLength="0" maxLength="100" gradient="0">
              <x14:cfvo type="autoMin"/>
              <x14:cfvo type="num">
                <xm:f>Data!$J$6</xm:f>
              </x14:cfvo>
              <x14:fillColor rgb="FF638EC6"/>
              <x14:negativeFillColor rgb="FFFF0000"/>
              <x14:axisColor rgb="FF000000"/>
            </x14:dataBar>
          </x14:cfRule>
          <xm:sqref>L5</xm:sqref>
        </x14:conditionalFormatting>
        <x14:conditionalFormatting xmlns:xm="http://schemas.microsoft.com/office/excel/2006/main">
          <x14:cfRule type="dataBar" priority="10" id="{A64A2994-545D-4713-A7D2-CC3FACBB2C16}">
            <x14:dataBar minLength="0" maxLength="100" gradient="0">
              <x14:cfvo type="autoMin"/>
              <x14:cfvo type="num">
                <xm:f>Data!$J$7</xm:f>
              </x14:cfvo>
              <x14:fillColor rgb="FF638EC6"/>
              <x14:negativeFillColor rgb="FFFF0000"/>
              <x14:axisColor rgb="FF000000"/>
            </x14:dataBar>
          </x14:cfRule>
          <xm:sqref>O5</xm:sqref>
        </x14:conditionalFormatting>
        <x14:conditionalFormatting xmlns:xm="http://schemas.microsoft.com/office/excel/2006/main">
          <x14:cfRule type="iconSet" priority="7" id="{7C65E89C-83AB-41E6-B386-AF763E8EF1F7}">
            <x14:iconSet iconSet="3Flags" showValue="0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Flags" iconId="0"/>
              <x14:cfIcon iconSet="NoIcons" iconId="0"/>
              <x14:cfIcon iconSet="NoIcons" iconId="0"/>
            </x14:iconSet>
          </x14:cfRule>
          <xm:sqref>J5</xm:sqref>
        </x14:conditionalFormatting>
        <x14:conditionalFormatting xmlns:xm="http://schemas.microsoft.com/office/excel/2006/main">
          <x14:cfRule type="iconSet" priority="6" id="{E97DB9CE-1CE2-4726-A8BB-E31E63243603}">
            <x14:iconSet iconSet="3Flags" showValue="0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Flags" iconId="0"/>
              <x14:cfIcon iconSet="NoIcons" iconId="0"/>
              <x14:cfIcon iconSet="NoIcons" iconId="0"/>
            </x14:iconSet>
          </x14:cfRule>
          <xm:sqref>M5</xm:sqref>
        </x14:conditionalFormatting>
        <x14:conditionalFormatting xmlns:xm="http://schemas.microsoft.com/office/excel/2006/main">
          <x14:cfRule type="iconSet" priority="5" id="{4952E175-9391-4B95-ADC1-1768E451D2A0}">
            <x14:iconSet iconSet="3Flags" showValue="0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Flags" iconId="0"/>
              <x14:cfIcon iconSet="NoIcons" iconId="0"/>
              <x14:cfIcon iconSet="NoIcons" iconId="0"/>
            </x14:iconSet>
          </x14:cfRule>
          <xm:sqref>P5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205D9D8-45D3-4323-BE7C-202C1DE0CA5A}">
          <x14:formula1>
            <xm:f>Data!$L$3:$W$3</xm:f>
          </x14:formula1>
          <xm:sqref>A5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281B9-A99D-46EF-BA3C-BAA98AAAD61E}">
  <dimension ref="A1:R14"/>
  <sheetViews>
    <sheetView showGridLines="0" tabSelected="1" zoomScaleNormal="100" workbookViewId="0">
      <selection sqref="A1:Q4"/>
    </sheetView>
  </sheetViews>
  <sheetFormatPr defaultRowHeight="15" x14ac:dyDescent="0.25"/>
  <cols>
    <col min="1" max="1" width="11.42578125" bestFit="1" customWidth="1"/>
    <col min="2" max="2" width="9.5703125" bestFit="1" customWidth="1"/>
    <col min="6" max="6" width="15.28515625" bestFit="1" customWidth="1"/>
    <col min="9" max="9" width="15.28515625" bestFit="1" customWidth="1"/>
    <col min="10" max="10" width="9.42578125" customWidth="1"/>
    <col min="12" max="12" width="15.28515625" bestFit="1" customWidth="1"/>
    <col min="13" max="13" width="11.5703125" customWidth="1"/>
    <col min="14" max="14" width="9.7109375" customWidth="1"/>
    <col min="15" max="15" width="15.28515625" bestFit="1" customWidth="1"/>
    <col min="16" max="16" width="11.140625" customWidth="1"/>
    <col min="17" max="17" width="9.140625" customWidth="1"/>
  </cols>
  <sheetData>
    <row r="1" spans="1:18" x14ac:dyDescent="0.25">
      <c r="A1" s="56" t="s">
        <v>36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</row>
    <row r="2" spans="1:18" x14ac:dyDescent="0.25">
      <c r="A2" s="56"/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</row>
    <row r="3" spans="1:18" x14ac:dyDescent="0.25">
      <c r="A3" s="56"/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</row>
    <row r="4" spans="1:18" ht="15.75" customHeight="1" x14ac:dyDescent="0.25">
      <c r="A4" s="56"/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</row>
    <row r="5" spans="1:18" s="46" customFormat="1" ht="26.25" x14ac:dyDescent="0.4">
      <c r="A5" s="41" t="s">
        <v>35</v>
      </c>
      <c r="B5" s="41">
        <v>2022</v>
      </c>
      <c r="C5" s="42"/>
      <c r="D5" s="43"/>
      <c r="E5" s="43"/>
      <c r="F5" s="44">
        <f>Data!X4</f>
        <v>31000</v>
      </c>
      <c r="G5" s="45">
        <f ca="1">Data!Y4-Data!X4</f>
        <v>5000</v>
      </c>
      <c r="H5" s="43"/>
      <c r="I5" s="44">
        <f>monthdata[[#This Row],[Total YTD ]]</f>
        <v>18750</v>
      </c>
      <c r="J5" s="45">
        <f ca="1">monthdata[[#This Row],[Year Budget]]-monthdata[[#This Row],[Total YTD ]]</f>
        <v>5250</v>
      </c>
      <c r="K5" s="43"/>
      <c r="L5" s="44">
        <f>Data!X6</f>
        <v>35360</v>
      </c>
      <c r="M5" s="45">
        <f ca="1">Data!Y6-Data!X6</f>
        <v>-5360</v>
      </c>
      <c r="N5" s="43"/>
      <c r="O5" s="44">
        <f>Data!X7</f>
        <v>54526</v>
      </c>
      <c r="P5" s="45">
        <f ca="1">Data!Y7-Data!X7</f>
        <v>-526</v>
      </c>
      <c r="Q5" s="42"/>
    </row>
    <row r="6" spans="1:18" ht="18.75" x14ac:dyDescent="0.3">
      <c r="A6" s="30"/>
      <c r="B6" s="30"/>
      <c r="C6" s="30"/>
      <c r="D6" s="31"/>
      <c r="E6" s="31"/>
      <c r="F6" s="32" t="s">
        <v>10</v>
      </c>
      <c r="G6" s="31"/>
      <c r="H6" s="31"/>
      <c r="I6" s="32" t="s">
        <v>11</v>
      </c>
      <c r="J6" s="31"/>
      <c r="K6" s="31"/>
      <c r="L6" s="32" t="s">
        <v>9</v>
      </c>
      <c r="M6" s="31"/>
      <c r="N6" s="31"/>
      <c r="O6" s="32" t="s">
        <v>8</v>
      </c>
      <c r="P6" s="31"/>
      <c r="Q6" s="30"/>
    </row>
    <row r="8" spans="1:18" x14ac:dyDescent="0.25">
      <c r="O8" s="52" t="s">
        <v>33</v>
      </c>
      <c r="P8" s="52"/>
      <c r="Q8" s="52"/>
      <c r="R8" s="53"/>
    </row>
    <row r="9" spans="1:18" ht="36" x14ac:dyDescent="0.25">
      <c r="O9" s="55">
        <f ca="1">Data!X8-Data!Y8</f>
        <v>-4364</v>
      </c>
      <c r="P9" s="55"/>
      <c r="Q9" s="55"/>
      <c r="R9" s="54"/>
    </row>
    <row r="11" spans="1:18" x14ac:dyDescent="0.25">
      <c r="O11" s="52" t="s">
        <v>34</v>
      </c>
      <c r="P11" s="52"/>
      <c r="Q11" s="52"/>
    </row>
    <row r="12" spans="1:18" ht="15" customHeight="1" x14ac:dyDescent="0.25">
      <c r="O12" s="55">
        <f ca="1">Data!L13-Data!M13</f>
        <v>-5500</v>
      </c>
      <c r="P12" s="55"/>
      <c r="Q12" s="55"/>
      <c r="R12" s="54"/>
    </row>
    <row r="13" spans="1:18" ht="15" customHeight="1" x14ac:dyDescent="0.25">
      <c r="O13" s="55"/>
      <c r="P13" s="55"/>
      <c r="Q13" s="55"/>
      <c r="R13" s="54"/>
    </row>
    <row r="14" spans="1:18" x14ac:dyDescent="0.25">
      <c r="O14" s="55"/>
      <c r="P14" s="55"/>
      <c r="Q14" s="55"/>
    </row>
  </sheetData>
  <mergeCells count="5">
    <mergeCell ref="O12:Q14"/>
    <mergeCell ref="A1:Q4"/>
    <mergeCell ref="O11:Q11"/>
    <mergeCell ref="O8:Q8"/>
    <mergeCell ref="O9:Q9"/>
  </mergeCells>
  <conditionalFormatting sqref="O9">
    <cfRule type="cellIs" dxfId="3" priority="8" operator="lessThanOrEqual">
      <formula>0</formula>
    </cfRule>
    <cfRule type="cellIs" dxfId="2" priority="9" operator="greaterThan">
      <formula>0</formula>
    </cfRule>
  </conditionalFormatting>
  <conditionalFormatting sqref="O12">
    <cfRule type="cellIs" dxfId="1" priority="6" operator="lessThanOrEqual">
      <formula>0</formula>
    </cfRule>
    <cfRule type="cellIs" dxfId="0" priority="7" operator="greaterThan">
      <formula>0</formula>
    </cfRule>
  </conditionalFormatting>
  <dataValidations count="1">
    <dataValidation type="list" allowBlank="1" showInputMessage="1" showErrorMessage="1" sqref="B5" xr:uid="{FCC7E96D-5270-41AD-A3DF-EF42AEFA8070}">
      <formula1>"2022,2023,2024"</formula1>
    </dataValidation>
  </dataValidations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3" id="{466C247F-EAA4-4EA4-9C4C-FF8A885671B1}">
            <x14:iconSet iconSet="3Flags" showValue="0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Flags" iconId="0"/>
              <x14:cfIcon iconSet="NoIcons" iconId="0"/>
              <x14:cfIcon iconSet="NoIcons" iconId="0"/>
            </x14:iconSet>
          </x14:cfRule>
          <xm:sqref>M5</xm:sqref>
        </x14:conditionalFormatting>
        <x14:conditionalFormatting xmlns:xm="http://schemas.microsoft.com/office/excel/2006/main">
          <x14:cfRule type="iconSet" priority="11" id="{E1270C47-8499-4BB1-80BC-5762C3C290E4}">
            <x14:iconSet iconSet="3Flags" showValue="0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Flags" iconId="0"/>
              <x14:cfIcon iconSet="NoIcons" iconId="0"/>
              <x14:cfIcon iconSet="NoIcons" iconId="0"/>
            </x14:iconSet>
          </x14:cfRule>
          <xm:sqref>J5</xm:sqref>
        </x14:conditionalFormatting>
        <x14:conditionalFormatting xmlns:xm="http://schemas.microsoft.com/office/excel/2006/main">
          <x14:cfRule type="iconSet" priority="10" id="{A9F8E282-150B-4DDD-83C9-8F48BC6719AD}">
            <x14:iconSet iconSet="3Flags" showValue="0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Flags" iconId="0"/>
              <x14:cfIcon iconSet="NoIcons" iconId="0"/>
              <x14:cfIcon iconSet="NoIcons" iconId="0"/>
            </x14:iconSet>
          </x14:cfRule>
          <xm:sqref>P5</xm:sqref>
        </x14:conditionalFormatting>
        <x14:conditionalFormatting xmlns:xm="http://schemas.microsoft.com/office/excel/2006/main">
          <x14:cfRule type="dataBar" priority="5" id="{5A91527B-A3B6-4434-8B1B-9BDE3034E3AB}">
            <x14:dataBar minLength="0" maxLength="100" gradient="0">
              <x14:cfvo type="autoMin"/>
              <x14:cfvo type="num">
                <xm:f>Data!$Y$4</xm:f>
              </x14:cfvo>
              <x14:fillColor rgb="FF638EC6"/>
              <x14:negativeFillColor rgb="FFFF0000"/>
              <x14:axisColor rgb="FF000000"/>
            </x14:dataBar>
          </x14:cfRule>
          <xm:sqref>F5</xm:sqref>
        </x14:conditionalFormatting>
        <x14:conditionalFormatting xmlns:xm="http://schemas.microsoft.com/office/excel/2006/main">
          <x14:cfRule type="dataBar" priority="4" id="{4E3486C9-0C3D-46BA-A4F5-26CEDD5A8AFB}">
            <x14:dataBar minLength="0" maxLength="100" gradient="0">
              <x14:cfvo type="autoMin"/>
              <x14:cfvo type="num">
                <xm:f>Data!$Y$4</xm:f>
              </x14:cfvo>
              <x14:fillColor rgb="FF638EC6"/>
              <x14:negativeFillColor rgb="FFFF0000"/>
              <x14:axisColor rgb="FF000000"/>
            </x14:dataBar>
          </x14:cfRule>
          <xm:sqref>I5</xm:sqref>
        </x14:conditionalFormatting>
        <x14:conditionalFormatting xmlns:xm="http://schemas.microsoft.com/office/excel/2006/main">
          <x14:cfRule type="dataBar" priority="3" id="{266666F8-2334-4B90-B1E8-D3726E206AD6}">
            <x14:dataBar minLength="0" maxLength="100" gradient="0">
              <x14:cfvo type="autoMin"/>
              <x14:cfvo type="num">
                <xm:f>Data!$Y$6</xm:f>
              </x14:cfvo>
              <x14:fillColor rgb="FF638EC6"/>
              <x14:negativeFillColor rgb="FFFF0000"/>
              <x14:axisColor rgb="FF000000"/>
            </x14:dataBar>
          </x14:cfRule>
          <xm:sqref>L5</xm:sqref>
        </x14:conditionalFormatting>
        <x14:conditionalFormatting xmlns:xm="http://schemas.microsoft.com/office/excel/2006/main">
          <x14:cfRule type="dataBar" priority="2" id="{0B62E151-EE12-443F-A255-8CF19055B481}">
            <x14:dataBar minLength="0" maxLength="100" gradient="0">
              <x14:cfvo type="autoMin"/>
              <x14:cfvo type="num">
                <xm:f>Data!$Y$7</xm:f>
              </x14:cfvo>
              <x14:fillColor rgb="FF638EC6"/>
              <x14:negativeFillColor rgb="FFFF0000"/>
              <x14:axisColor rgb="FF000000"/>
            </x14:dataBar>
          </x14:cfRule>
          <xm:sqref>O5</xm:sqref>
        </x14:conditionalFormatting>
        <x14:conditionalFormatting xmlns:xm="http://schemas.microsoft.com/office/excel/2006/main">
          <x14:cfRule type="iconSet" priority="1" id="{17CC8BA9-CE6D-4648-9407-8BB605C1D753}">
            <x14:iconSet iconSet="3Flags" showValue="0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Flags" iconId="0"/>
              <x14:cfIcon iconSet="NoIcons" iconId="0"/>
              <x14:cfIcon iconSet="NoIcons" iconId="0"/>
            </x14:iconSet>
          </x14:cfRule>
          <xm:sqref>G5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75CA5-EFAF-44C3-B9F7-EB18913EE2D8}">
  <dimension ref="A1:Y63"/>
  <sheetViews>
    <sheetView showGridLines="0" workbookViewId="0">
      <selection activeCell="A2" sqref="A2"/>
    </sheetView>
  </sheetViews>
  <sheetFormatPr defaultRowHeight="15" x14ac:dyDescent="0.25"/>
  <cols>
    <col min="1" max="1" width="10.42578125" bestFit="1" customWidth="1"/>
    <col min="2" max="2" width="8.42578125" bestFit="1" customWidth="1"/>
    <col min="3" max="3" width="9.42578125" bestFit="1" customWidth="1"/>
    <col min="4" max="4" width="10" bestFit="1" customWidth="1"/>
    <col min="5" max="5" width="9" bestFit="1" customWidth="1"/>
    <col min="6" max="6" width="10.85546875" bestFit="1" customWidth="1"/>
    <col min="7" max="7" width="5" bestFit="1" customWidth="1"/>
    <col min="9" max="9" width="9.42578125" bestFit="1" customWidth="1"/>
    <col min="10" max="11" width="10" bestFit="1" customWidth="1"/>
    <col min="12" max="13" width="11.5703125" bestFit="1" customWidth="1"/>
    <col min="14" max="14" width="10" bestFit="1" customWidth="1"/>
    <col min="15" max="15" width="9" bestFit="1" customWidth="1"/>
    <col min="16" max="18" width="10" bestFit="1" customWidth="1"/>
    <col min="19" max="19" width="9" bestFit="1" customWidth="1"/>
    <col min="20" max="20" width="10.85546875" bestFit="1" customWidth="1"/>
    <col min="21" max="21" width="9" bestFit="1" customWidth="1"/>
    <col min="22" max="22" width="10.42578125" bestFit="1" customWidth="1"/>
    <col min="23" max="23" width="10.140625" bestFit="1" customWidth="1"/>
    <col min="24" max="25" width="11.5703125" bestFit="1" customWidth="1"/>
  </cols>
  <sheetData>
    <row r="1" spans="1:25" x14ac:dyDescent="0.25">
      <c r="A1" s="1" t="s">
        <v>0</v>
      </c>
      <c r="B1" s="1"/>
      <c r="C1" s="1"/>
      <c r="D1" s="1"/>
      <c r="E1" s="1"/>
      <c r="F1" s="1"/>
      <c r="G1" s="1"/>
    </row>
    <row r="3" spans="1:25" x14ac:dyDescent="0.25">
      <c r="A3" s="10" t="s">
        <v>1</v>
      </c>
      <c r="B3" s="11" t="s">
        <v>2</v>
      </c>
      <c r="C3" s="11" t="s">
        <v>3</v>
      </c>
      <c r="D3" s="11" t="s">
        <v>4</v>
      </c>
      <c r="E3" s="11" t="s">
        <v>5</v>
      </c>
      <c r="F3" s="11" t="s">
        <v>6</v>
      </c>
      <c r="G3" s="12" t="s">
        <v>7</v>
      </c>
      <c r="I3" s="2" t="s">
        <v>3</v>
      </c>
      <c r="J3" s="3" t="s">
        <v>25</v>
      </c>
      <c r="K3" s="3" t="s">
        <v>26</v>
      </c>
      <c r="L3" s="7" t="s">
        <v>13</v>
      </c>
      <c r="M3" s="7" t="s">
        <v>14</v>
      </c>
      <c r="N3" s="7" t="s">
        <v>15</v>
      </c>
      <c r="O3" s="7" t="s">
        <v>16</v>
      </c>
      <c r="P3" s="7" t="s">
        <v>17</v>
      </c>
      <c r="Q3" s="7" t="s">
        <v>18</v>
      </c>
      <c r="R3" s="7" t="s">
        <v>19</v>
      </c>
      <c r="S3" s="7" t="s">
        <v>20</v>
      </c>
      <c r="T3" s="7" t="s">
        <v>21</v>
      </c>
      <c r="U3" s="7" t="s">
        <v>22</v>
      </c>
      <c r="V3" s="7" t="s">
        <v>23</v>
      </c>
      <c r="W3" s="7" t="s">
        <v>24</v>
      </c>
      <c r="X3" s="8" t="s">
        <v>27</v>
      </c>
      <c r="Y3" s="35" t="s">
        <v>28</v>
      </c>
    </row>
    <row r="4" spans="1:25" x14ac:dyDescent="0.25">
      <c r="A4" s="13">
        <v>44586</v>
      </c>
      <c r="B4" s="14" t="s">
        <v>5</v>
      </c>
      <c r="C4" s="14" t="s">
        <v>8</v>
      </c>
      <c r="D4" s="15"/>
      <c r="E4" s="15">
        <v>4370</v>
      </c>
      <c r="F4" s="14" t="s">
        <v>13</v>
      </c>
      <c r="G4" s="16">
        <v>2022</v>
      </c>
      <c r="I4" s="33" t="s">
        <v>10</v>
      </c>
      <c r="J4" s="5">
        <v>3000</v>
      </c>
      <c r="K4" s="5">
        <f>SUMIFS(TransData[Expence],TransData[Category],monthdata[[#This Row],[Category]],TransData[[Month ]],'Dashboard Month'!$A$5,TransData[Year],'Dashboard Month'!$B$5)</f>
        <v>2000</v>
      </c>
      <c r="L4" s="5">
        <f>SUMIFS(TransData[[Expence]:[Expence]],TransData[[Category]:[Category]],monthdata[[#This Row],[Category]:[Category]],TransData[[Month ]:[Month ]],monthdata[[#Headers],[January]],TransData[[Year]:[Year]],'Dashboard Year'!$B$5)</f>
        <v>2500</v>
      </c>
      <c r="M4" s="5">
        <f>SUMIFS(TransData[[Expence]:[Expence]],TransData[[Category]:[Category]],monthdata[[#This Row],[Category]:[Category]],TransData[[Month ]:[Month ]],monthdata[[#Headers],[February]],TransData[[Year]:[Year]],'Dashboard Year'!$B$5)</f>
        <v>2500</v>
      </c>
      <c r="N4" s="5">
        <f>SUMIFS(TransData[[Expence]:[Expence]],TransData[[Category]:[Category]],monthdata[[#This Row],[Category]:[Category]],TransData[[Month ]:[Month ]],monthdata[[#Headers],[March]],TransData[[Year]:[Year]],'Dashboard Year'!$B$5)</f>
        <v>3500</v>
      </c>
      <c r="O4" s="5">
        <f>SUMIFS(TransData[[Expence]:[Expence]],TransData[[Category]:[Category]],monthdata[[#This Row],[Category]:[Category]],TransData[[Month ]:[Month ]],monthdata[[#Headers],[April]],TransData[[Year]:[Year]],'Dashboard Year'!$B$5)</f>
        <v>2500</v>
      </c>
      <c r="P4" s="5">
        <f>SUMIFS(TransData[[Expence]:[Expence]],TransData[[Category]:[Category]],monthdata[[#This Row],[Category]:[Category]],TransData[[Month ]:[Month ]],monthdata[[#Headers],[May]],TransData[[Year]:[Year]],'Dashboard Year'!$B$5)</f>
        <v>3000</v>
      </c>
      <c r="Q4" s="5">
        <f>SUMIFS(TransData[[Expence]:[Expence]],TransData[[Category]:[Category]],monthdata[[#This Row],[Category]:[Category]],TransData[[Month ]:[Month ]],monthdata[[#Headers],[June]],TransData[[Year]:[Year]],'Dashboard Year'!$B$5)</f>
        <v>3000</v>
      </c>
      <c r="R4" s="5">
        <f>SUMIFS(TransData[[Expence]:[Expence]],TransData[[Category]:[Category]],monthdata[[#This Row],[Category]:[Category]],TransData[[Month ]:[Month ]],monthdata[[#Headers],[July]],TransData[[Year]:[Year]],'Dashboard Year'!$B$5)</f>
        <v>3000</v>
      </c>
      <c r="S4" s="5">
        <f>SUMIFS(TransData[[Expence]:[Expence]],TransData[[Category]:[Category]],monthdata[[#This Row],[Category]:[Category]],TransData[[Month ]:[Month ]],monthdata[[#Headers],[August]],TransData[[Year]:[Year]],'Dashboard Year'!$B$5)</f>
        <v>2000</v>
      </c>
      <c r="T4" s="5">
        <f>SUMIFS(TransData[[Expence]:[Expence]],TransData[[Category]:[Category]],monthdata[[#This Row],[Category]:[Category]],TransData[[Month ]:[Month ]],monthdata[[#Headers],[September]],TransData[[Year]:[Year]],'Dashboard Year'!$B$5)</f>
        <v>2000</v>
      </c>
      <c r="U4" s="5">
        <f>SUMIFS(TransData[[Expence]:[Expence]],TransData[[Category]:[Category]],monthdata[[#This Row],[Category]:[Category]],TransData[[Month ]:[Month ]],monthdata[[#Headers],[October]],TransData[[Year]:[Year]],'Dashboard Year'!$B$5)</f>
        <v>2000</v>
      </c>
      <c r="V4" s="5">
        <f>SUMIFS(TransData[[Expence]:[Expence]],TransData[[Category]:[Category]],monthdata[[#This Row],[Category]:[Category]],TransData[[Month ]:[Month ]],monthdata[[#Headers],[November]],TransData[[Year]:[Year]],'Dashboard Year'!$B$5)</f>
        <v>2500</v>
      </c>
      <c r="W4" s="5">
        <f>SUMIFS(TransData[[Expence]:[Expence]],TransData[[Category]:[Category]],monthdata[[#This Row],[Category]:[Category]],TransData[[Month ]:[Month ]],monthdata[[#Headers],[December]],TransData[[Year]:[Year]],'Dashboard Year'!$B$5)</f>
        <v>2500</v>
      </c>
      <c r="X4" s="5">
        <f>SUM(monthdata[[#This Row],[January]:[December]])</f>
        <v>31000</v>
      </c>
      <c r="Y4" s="9">
        <f ca="1">IF('Dashboard Year'!$B$5=YEAR(TODAY()),MONTH(TODAY())*monthdata[[#This Row],[Budget]],12*monthdata[[#This Row],[Budget]])</f>
        <v>36000</v>
      </c>
    </row>
    <row r="5" spans="1:25" x14ac:dyDescent="0.25">
      <c r="A5" s="13">
        <v>44589</v>
      </c>
      <c r="B5" s="14" t="s">
        <v>5</v>
      </c>
      <c r="C5" s="14" t="s">
        <v>9</v>
      </c>
      <c r="D5" s="15"/>
      <c r="E5" s="15">
        <v>4100</v>
      </c>
      <c r="F5" s="14" t="s">
        <v>13</v>
      </c>
      <c r="G5" s="16">
        <v>2022</v>
      </c>
      <c r="I5" s="33" t="s">
        <v>11</v>
      </c>
      <c r="J5" s="5">
        <v>2000</v>
      </c>
      <c r="K5" s="5">
        <f>SUMIFS(TransData[Expence],TransData[Category],monthdata[[#This Row],[Category]],TransData[[Month ]],'Dashboard Month'!$A$5,TransData[Year],'Dashboard Month'!$B$5)</f>
        <v>1570</v>
      </c>
      <c r="L5" s="5">
        <f>SUMIFS(TransData[[Expence]:[Expence]],TransData[[Category]:[Category]],monthdata[[#This Row],[Category]:[Category]],TransData[[Month ]:[Month ]],monthdata[[#Headers],[January]],TransData[[Year]:[Year]],'Dashboard Year'!$B$5)</f>
        <v>1650</v>
      </c>
      <c r="M5" s="5">
        <f>SUMIFS(TransData[[Expence]:[Expence]],TransData[[Category]:[Category]],monthdata[[#This Row],[Category]:[Category]],TransData[[Month ]:[Month ]],monthdata[[#Headers],[February]],TransData[[Year]:[Year]],'Dashboard Year'!$B$5)</f>
        <v>1520</v>
      </c>
      <c r="N5" s="5">
        <f>SUMIFS(TransData[[Expence]:[Expence]],TransData[[Category]:[Category]],monthdata[[#This Row],[Category]:[Category]],TransData[[Month ]:[Month ]],monthdata[[#Headers],[March]],TransData[[Year]:[Year]],'Dashboard Year'!$B$5)</f>
        <v>1400</v>
      </c>
      <c r="O5" s="5">
        <f>SUMIFS(TransData[[Expence]:[Expence]],TransData[[Category]:[Category]],monthdata[[#This Row],[Category]:[Category]],TransData[[Month ]:[Month ]],monthdata[[#Headers],[April]],TransData[[Year]:[Year]],'Dashboard Year'!$B$5)</f>
        <v>1560</v>
      </c>
      <c r="P5" s="5">
        <f>SUMIFS(TransData[[Expence]:[Expence]],TransData[[Category]:[Category]],monthdata[[#This Row],[Category]:[Category]],TransData[[Month ]:[Month ]],monthdata[[#Headers],[May]],TransData[[Year]:[Year]],'Dashboard Year'!$B$5)</f>
        <v>1450</v>
      </c>
      <c r="Q5" s="5">
        <f>SUMIFS(TransData[[Expence]:[Expence]],TransData[[Category]:[Category]],monthdata[[#This Row],[Category]:[Category]],TransData[[Month ]:[Month ]],monthdata[[#Headers],[June]],TransData[[Year]:[Year]],'Dashboard Year'!$B$5)</f>
        <v>2450</v>
      </c>
      <c r="R5" s="5">
        <f>SUMIFS(TransData[[Expence]:[Expence]],TransData[[Category]:[Category]],monthdata[[#This Row],[Category]:[Category]],TransData[[Month ]:[Month ]],monthdata[[#Headers],[July]],TransData[[Year]:[Year]],'Dashboard Year'!$B$5)</f>
        <v>1450</v>
      </c>
      <c r="S5" s="5">
        <f>SUMIFS(TransData[[Expence]:[Expence]],TransData[[Category]:[Category]],monthdata[[#This Row],[Category]:[Category]],TransData[[Month ]:[Month ]],monthdata[[#Headers],[August]],TransData[[Year]:[Year]],'Dashboard Year'!$B$5)</f>
        <v>1450</v>
      </c>
      <c r="T5" s="5">
        <f>SUMIFS(TransData[[Expence]:[Expence]],TransData[[Category]:[Category]],monthdata[[#This Row],[Category]:[Category]],TransData[[Month ]:[Month ]],monthdata[[#Headers],[September]],TransData[[Year]:[Year]],'Dashboard Year'!$B$5)</f>
        <v>1570</v>
      </c>
      <c r="U5" s="5">
        <f>SUMIFS(TransData[[Expence]:[Expence]],TransData[[Category]:[Category]],monthdata[[#This Row],[Category]:[Category]],TransData[[Month ]:[Month ]],monthdata[[#Headers],[October]],TransData[[Year]:[Year]],'Dashboard Year'!$B$5)</f>
        <v>1400</v>
      </c>
      <c r="V5" s="5">
        <f>SUMIFS(TransData[[Expence]:[Expence]],TransData[[Category]:[Category]],monthdata[[#This Row],[Category]:[Category]],TransData[[Month ]:[Month ]],monthdata[[#Headers],[November]],TransData[[Year]:[Year]],'Dashboard Year'!$B$5)</f>
        <v>1400</v>
      </c>
      <c r="W5" s="5">
        <f>SUMIFS(TransData[[Expence]:[Expence]],TransData[[Category]:[Category]],monthdata[[#This Row],[Category]:[Category]],TransData[[Month ]:[Month ]],monthdata[[#Headers],[December]],TransData[[Year]:[Year]],'Dashboard Year'!$B$5)</f>
        <v>1450</v>
      </c>
      <c r="X5" s="5">
        <f>SUM(monthdata[[#This Row],[January]:[December]])</f>
        <v>18750</v>
      </c>
      <c r="Y5" s="5">
        <f ca="1">IF('Dashboard Year'!$B$5=YEAR(TODAY()),MONTH(TODAY())*monthdata[[#This Row],[Budget]],12*monthdata[[#This Row],[Budget]])</f>
        <v>24000</v>
      </c>
    </row>
    <row r="6" spans="1:25" x14ac:dyDescent="0.25">
      <c r="A6" s="13">
        <v>44590</v>
      </c>
      <c r="B6" s="14" t="s">
        <v>5</v>
      </c>
      <c r="C6" s="14" t="s">
        <v>10</v>
      </c>
      <c r="D6" s="15"/>
      <c r="E6" s="15">
        <v>2500</v>
      </c>
      <c r="F6" s="14" t="s">
        <v>13</v>
      </c>
      <c r="G6" s="16">
        <v>2022</v>
      </c>
      <c r="I6" s="33" t="s">
        <v>9</v>
      </c>
      <c r="J6" s="5">
        <v>2500</v>
      </c>
      <c r="K6" s="5">
        <f>SUMIFS(TransData[Expence],TransData[Category],monthdata[[#This Row],[Category]],TransData[[Month ]],'Dashboard Month'!$A$5,TransData[Year],'Dashboard Month'!$B$5)</f>
        <v>2800</v>
      </c>
      <c r="L6" s="5">
        <f>SUMIFS(TransData[[Expence]:[Expence]],TransData[[Category]:[Category]],monthdata[[#This Row],[Category]:[Category]],TransData[[Month ]:[Month ]],monthdata[[#Headers],[January]],TransData[[Year]:[Year]],'Dashboard Year'!$B$5)</f>
        <v>4100</v>
      </c>
      <c r="M6" s="5">
        <f>SUMIFS(TransData[[Expence]:[Expence]],TransData[[Category]:[Category]],monthdata[[#This Row],[Category]:[Category]],TransData[[Month ]:[Month ]],monthdata[[#Headers],[February]],TransData[[Year]:[Year]],'Dashboard Year'!$B$5)</f>
        <v>2860</v>
      </c>
      <c r="N6" s="5">
        <f>SUMIFS(TransData[[Expence]:[Expence]],TransData[[Category]:[Category]],monthdata[[#This Row],[Category]:[Category]],TransData[[Month ]:[Month ]],monthdata[[#Headers],[March]],TransData[[Year]:[Year]],'Dashboard Year'!$B$5)</f>
        <v>1200</v>
      </c>
      <c r="O6" s="5">
        <f>SUMIFS(TransData[[Expence]:[Expence]],TransData[[Category]:[Category]],monthdata[[#This Row],[Category]:[Category]],TransData[[Month ]:[Month ]],monthdata[[#Headers],[April]],TransData[[Year]:[Year]],'Dashboard Year'!$B$5)</f>
        <v>800</v>
      </c>
      <c r="P6" s="5">
        <f>SUMIFS(TransData[[Expence]:[Expence]],TransData[[Category]:[Category]],monthdata[[#This Row],[Category]:[Category]],TransData[[Month ]:[Month ]],monthdata[[#Headers],[May]],TransData[[Year]:[Year]],'Dashboard Year'!$B$5)</f>
        <v>6000</v>
      </c>
      <c r="Q6" s="5">
        <f>SUMIFS(TransData[[Expence]:[Expence]],TransData[[Category]:[Category]],monthdata[[#This Row],[Category]:[Category]],TransData[[Month ]:[Month ]],monthdata[[#Headers],[June]],TransData[[Year]:[Year]],'Dashboard Year'!$B$5)</f>
        <v>4000</v>
      </c>
      <c r="R6" s="5">
        <f>SUMIFS(TransData[[Expence]:[Expence]],TransData[[Category]:[Category]],monthdata[[#This Row],[Category]:[Category]],TransData[[Month ]:[Month ]],monthdata[[#Headers],[July]],TransData[[Year]:[Year]],'Dashboard Year'!$B$5)</f>
        <v>4100</v>
      </c>
      <c r="S6" s="5">
        <f>SUMIFS(TransData[[Expence]:[Expence]],TransData[[Category]:[Category]],monthdata[[#This Row],[Category]:[Category]],TransData[[Month ]:[Month ]],monthdata[[#Headers],[August]],TransData[[Year]:[Year]],'Dashboard Year'!$B$5)</f>
        <v>1300</v>
      </c>
      <c r="T6" s="5">
        <f>SUMIFS(TransData[[Expence]:[Expence]],TransData[[Category]:[Category]],monthdata[[#This Row],[Category]:[Category]],TransData[[Month ]:[Month ]],monthdata[[#Headers],[September]],TransData[[Year]:[Year]],'Dashboard Year'!$B$5)</f>
        <v>2800</v>
      </c>
      <c r="U6" s="5">
        <f>SUMIFS(TransData[[Expence]:[Expence]],TransData[[Category]:[Category]],monthdata[[#This Row],[Category]:[Category]],TransData[[Month ]:[Month ]],monthdata[[#Headers],[October]],TransData[[Year]:[Year]],'Dashboard Year'!$B$5)</f>
        <v>1900</v>
      </c>
      <c r="V6" s="5">
        <f>SUMIFS(TransData[[Expence]:[Expence]],TransData[[Category]:[Category]],monthdata[[#This Row],[Category]:[Category]],TransData[[Month ]:[Month ]],monthdata[[#Headers],[November]],TransData[[Year]:[Year]],'Dashboard Year'!$B$5)</f>
        <v>1800</v>
      </c>
      <c r="W6" s="5">
        <f>SUMIFS(TransData[[Expence]:[Expence]],TransData[[Category]:[Category]],monthdata[[#This Row],[Category]:[Category]],TransData[[Month ]:[Month ]],monthdata[[#Headers],[December]],TransData[[Year]:[Year]],'Dashboard Year'!$B$5)</f>
        <v>4500</v>
      </c>
      <c r="X6" s="5">
        <f>SUM(monthdata[[#This Row],[January]:[December]])</f>
        <v>35360</v>
      </c>
      <c r="Y6" s="5">
        <f ca="1">IF('Dashboard Year'!$B$5=YEAR(TODAY()),MONTH(TODAY())*monthdata[[#This Row],[Budget]],12*monthdata[[#This Row],[Budget]])</f>
        <v>30000</v>
      </c>
    </row>
    <row r="7" spans="1:25" x14ac:dyDescent="0.25">
      <c r="A7" s="13">
        <v>44591</v>
      </c>
      <c r="B7" s="14" t="s">
        <v>5</v>
      </c>
      <c r="C7" s="14" t="s">
        <v>11</v>
      </c>
      <c r="D7" s="15"/>
      <c r="E7" s="15">
        <v>1650</v>
      </c>
      <c r="F7" s="14" t="s">
        <v>13</v>
      </c>
      <c r="G7" s="16">
        <v>2022</v>
      </c>
      <c r="I7" s="33" t="s">
        <v>8</v>
      </c>
      <c r="J7" s="5">
        <v>4500</v>
      </c>
      <c r="K7" s="5">
        <f>SUMIFS(TransData[Expence],TransData[Category],monthdata[[#This Row],[Category]],TransData[[Month ]],'Dashboard Month'!$A$5,TransData[Year],'Dashboard Month'!$B$5)</f>
        <v>4800</v>
      </c>
      <c r="L7" s="5">
        <f>SUMIFS(TransData[[Expence]:[Expence]],TransData[[Category]:[Category]],monthdata[[#This Row],[Category]:[Category]],TransData[[Month ]:[Month ]],monthdata[[#Headers],[January]],TransData[[Year]:[Year]],'Dashboard Year'!$B$5)</f>
        <v>4370</v>
      </c>
      <c r="M7" s="5">
        <f>SUMIFS(TransData[[Expence]:[Expence]],TransData[[Category]:[Category]],monthdata[[#This Row],[Category]:[Category]],TransData[[Month ]:[Month ]],monthdata[[#Headers],[February]],TransData[[Year]:[Year]],'Dashboard Year'!$B$5)</f>
        <v>4596</v>
      </c>
      <c r="N7" s="5">
        <f>SUMIFS(TransData[[Expence]:[Expence]],TransData[[Category]:[Category]],monthdata[[#This Row],[Category]:[Category]],TransData[[Month ]:[Month ]],monthdata[[#Headers],[March]],TransData[[Year]:[Year]],'Dashboard Year'!$B$5)</f>
        <v>4460</v>
      </c>
      <c r="O7" s="5">
        <f>SUMIFS(TransData[[Expence]:[Expence]],TransData[[Category]:[Category]],monthdata[[#This Row],[Category]:[Category]],TransData[[Month ]:[Month ]],monthdata[[#Headers],[April]],TransData[[Year]:[Year]],'Dashboard Year'!$B$5)</f>
        <v>4800</v>
      </c>
      <c r="P7" s="5">
        <f>SUMIFS(TransData[[Expence]:[Expence]],TransData[[Category]:[Category]],monthdata[[#This Row],[Category]:[Category]],TransData[[Month ]:[Month ]],monthdata[[#Headers],[May]],TransData[[Year]:[Year]],'Dashboard Year'!$B$5)</f>
        <v>4000</v>
      </c>
      <c r="Q7" s="5">
        <f>SUMIFS(TransData[[Expence]:[Expence]],TransData[[Category]:[Category]],monthdata[[#This Row],[Category]:[Category]],TransData[[Month ]:[Month ]],monthdata[[#Headers],[June]],TransData[[Year]:[Year]],'Dashboard Year'!$B$5)</f>
        <v>4300</v>
      </c>
      <c r="R7" s="5">
        <f>SUMIFS(TransData[[Expence]:[Expence]],TransData[[Category]:[Category]],monthdata[[#This Row],[Category]:[Category]],TransData[[Month ]:[Month ]],monthdata[[#Headers],[July]],TransData[[Year]:[Year]],'Dashboard Year'!$B$5)</f>
        <v>4800</v>
      </c>
      <c r="S7" s="5">
        <f>SUMIFS(TransData[[Expence]:[Expence]],TransData[[Category]:[Category]],monthdata[[#This Row],[Category]:[Category]],TransData[[Month ]:[Month ]],monthdata[[#Headers],[August]],TransData[[Year]:[Year]],'Dashboard Year'!$B$5)</f>
        <v>4500</v>
      </c>
      <c r="T7" s="5">
        <f>SUMIFS(TransData[[Expence]:[Expence]],TransData[[Category]:[Category]],monthdata[[#This Row],[Category]:[Category]],TransData[[Month ]:[Month ]],monthdata[[#Headers],[September]],TransData[[Year]:[Year]],'Dashboard Year'!$B$5)</f>
        <v>4800</v>
      </c>
      <c r="U7" s="5">
        <f>SUMIFS(TransData[[Expence]:[Expence]],TransData[[Category]:[Category]],monthdata[[#This Row],[Category]:[Category]],TransData[[Month ]:[Month ]],monthdata[[#Headers],[October]],TransData[[Year]:[Year]],'Dashboard Year'!$B$5)</f>
        <v>4200</v>
      </c>
      <c r="V7" s="5">
        <f>SUMIFS(TransData[[Expence]:[Expence]],TransData[[Category]:[Category]],monthdata[[#This Row],[Category]:[Category]],TransData[[Month ]:[Month ]],monthdata[[#Headers],[November]],TransData[[Year]:[Year]],'Dashboard Year'!$B$5)</f>
        <v>4700</v>
      </c>
      <c r="W7" s="5">
        <f>SUMIFS(TransData[[Expence]:[Expence]],TransData[[Category]:[Category]],monthdata[[#This Row],[Category]:[Category]],TransData[[Month ]:[Month ]],monthdata[[#Headers],[December]],TransData[[Year]:[Year]],'Dashboard Year'!$B$5)</f>
        <v>5000</v>
      </c>
      <c r="X7" s="5">
        <f>SUM(monthdata[[#This Row],[January]:[December]])</f>
        <v>54526</v>
      </c>
      <c r="Y7" s="6">
        <f ca="1">IF('Dashboard Year'!$B$5=YEAR(TODAY()),MONTH(TODAY())*monthdata[[#This Row],[Budget]],12*monthdata[[#This Row],[Budget]])</f>
        <v>54000</v>
      </c>
    </row>
    <row r="8" spans="1:25" x14ac:dyDescent="0.25">
      <c r="A8" s="17">
        <v>44591</v>
      </c>
      <c r="B8" s="18" t="s">
        <v>4</v>
      </c>
      <c r="C8" s="19" t="s">
        <v>12</v>
      </c>
      <c r="D8" s="20">
        <v>20000</v>
      </c>
      <c r="E8" s="15"/>
      <c r="F8" s="14" t="s">
        <v>13</v>
      </c>
      <c r="G8" s="16">
        <v>2022</v>
      </c>
      <c r="I8" s="39" t="s">
        <v>29</v>
      </c>
      <c r="J8" s="40">
        <f>SUBTOTAL(109,monthdata[Budget])</f>
        <v>12000</v>
      </c>
      <c r="K8" s="40">
        <f>SUBTOTAL(109,monthdata[Actual])</f>
        <v>11170</v>
      </c>
      <c r="L8" s="40">
        <f>SUBTOTAL(109,monthdata[January])</f>
        <v>12620</v>
      </c>
      <c r="M8" s="40">
        <f>SUBTOTAL(109,monthdata[February])</f>
        <v>11476</v>
      </c>
      <c r="N8" s="40">
        <f>SUBTOTAL(109,monthdata[March])</f>
        <v>10560</v>
      </c>
      <c r="O8" s="40">
        <f>SUBTOTAL(109,monthdata[April])</f>
        <v>9660</v>
      </c>
      <c r="P8" s="40">
        <f>SUBTOTAL(109,monthdata[May])</f>
        <v>14450</v>
      </c>
      <c r="Q8" s="40">
        <f>SUBTOTAL(109,monthdata[June])</f>
        <v>13750</v>
      </c>
      <c r="R8" s="40">
        <f>SUBTOTAL(109,monthdata[July])</f>
        <v>13350</v>
      </c>
      <c r="S8" s="40">
        <f>SUBTOTAL(109,monthdata[August])</f>
        <v>9250</v>
      </c>
      <c r="T8" s="40">
        <f>SUBTOTAL(109,monthdata[September])</f>
        <v>11170</v>
      </c>
      <c r="U8" s="40">
        <f>SUBTOTAL(109,monthdata[October])</f>
        <v>9500</v>
      </c>
      <c r="V8" s="40">
        <f>SUBTOTAL(109,monthdata[November])</f>
        <v>10400</v>
      </c>
      <c r="W8" s="40">
        <f>SUBTOTAL(109,monthdata[December])</f>
        <v>13450</v>
      </c>
      <c r="X8" s="40">
        <f>SUBTOTAL(109,monthdata[[Total YTD ]])</f>
        <v>139636</v>
      </c>
      <c r="Y8" s="49">
        <f ca="1">SUBTOTAL(109,monthdata[Year Budget])</f>
        <v>144000</v>
      </c>
    </row>
    <row r="9" spans="1:25" x14ac:dyDescent="0.25">
      <c r="A9" s="13">
        <v>44617</v>
      </c>
      <c r="B9" s="14" t="s">
        <v>5</v>
      </c>
      <c r="C9" s="14" t="s">
        <v>8</v>
      </c>
      <c r="D9" s="15"/>
      <c r="E9" s="15">
        <v>4596</v>
      </c>
      <c r="F9" s="14" t="s">
        <v>14</v>
      </c>
      <c r="G9" s="16">
        <v>2022</v>
      </c>
    </row>
    <row r="10" spans="1:25" x14ac:dyDescent="0.25">
      <c r="A10" s="13">
        <v>44620</v>
      </c>
      <c r="B10" s="14" t="s">
        <v>5</v>
      </c>
      <c r="C10" s="14" t="s">
        <v>9</v>
      </c>
      <c r="D10" s="15"/>
      <c r="E10" s="15">
        <v>2860</v>
      </c>
      <c r="F10" s="14" t="s">
        <v>14</v>
      </c>
      <c r="G10" s="16">
        <v>2022</v>
      </c>
    </row>
    <row r="11" spans="1:25" x14ac:dyDescent="0.25">
      <c r="A11" s="13">
        <v>44620</v>
      </c>
      <c r="B11" s="14" t="s">
        <v>5</v>
      </c>
      <c r="C11" s="14" t="s">
        <v>10</v>
      </c>
      <c r="D11" s="15"/>
      <c r="E11" s="15">
        <v>2500</v>
      </c>
      <c r="F11" s="14" t="s">
        <v>14</v>
      </c>
      <c r="G11" s="16">
        <v>2022</v>
      </c>
    </row>
    <row r="12" spans="1:25" x14ac:dyDescent="0.25">
      <c r="A12" s="13">
        <v>44620</v>
      </c>
      <c r="B12" s="14" t="s">
        <v>5</v>
      </c>
      <c r="C12" s="14" t="s">
        <v>11</v>
      </c>
      <c r="D12" s="15"/>
      <c r="E12" s="15">
        <v>1520</v>
      </c>
      <c r="F12" s="14" t="s">
        <v>14</v>
      </c>
      <c r="G12" s="16">
        <v>2022</v>
      </c>
      <c r="I12" s="2" t="s">
        <v>4</v>
      </c>
      <c r="J12" s="3" t="s">
        <v>30</v>
      </c>
      <c r="K12" s="3" t="s">
        <v>26</v>
      </c>
      <c r="L12" s="4" t="s">
        <v>32</v>
      </c>
      <c r="M12" s="3" t="s">
        <v>31</v>
      </c>
    </row>
    <row r="13" spans="1:25" x14ac:dyDescent="0.25">
      <c r="A13" s="13">
        <v>44620</v>
      </c>
      <c r="B13" s="18" t="s">
        <v>4</v>
      </c>
      <c r="C13" s="19" t="s">
        <v>12</v>
      </c>
      <c r="D13" s="20">
        <v>20000</v>
      </c>
      <c r="E13" s="15"/>
      <c r="F13" s="14" t="s">
        <v>14</v>
      </c>
      <c r="G13" s="16">
        <v>2022</v>
      </c>
      <c r="I13" s="36" t="s">
        <v>12</v>
      </c>
      <c r="J13" s="5">
        <v>20000</v>
      </c>
      <c r="K13" s="5">
        <f>SUMIFS(TransData[Income],TransData[Category],salarydata[[#This Row],[Income]],TransData[[Month ]],'Dashboard Month'!$A$5,TransData[Year],'Dashboard Month'!$B$5)</f>
        <v>18000</v>
      </c>
      <c r="L13" s="34">
        <f>SUMIFS(TransData[Income],TransData[Category],salarydata[[#This Row],[Income]],TransData[Year],'Dashboard Year'!$B$5)</f>
        <v>234500</v>
      </c>
      <c r="M13" s="50">
        <f ca="1">IF('Dashboard Year'!$B$5=YEAR(TODAY()),MONTH(TODAY())*salarydata[[#This Row],[Target]],12*salarydata[[#This Row],[Target]])</f>
        <v>240000</v>
      </c>
    </row>
    <row r="14" spans="1:25" x14ac:dyDescent="0.25">
      <c r="A14" s="13">
        <v>44645</v>
      </c>
      <c r="B14" s="14" t="s">
        <v>5</v>
      </c>
      <c r="C14" s="14" t="s">
        <v>8</v>
      </c>
      <c r="D14" s="15"/>
      <c r="E14" s="15">
        <v>4460</v>
      </c>
      <c r="F14" s="14" t="s">
        <v>15</v>
      </c>
      <c r="G14" s="16">
        <v>2022</v>
      </c>
      <c r="I14" s="28" t="s">
        <v>29</v>
      </c>
      <c r="J14" s="37">
        <v>20000</v>
      </c>
      <c r="K14" s="37">
        <f>SUMIFS(TransData[Income],TransData[Category],salarydata[[#This Row],[Income]],TransData[[Month ]],'Dashboard Month'!$A$5,TransData[Year],'Dashboard Month'!$B$5)</f>
        <v>0</v>
      </c>
      <c r="L14" s="38">
        <f>SUMIFS(TransData[Income],TransData[Category],salarydata[[#This Row],[Income]],TransData[Year],'Dashboard Year'!$B$5)</f>
        <v>0</v>
      </c>
      <c r="M14" s="51">
        <f ca="1">IF('Dashboard Year'!$B$5=YEAR(TODAY()),MONTH(TODAY())*salarydata[[#This Row],[Target]],12*salarydata[[#This Row],[Target]])</f>
        <v>240000</v>
      </c>
    </row>
    <row r="15" spans="1:25" x14ac:dyDescent="0.25">
      <c r="A15" s="13">
        <v>44648</v>
      </c>
      <c r="B15" s="14" t="s">
        <v>5</v>
      </c>
      <c r="C15" s="14" t="s">
        <v>9</v>
      </c>
      <c r="D15" s="15"/>
      <c r="E15" s="15">
        <v>1200</v>
      </c>
      <c r="F15" s="14" t="s">
        <v>15</v>
      </c>
      <c r="G15" s="16">
        <v>2022</v>
      </c>
    </row>
    <row r="16" spans="1:25" x14ac:dyDescent="0.25">
      <c r="A16" s="13">
        <v>44649</v>
      </c>
      <c r="B16" s="14" t="s">
        <v>5</v>
      </c>
      <c r="C16" s="14" t="s">
        <v>10</v>
      </c>
      <c r="D16" s="15"/>
      <c r="E16" s="15">
        <v>3500</v>
      </c>
      <c r="F16" s="14" t="s">
        <v>15</v>
      </c>
      <c r="G16" s="16">
        <v>2022</v>
      </c>
    </row>
    <row r="17" spans="1:7" x14ac:dyDescent="0.25">
      <c r="A17" s="13">
        <v>44650</v>
      </c>
      <c r="B17" s="14" t="s">
        <v>5</v>
      </c>
      <c r="C17" s="14" t="s">
        <v>11</v>
      </c>
      <c r="D17" s="15"/>
      <c r="E17" s="15">
        <v>1400</v>
      </c>
      <c r="F17" s="14" t="s">
        <v>15</v>
      </c>
      <c r="G17" s="16">
        <v>2022</v>
      </c>
    </row>
    <row r="18" spans="1:7" x14ac:dyDescent="0.25">
      <c r="A18" s="13">
        <v>44650</v>
      </c>
      <c r="B18" s="18" t="s">
        <v>4</v>
      </c>
      <c r="C18" s="19" t="s">
        <v>12</v>
      </c>
      <c r="D18" s="20">
        <v>20000</v>
      </c>
      <c r="E18" s="15"/>
      <c r="F18" s="14" t="s">
        <v>15</v>
      </c>
      <c r="G18" s="16">
        <v>2022</v>
      </c>
    </row>
    <row r="19" spans="1:7" x14ac:dyDescent="0.25">
      <c r="A19" s="13">
        <v>44676</v>
      </c>
      <c r="B19" s="14" t="s">
        <v>5</v>
      </c>
      <c r="C19" s="14" t="s">
        <v>8</v>
      </c>
      <c r="D19" s="15"/>
      <c r="E19" s="15">
        <v>4800</v>
      </c>
      <c r="F19" s="14" t="s">
        <v>16</v>
      </c>
      <c r="G19" s="16">
        <v>2022</v>
      </c>
    </row>
    <row r="20" spans="1:7" x14ac:dyDescent="0.25">
      <c r="A20" s="13">
        <v>44679</v>
      </c>
      <c r="B20" s="14" t="s">
        <v>5</v>
      </c>
      <c r="C20" s="14" t="s">
        <v>9</v>
      </c>
      <c r="D20" s="15"/>
      <c r="E20" s="15">
        <v>800</v>
      </c>
      <c r="F20" s="14" t="s">
        <v>16</v>
      </c>
      <c r="G20" s="16">
        <v>2022</v>
      </c>
    </row>
    <row r="21" spans="1:7" x14ac:dyDescent="0.25">
      <c r="A21" s="13">
        <v>44680</v>
      </c>
      <c r="B21" s="14" t="s">
        <v>5</v>
      </c>
      <c r="C21" s="14" t="s">
        <v>10</v>
      </c>
      <c r="D21" s="15"/>
      <c r="E21" s="15">
        <v>2500</v>
      </c>
      <c r="F21" s="14" t="s">
        <v>16</v>
      </c>
      <c r="G21" s="16">
        <v>2022</v>
      </c>
    </row>
    <row r="22" spans="1:7" x14ac:dyDescent="0.25">
      <c r="A22" s="13">
        <v>44681</v>
      </c>
      <c r="B22" s="14" t="s">
        <v>5</v>
      </c>
      <c r="C22" s="14" t="s">
        <v>11</v>
      </c>
      <c r="D22" s="15"/>
      <c r="E22" s="15">
        <v>1560</v>
      </c>
      <c r="F22" s="14" t="s">
        <v>16</v>
      </c>
      <c r="G22" s="16">
        <v>2022</v>
      </c>
    </row>
    <row r="23" spans="1:7" x14ac:dyDescent="0.25">
      <c r="A23" s="13">
        <v>44681</v>
      </c>
      <c r="B23" s="18" t="s">
        <v>4</v>
      </c>
      <c r="C23" s="19" t="s">
        <v>12</v>
      </c>
      <c r="D23" s="20">
        <v>20000</v>
      </c>
      <c r="E23" s="15"/>
      <c r="F23" s="14" t="s">
        <v>16</v>
      </c>
      <c r="G23" s="16">
        <v>2022</v>
      </c>
    </row>
    <row r="24" spans="1:7" x14ac:dyDescent="0.25">
      <c r="A24" s="13">
        <v>44706</v>
      </c>
      <c r="B24" s="14" t="s">
        <v>5</v>
      </c>
      <c r="C24" s="14" t="s">
        <v>8</v>
      </c>
      <c r="D24" s="15"/>
      <c r="E24" s="15">
        <v>4000</v>
      </c>
      <c r="F24" s="14" t="s">
        <v>17</v>
      </c>
      <c r="G24" s="16">
        <v>2022</v>
      </c>
    </row>
    <row r="25" spans="1:7" x14ac:dyDescent="0.25">
      <c r="A25" s="13">
        <v>44709</v>
      </c>
      <c r="B25" s="14" t="s">
        <v>5</v>
      </c>
      <c r="C25" s="14" t="s">
        <v>9</v>
      </c>
      <c r="D25" s="15"/>
      <c r="E25" s="15">
        <v>6000</v>
      </c>
      <c r="F25" s="14" t="s">
        <v>17</v>
      </c>
      <c r="G25" s="16">
        <v>2022</v>
      </c>
    </row>
    <row r="26" spans="1:7" x14ac:dyDescent="0.25">
      <c r="A26" s="13">
        <v>44710</v>
      </c>
      <c r="B26" s="14" t="s">
        <v>5</v>
      </c>
      <c r="C26" s="14" t="s">
        <v>10</v>
      </c>
      <c r="D26" s="15"/>
      <c r="E26" s="15">
        <v>3000</v>
      </c>
      <c r="F26" s="14" t="s">
        <v>17</v>
      </c>
      <c r="G26" s="16">
        <v>2022</v>
      </c>
    </row>
    <row r="27" spans="1:7" x14ac:dyDescent="0.25">
      <c r="A27" s="13">
        <v>44711</v>
      </c>
      <c r="B27" s="14" t="s">
        <v>5</v>
      </c>
      <c r="C27" s="14" t="s">
        <v>11</v>
      </c>
      <c r="D27" s="15"/>
      <c r="E27" s="15">
        <v>1450</v>
      </c>
      <c r="F27" s="14" t="s">
        <v>17</v>
      </c>
      <c r="G27" s="16">
        <v>2022</v>
      </c>
    </row>
    <row r="28" spans="1:7" x14ac:dyDescent="0.25">
      <c r="A28" s="13">
        <v>44711</v>
      </c>
      <c r="B28" s="18" t="s">
        <v>4</v>
      </c>
      <c r="C28" s="19" t="s">
        <v>12</v>
      </c>
      <c r="D28" s="20">
        <v>17000</v>
      </c>
      <c r="E28" s="15"/>
      <c r="F28" s="14" t="s">
        <v>17</v>
      </c>
      <c r="G28" s="16">
        <v>2022</v>
      </c>
    </row>
    <row r="29" spans="1:7" x14ac:dyDescent="0.25">
      <c r="A29" s="13">
        <v>44737</v>
      </c>
      <c r="B29" s="14" t="s">
        <v>5</v>
      </c>
      <c r="C29" s="14" t="s">
        <v>8</v>
      </c>
      <c r="D29" s="15"/>
      <c r="E29" s="15">
        <v>4300</v>
      </c>
      <c r="F29" s="14" t="s">
        <v>18</v>
      </c>
      <c r="G29" s="16">
        <v>2022</v>
      </c>
    </row>
    <row r="30" spans="1:7" x14ac:dyDescent="0.25">
      <c r="A30" s="13">
        <v>44740</v>
      </c>
      <c r="B30" s="14" t="s">
        <v>5</v>
      </c>
      <c r="C30" s="14" t="s">
        <v>9</v>
      </c>
      <c r="D30" s="15"/>
      <c r="E30" s="15">
        <v>4000</v>
      </c>
      <c r="F30" s="14" t="s">
        <v>18</v>
      </c>
      <c r="G30" s="16">
        <v>2022</v>
      </c>
    </row>
    <row r="31" spans="1:7" x14ac:dyDescent="0.25">
      <c r="A31" s="13">
        <v>44741</v>
      </c>
      <c r="B31" s="14" t="s">
        <v>5</v>
      </c>
      <c r="C31" s="14" t="s">
        <v>10</v>
      </c>
      <c r="D31" s="15"/>
      <c r="E31" s="15">
        <v>3000</v>
      </c>
      <c r="F31" s="14" t="s">
        <v>18</v>
      </c>
      <c r="G31" s="16">
        <v>2022</v>
      </c>
    </row>
    <row r="32" spans="1:7" x14ac:dyDescent="0.25">
      <c r="A32" s="13">
        <v>44742</v>
      </c>
      <c r="B32" s="14" t="s">
        <v>5</v>
      </c>
      <c r="C32" s="14" t="s">
        <v>11</v>
      </c>
      <c r="D32" s="15"/>
      <c r="E32" s="15">
        <v>2450</v>
      </c>
      <c r="F32" s="14" t="s">
        <v>18</v>
      </c>
      <c r="G32" s="16">
        <v>2022</v>
      </c>
    </row>
    <row r="33" spans="1:7" x14ac:dyDescent="0.25">
      <c r="A33" s="13">
        <v>44742</v>
      </c>
      <c r="B33" s="18" t="s">
        <v>4</v>
      </c>
      <c r="C33" s="19" t="s">
        <v>12</v>
      </c>
      <c r="D33" s="20">
        <v>20000</v>
      </c>
      <c r="E33" s="15"/>
      <c r="F33" s="14" t="s">
        <v>18</v>
      </c>
      <c r="G33" s="16">
        <v>2022</v>
      </c>
    </row>
    <row r="34" spans="1:7" x14ac:dyDescent="0.25">
      <c r="A34" s="13">
        <v>44767</v>
      </c>
      <c r="B34" s="14" t="s">
        <v>5</v>
      </c>
      <c r="C34" s="14" t="s">
        <v>8</v>
      </c>
      <c r="D34" s="15"/>
      <c r="E34" s="15">
        <v>4800</v>
      </c>
      <c r="F34" s="14" t="s">
        <v>19</v>
      </c>
      <c r="G34" s="16">
        <v>2022</v>
      </c>
    </row>
    <row r="35" spans="1:7" x14ac:dyDescent="0.25">
      <c r="A35" s="13">
        <v>44770</v>
      </c>
      <c r="B35" s="14" t="s">
        <v>5</v>
      </c>
      <c r="C35" s="14" t="s">
        <v>9</v>
      </c>
      <c r="D35" s="15"/>
      <c r="E35" s="15">
        <v>4100</v>
      </c>
      <c r="F35" s="14" t="s">
        <v>19</v>
      </c>
      <c r="G35" s="16">
        <v>2022</v>
      </c>
    </row>
    <row r="36" spans="1:7" x14ac:dyDescent="0.25">
      <c r="A36" s="13">
        <v>44771</v>
      </c>
      <c r="B36" s="14" t="s">
        <v>5</v>
      </c>
      <c r="C36" s="14" t="s">
        <v>10</v>
      </c>
      <c r="D36" s="15"/>
      <c r="E36" s="15">
        <v>3000</v>
      </c>
      <c r="F36" s="14" t="s">
        <v>19</v>
      </c>
      <c r="G36" s="16">
        <v>2022</v>
      </c>
    </row>
    <row r="37" spans="1:7" x14ac:dyDescent="0.25">
      <c r="A37" s="13">
        <v>44772</v>
      </c>
      <c r="B37" s="14" t="s">
        <v>5</v>
      </c>
      <c r="C37" s="14" t="s">
        <v>11</v>
      </c>
      <c r="D37" s="15"/>
      <c r="E37" s="15">
        <v>1450</v>
      </c>
      <c r="F37" s="14" t="s">
        <v>19</v>
      </c>
      <c r="G37" s="16">
        <v>2022</v>
      </c>
    </row>
    <row r="38" spans="1:7" x14ac:dyDescent="0.25">
      <c r="A38" s="13">
        <v>44772</v>
      </c>
      <c r="B38" s="18" t="s">
        <v>4</v>
      </c>
      <c r="C38" s="19" t="s">
        <v>12</v>
      </c>
      <c r="D38" s="20">
        <v>20000</v>
      </c>
      <c r="E38" s="15"/>
      <c r="F38" s="14" t="s">
        <v>19</v>
      </c>
      <c r="G38" s="16">
        <v>2022</v>
      </c>
    </row>
    <row r="39" spans="1:7" x14ac:dyDescent="0.25">
      <c r="A39" s="13">
        <v>44798</v>
      </c>
      <c r="B39" s="14" t="s">
        <v>5</v>
      </c>
      <c r="C39" s="14" t="s">
        <v>8</v>
      </c>
      <c r="D39" s="15"/>
      <c r="E39" s="15">
        <v>4500</v>
      </c>
      <c r="F39" s="14" t="s">
        <v>20</v>
      </c>
      <c r="G39" s="16">
        <v>2022</v>
      </c>
    </row>
    <row r="40" spans="1:7" x14ac:dyDescent="0.25">
      <c r="A40" s="13">
        <v>44801</v>
      </c>
      <c r="B40" s="14" t="s">
        <v>5</v>
      </c>
      <c r="C40" s="14" t="s">
        <v>9</v>
      </c>
      <c r="D40" s="15"/>
      <c r="E40" s="15">
        <v>1300</v>
      </c>
      <c r="F40" s="14" t="s">
        <v>20</v>
      </c>
      <c r="G40" s="16">
        <v>2022</v>
      </c>
    </row>
    <row r="41" spans="1:7" x14ac:dyDescent="0.25">
      <c r="A41" s="13">
        <v>44802</v>
      </c>
      <c r="B41" s="14" t="s">
        <v>5</v>
      </c>
      <c r="C41" s="14" t="s">
        <v>10</v>
      </c>
      <c r="D41" s="15"/>
      <c r="E41" s="15">
        <v>2000</v>
      </c>
      <c r="F41" s="14" t="s">
        <v>20</v>
      </c>
      <c r="G41" s="16">
        <v>2022</v>
      </c>
    </row>
    <row r="42" spans="1:7" x14ac:dyDescent="0.25">
      <c r="A42" s="13">
        <v>44803</v>
      </c>
      <c r="B42" s="14" t="s">
        <v>5</v>
      </c>
      <c r="C42" s="14" t="s">
        <v>11</v>
      </c>
      <c r="D42" s="15"/>
      <c r="E42" s="15">
        <v>1450</v>
      </c>
      <c r="F42" s="14" t="s">
        <v>20</v>
      </c>
      <c r="G42" s="16">
        <v>2022</v>
      </c>
    </row>
    <row r="43" spans="1:7" x14ac:dyDescent="0.25">
      <c r="A43" s="13">
        <v>44803</v>
      </c>
      <c r="B43" s="18" t="s">
        <v>4</v>
      </c>
      <c r="C43" s="19" t="s">
        <v>12</v>
      </c>
      <c r="D43" s="20">
        <v>20000</v>
      </c>
      <c r="E43" s="15"/>
      <c r="F43" s="14" t="s">
        <v>20</v>
      </c>
      <c r="G43" s="16">
        <v>2022</v>
      </c>
    </row>
    <row r="44" spans="1:7" x14ac:dyDescent="0.25">
      <c r="A44" s="13">
        <v>44829</v>
      </c>
      <c r="B44" s="14" t="s">
        <v>5</v>
      </c>
      <c r="C44" s="14" t="s">
        <v>8</v>
      </c>
      <c r="D44" s="15"/>
      <c r="E44" s="15">
        <v>4800</v>
      </c>
      <c r="F44" s="14" t="s">
        <v>21</v>
      </c>
      <c r="G44" s="16">
        <v>2022</v>
      </c>
    </row>
    <row r="45" spans="1:7" x14ac:dyDescent="0.25">
      <c r="A45" s="13">
        <v>44832</v>
      </c>
      <c r="B45" s="14" t="s">
        <v>5</v>
      </c>
      <c r="C45" s="14" t="s">
        <v>9</v>
      </c>
      <c r="D45" s="15"/>
      <c r="E45" s="15">
        <v>2800</v>
      </c>
      <c r="F45" s="14" t="s">
        <v>21</v>
      </c>
      <c r="G45" s="16">
        <v>2022</v>
      </c>
    </row>
    <row r="46" spans="1:7" x14ac:dyDescent="0.25">
      <c r="A46" s="13">
        <v>44833</v>
      </c>
      <c r="B46" s="14" t="s">
        <v>5</v>
      </c>
      <c r="C46" s="14" t="s">
        <v>10</v>
      </c>
      <c r="D46" s="15"/>
      <c r="E46" s="15">
        <v>2000</v>
      </c>
      <c r="F46" s="14" t="s">
        <v>21</v>
      </c>
      <c r="G46" s="16">
        <v>2022</v>
      </c>
    </row>
    <row r="47" spans="1:7" x14ac:dyDescent="0.25">
      <c r="A47" s="13">
        <v>44834</v>
      </c>
      <c r="B47" s="14" t="s">
        <v>5</v>
      </c>
      <c r="C47" s="14" t="s">
        <v>11</v>
      </c>
      <c r="D47" s="15"/>
      <c r="E47" s="15">
        <v>1570</v>
      </c>
      <c r="F47" s="14" t="s">
        <v>21</v>
      </c>
      <c r="G47" s="16">
        <v>2022</v>
      </c>
    </row>
    <row r="48" spans="1:7" x14ac:dyDescent="0.25">
      <c r="A48" s="13">
        <v>44834</v>
      </c>
      <c r="B48" s="18" t="s">
        <v>4</v>
      </c>
      <c r="C48" s="19" t="s">
        <v>12</v>
      </c>
      <c r="D48" s="20">
        <v>18000</v>
      </c>
      <c r="E48" s="15"/>
      <c r="F48" s="14" t="s">
        <v>21</v>
      </c>
      <c r="G48" s="16">
        <v>2022</v>
      </c>
    </row>
    <row r="49" spans="1:7" x14ac:dyDescent="0.25">
      <c r="A49" s="13">
        <v>44859</v>
      </c>
      <c r="B49" s="14" t="s">
        <v>5</v>
      </c>
      <c r="C49" s="14" t="s">
        <v>8</v>
      </c>
      <c r="D49" s="15"/>
      <c r="E49" s="15">
        <v>4200</v>
      </c>
      <c r="F49" s="14" t="s">
        <v>22</v>
      </c>
      <c r="G49" s="16">
        <v>2022</v>
      </c>
    </row>
    <row r="50" spans="1:7" x14ac:dyDescent="0.25">
      <c r="A50" s="13">
        <v>44862</v>
      </c>
      <c r="B50" s="14" t="s">
        <v>5</v>
      </c>
      <c r="C50" s="14" t="s">
        <v>9</v>
      </c>
      <c r="D50" s="15"/>
      <c r="E50" s="15">
        <v>1900</v>
      </c>
      <c r="F50" s="14" t="s">
        <v>22</v>
      </c>
      <c r="G50" s="16">
        <v>2022</v>
      </c>
    </row>
    <row r="51" spans="1:7" x14ac:dyDescent="0.25">
      <c r="A51" s="13">
        <v>44863</v>
      </c>
      <c r="B51" s="14" t="s">
        <v>5</v>
      </c>
      <c r="C51" s="14" t="s">
        <v>10</v>
      </c>
      <c r="D51" s="15"/>
      <c r="E51" s="15">
        <v>2000</v>
      </c>
      <c r="F51" s="14" t="s">
        <v>22</v>
      </c>
      <c r="G51" s="16">
        <v>2022</v>
      </c>
    </row>
    <row r="52" spans="1:7" x14ac:dyDescent="0.25">
      <c r="A52" s="13">
        <v>44864</v>
      </c>
      <c r="B52" s="14" t="s">
        <v>5</v>
      </c>
      <c r="C52" s="14" t="s">
        <v>11</v>
      </c>
      <c r="D52" s="15"/>
      <c r="E52" s="15">
        <v>1400</v>
      </c>
      <c r="F52" s="14" t="s">
        <v>22</v>
      </c>
      <c r="G52" s="16">
        <v>2022</v>
      </c>
    </row>
    <row r="53" spans="1:7" x14ac:dyDescent="0.25">
      <c r="A53" s="13">
        <v>44864</v>
      </c>
      <c r="B53" s="18" t="s">
        <v>4</v>
      </c>
      <c r="C53" s="19" t="s">
        <v>12</v>
      </c>
      <c r="D53" s="20">
        <v>19500</v>
      </c>
      <c r="E53" s="15"/>
      <c r="F53" s="14" t="s">
        <v>22</v>
      </c>
      <c r="G53" s="16">
        <v>2022</v>
      </c>
    </row>
    <row r="54" spans="1:7" x14ac:dyDescent="0.25">
      <c r="A54" s="13">
        <v>44890</v>
      </c>
      <c r="B54" s="14" t="s">
        <v>5</v>
      </c>
      <c r="C54" s="14" t="s">
        <v>8</v>
      </c>
      <c r="D54" s="15"/>
      <c r="E54" s="15">
        <v>4700</v>
      </c>
      <c r="F54" s="14" t="s">
        <v>23</v>
      </c>
      <c r="G54" s="16">
        <v>2022</v>
      </c>
    </row>
    <row r="55" spans="1:7" x14ac:dyDescent="0.25">
      <c r="A55" s="13">
        <v>44893</v>
      </c>
      <c r="B55" s="14" t="s">
        <v>5</v>
      </c>
      <c r="C55" s="14" t="s">
        <v>9</v>
      </c>
      <c r="D55" s="15"/>
      <c r="E55" s="15">
        <v>1800</v>
      </c>
      <c r="F55" s="14" t="s">
        <v>23</v>
      </c>
      <c r="G55" s="16">
        <v>2022</v>
      </c>
    </row>
    <row r="56" spans="1:7" x14ac:dyDescent="0.25">
      <c r="A56" s="13">
        <v>44894</v>
      </c>
      <c r="B56" s="14" t="s">
        <v>5</v>
      </c>
      <c r="C56" s="14" t="s">
        <v>10</v>
      </c>
      <c r="D56" s="15"/>
      <c r="E56" s="15">
        <v>2500</v>
      </c>
      <c r="F56" s="14" t="s">
        <v>23</v>
      </c>
      <c r="G56" s="16">
        <v>2022</v>
      </c>
    </row>
    <row r="57" spans="1:7" x14ac:dyDescent="0.25">
      <c r="A57" s="13">
        <v>44895</v>
      </c>
      <c r="B57" s="14" t="s">
        <v>5</v>
      </c>
      <c r="C57" s="14" t="s">
        <v>11</v>
      </c>
      <c r="D57" s="15"/>
      <c r="E57" s="15">
        <v>1400</v>
      </c>
      <c r="F57" s="14" t="s">
        <v>23</v>
      </c>
      <c r="G57" s="16">
        <v>2022</v>
      </c>
    </row>
    <row r="58" spans="1:7" x14ac:dyDescent="0.25">
      <c r="A58" s="13">
        <v>44895</v>
      </c>
      <c r="B58" s="18" t="s">
        <v>4</v>
      </c>
      <c r="C58" s="19" t="s">
        <v>12</v>
      </c>
      <c r="D58" s="20">
        <v>20000</v>
      </c>
      <c r="E58" s="15"/>
      <c r="F58" s="14" t="s">
        <v>23</v>
      </c>
      <c r="G58" s="16">
        <v>2022</v>
      </c>
    </row>
    <row r="59" spans="1:7" x14ac:dyDescent="0.25">
      <c r="A59" s="13">
        <v>44920</v>
      </c>
      <c r="B59" s="14" t="s">
        <v>5</v>
      </c>
      <c r="C59" s="14" t="s">
        <v>8</v>
      </c>
      <c r="D59" s="15"/>
      <c r="E59" s="15">
        <v>5000</v>
      </c>
      <c r="F59" s="14" t="s">
        <v>24</v>
      </c>
      <c r="G59" s="16">
        <v>2022</v>
      </c>
    </row>
    <row r="60" spans="1:7" x14ac:dyDescent="0.25">
      <c r="A60" s="13">
        <v>44923</v>
      </c>
      <c r="B60" s="14" t="s">
        <v>5</v>
      </c>
      <c r="C60" s="14" t="s">
        <v>9</v>
      </c>
      <c r="D60" s="15"/>
      <c r="E60" s="15">
        <v>4500</v>
      </c>
      <c r="F60" s="14" t="s">
        <v>24</v>
      </c>
      <c r="G60" s="16">
        <v>2022</v>
      </c>
    </row>
    <row r="61" spans="1:7" x14ac:dyDescent="0.25">
      <c r="A61" s="13">
        <v>44924</v>
      </c>
      <c r="B61" s="14" t="s">
        <v>5</v>
      </c>
      <c r="C61" s="14" t="s">
        <v>10</v>
      </c>
      <c r="D61" s="15"/>
      <c r="E61" s="15">
        <v>2500</v>
      </c>
      <c r="F61" s="14" t="s">
        <v>24</v>
      </c>
      <c r="G61" s="16">
        <v>2022</v>
      </c>
    </row>
    <row r="62" spans="1:7" x14ac:dyDescent="0.25">
      <c r="A62" s="13">
        <v>44925</v>
      </c>
      <c r="B62" s="14" t="s">
        <v>5</v>
      </c>
      <c r="C62" s="14" t="s">
        <v>11</v>
      </c>
      <c r="D62" s="15"/>
      <c r="E62" s="15">
        <v>1450</v>
      </c>
      <c r="F62" s="14" t="s">
        <v>24</v>
      </c>
      <c r="G62" s="16">
        <v>2022</v>
      </c>
    </row>
    <row r="63" spans="1:7" x14ac:dyDescent="0.25">
      <c r="A63" s="21">
        <v>44925</v>
      </c>
      <c r="B63" s="22" t="s">
        <v>4</v>
      </c>
      <c r="C63" s="23" t="s">
        <v>12</v>
      </c>
      <c r="D63" s="24">
        <v>20000</v>
      </c>
      <c r="E63" s="25"/>
      <c r="F63" s="26" t="s">
        <v>24</v>
      </c>
      <c r="G63" s="27">
        <v>2022</v>
      </c>
    </row>
  </sheetData>
  <mergeCells count="1">
    <mergeCell ref="A1:G1"/>
  </mergeCells>
  <phoneticPr fontId="12" type="noConversion"/>
  <dataValidations count="2">
    <dataValidation type="list" allowBlank="1" showInputMessage="1" showErrorMessage="1" sqref="C4:C63" xr:uid="{554A98DD-D492-4D10-AE80-AE5F2071E0EB}">
      <formula1>"Rent,Transport, Other, Food, Salary"</formula1>
    </dataValidation>
    <dataValidation type="list" allowBlank="1" showInputMessage="1" showErrorMessage="1" sqref="B4:B63" xr:uid="{6A02D65E-72EF-46CB-A8FB-4B9176FB7659}">
      <formula1>"Income,Expence"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Dashboard Month</vt:lpstr>
      <vt:lpstr>Dashboard Year</vt:lpstr>
      <vt:lpstr>Data</vt:lpstr>
      <vt:lpstr>Income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Nikhil dhadde</dc:creator>
  <cp:lastModifiedBy>Nikhil dhadde</cp:lastModifiedBy>
  <dcterms:created xsi:type="dcterms:W3CDTF">2024-04-14T05:25:22Z</dcterms:created>
  <dcterms:modified xsi:type="dcterms:W3CDTF">2024-04-22T15:55:24Z</dcterms:modified>
</cp:coreProperties>
</file>